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APCracker Compatibility List" sheetId="1" r:id="rId3"/>
    <sheet state="visible" name="Working" sheetId="2" r:id="rId4"/>
    <sheet state="visible" name="Working (Newest first)" sheetId="3" r:id="rId5"/>
    <sheet state="visible" name="New Apps" sheetId="4" r:id="rId6"/>
  </sheets>
  <definedNames>
    <definedName name="Title">'New Apps'!$B$4:$G$318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381">
      <text>
        <t xml:space="preserve">Exclusive Platinum X Dumpert Membership reclameloze Dumpert beleving.
Je kijkt ongeremd Dumpert tot 1 januari 2013" \o/</t>
      </text>
    </comment>
    <comment authorId="0" ref="D1416">
      <text>
        <t xml:space="preserve">http://www.shrani.si/f/35/12r/1OkU6aBX/img0002.png</t>
      </text>
    </comment>
  </commentList>
</comments>
</file>

<file path=xl/sharedStrings.xml><?xml version="1.0" encoding="utf-8"?>
<sst xmlns="http://schemas.openxmlformats.org/spreadsheetml/2006/main" count="6915" uniqueCount="3805">
  <si>
    <t>1560 Apps &amp; Games Tested with iAP Cracker
Last Update: September 30, 2012
Want to contribute new apps and submit changes? Feel free to add them to the "New Apps" sheet (click on the "New Apps" button below THIS sheet).
If you have contributed a lot of apps and find yourself worthy, you can request edit permission by clicking the "Share" button. Requests without a valid sheet nickname will NOT be processed.</t>
  </si>
  <si>
    <t>Name</t>
  </si>
  <si>
    <t>App Version</t>
  </si>
  <si>
    <t>Works?</t>
  </si>
  <si>
    <t>Notes/comments</t>
  </si>
  <si>
    <t>Checked by</t>
  </si>
  <si>
    <t>Date checked (DD-MMM-YY)</t>
  </si>
  <si>
    <t>#WayCooler</t>
  </si>
  <si>
    <t>1.0.0</t>
  </si>
  <si>
    <t>Yes</t>
  </si>
  <si>
    <t>You can purchase all premium packs</t>
  </si>
  <si>
    <t>Jtlogiks</t>
  </si>
  <si>
    <t>101-in-1 Games !</t>
  </si>
  <si>
    <t>Kev63</t>
  </si>
  <si>
    <t>123D Sculpt</t>
  </si>
  <si>
    <t>ThePreserver</t>
  </si>
  <si>
    <t>360Live</t>
  </si>
  <si>
    <t>LtNachos</t>
  </si>
  <si>
    <t>3D Badminton</t>
  </si>
  <si>
    <t>No</t>
  </si>
  <si>
    <t>Payment fails</t>
  </si>
  <si>
    <t>3D Fish Puzzle 2 HD</t>
  </si>
  <si>
    <t>Unlock all the rest of the Fish Pack</t>
  </si>
  <si>
    <t>Vista2k7</t>
  </si>
  <si>
    <t>4 Elements</t>
  </si>
  <si>
    <t>Free → Full</t>
  </si>
  <si>
    <t>Glisern</t>
  </si>
  <si>
    <t>4Towers Onslaught: Combo TD</t>
  </si>
  <si>
    <t>zema1989</t>
  </si>
  <si>
    <t>7 Little Words</t>
  </si>
  <si>
    <t>Buy all the puzzles</t>
  </si>
  <si>
    <t>Neerolyte</t>
  </si>
  <si>
    <t>777 Poker</t>
  </si>
  <si>
    <t>Does not work</t>
  </si>
  <si>
    <t>Arayel</t>
  </si>
  <si>
    <t>9 Digits</t>
  </si>
  <si>
    <t>All Packs</t>
  </si>
  <si>
    <t>9 Innings: Pro Baseball 2011</t>
  </si>
  <si>
    <t>90°</t>
  </si>
  <si>
    <t>Store purchases work</t>
  </si>
  <si>
    <t>Persephone</t>
  </si>
  <si>
    <t>9GAG Mobile</t>
  </si>
  <si>
    <t>First crashes, but purchase is succesful</t>
  </si>
  <si>
    <t>Adriaanzonn</t>
  </si>
  <si>
    <t>9GAG Reader</t>
  </si>
  <si>
    <t>Ad removal. Just Click 'buy now'. You'll get a 'thank you Greg' message. Now completely kill the app and reload and it'll be ad free :)</t>
  </si>
  <si>
    <t>blackthund3r</t>
  </si>
  <si>
    <t>9Heroes Defence : Zombie Invasion</t>
  </si>
  <si>
    <t>Show the purchase but doesn't give food and superfood</t>
  </si>
  <si>
    <t>9MM</t>
  </si>
  <si>
    <t>phatpham</t>
  </si>
  <si>
    <t>A Knights Dawn</t>
  </si>
  <si>
    <t>A Monster Ate My Homework</t>
  </si>
  <si>
    <t>Able to purchase and unlock all levels</t>
  </si>
  <si>
    <t>chowlala</t>
  </si>
  <si>
    <t>Abdominaux en 8 minutes</t>
  </si>
  <si>
    <t xml:space="preserve">Dav </t>
  </si>
  <si>
    <t>Accura Premium</t>
  </si>
  <si>
    <t>Purchase succesful</t>
  </si>
  <si>
    <t>Ace Casino HD</t>
  </si>
  <si>
    <t>Unable to purchase chips/gold, most likely server-side issue</t>
  </si>
  <si>
    <t>Action Bowling Free</t>
  </si>
  <si>
    <t>Can buy everything from the Pro Shop</t>
  </si>
  <si>
    <t>Me@HotMaiL</t>
  </si>
  <si>
    <t>Action Movie FX</t>
  </si>
  <si>
    <t>Can buy the additional 4 packs</t>
  </si>
  <si>
    <t>Guk</t>
  </si>
  <si>
    <t>Action Truck</t>
  </si>
  <si>
    <t>Adobe Carousel</t>
  </si>
  <si>
    <t>External server check, I guess</t>
  </si>
  <si>
    <t>Adobe Ideas</t>
  </si>
  <si>
    <t>Can buy Layer with iAP Cracker 0.6-1</t>
  </si>
  <si>
    <t>luudaigiang</t>
  </si>
  <si>
    <t>Adobe Photoshop Express</t>
  </si>
  <si>
    <t>Advena</t>
  </si>
  <si>
    <t>Must buy game currency while connected to net. Will take a while, After a while of loading close cash shop and reopen and you will have the points.</t>
  </si>
  <si>
    <t>NelsonS</t>
  </si>
  <si>
    <t>Adventure Bar Story</t>
  </si>
  <si>
    <t>Can purchase Jewels</t>
  </si>
  <si>
    <t>Natsuu</t>
  </si>
  <si>
    <t>Adventure of monkey king</t>
  </si>
  <si>
    <t>Purchase is successful but you don't receive gold</t>
  </si>
  <si>
    <t>Age of Pinballs</t>
  </si>
  <si>
    <t>I've unlocked everything in the newest version. (2.1, I believe)</t>
  </si>
  <si>
    <t>Guk, ^eNeRGy^, Txnic</t>
  </si>
  <si>
    <t>Age of Shit</t>
  </si>
  <si>
    <t>Air Harp</t>
  </si>
  <si>
    <t>Bull Moose</t>
  </si>
  <si>
    <t>Air Penguin</t>
  </si>
  <si>
    <t>You can unlock gold coins</t>
  </si>
  <si>
    <t>Gkhan</t>
  </si>
  <si>
    <t>Airport Scanner</t>
  </si>
  <si>
    <t xml:space="preserve">Buy all shop items. </t>
  </si>
  <si>
    <t>Zukagraf</t>
  </si>
  <si>
    <t>Alarmfase 1</t>
  </si>
  <si>
    <t>Free push notifications</t>
  </si>
  <si>
    <t>rctgamer3</t>
  </si>
  <si>
    <t>Alert! Safety Boom!</t>
  </si>
  <si>
    <t>Alice's Wonderland</t>
  </si>
  <si>
    <t>Unable to Buy Gem</t>
  </si>
  <si>
    <t>Azyure</t>
  </si>
  <si>
    <t>Alien Blue</t>
  </si>
  <si>
    <t>Pro/Premium iAP works fine.</t>
  </si>
  <si>
    <t>Drieks, rctgamer3</t>
  </si>
  <si>
    <t>Alien Jump</t>
  </si>
  <si>
    <t>work perfectly. 100%</t>
  </si>
  <si>
    <t>fi6e</t>
  </si>
  <si>
    <t>ALL APPS by: My First App</t>
  </si>
  <si>
    <t>Purchase Full/ Gets All Boards UNLOCKED</t>
  </si>
  <si>
    <t>Azh</t>
  </si>
  <si>
    <t xml:space="preserve">All Games from Glu Games Inc. </t>
  </si>
  <si>
    <t xml:space="preserve">All-in YOGA: 300 Poses &amp; Yoga Classes
</t>
  </si>
  <si>
    <t>All Premium content</t>
  </si>
  <si>
    <t>Alois Nebel - Na trati</t>
  </si>
  <si>
    <t>Purchase comics</t>
  </si>
  <si>
    <t>KeceRim</t>
  </si>
  <si>
    <t>Amazing Spider Man</t>
  </si>
  <si>
    <t>Requested Timed Out: Please Check Connection</t>
  </si>
  <si>
    <t>AZh</t>
  </si>
  <si>
    <t>Ambiance</t>
  </si>
  <si>
    <t>Partially</t>
  </si>
  <si>
    <t>Can purchase but not download</t>
  </si>
  <si>
    <t>AMC Free</t>
  </si>
  <si>
    <t>Unlocks additional maps</t>
  </si>
  <si>
    <t>tester</t>
  </si>
  <si>
    <t>American Heritage Dictionary 5th Ed v1.2</t>
  </si>
  <si>
    <t>Have IAP Cracker 0.6.1 installed. I signed out of iTunes then 'purchased'.</t>
  </si>
  <si>
    <t>Binky</t>
  </si>
  <si>
    <t>AmpKit+</t>
  </si>
  <si>
    <t>cynxian</t>
  </si>
  <si>
    <t>AmpliTube</t>
  </si>
  <si>
    <t>Buy any effect</t>
  </si>
  <si>
    <t>Amplitube 2</t>
  </si>
  <si>
    <t>Pollux0512</t>
  </si>
  <si>
    <t>Amplitube Fender</t>
  </si>
  <si>
    <t>Ancient War</t>
  </si>
  <si>
    <t>mytich</t>
  </si>
  <si>
    <t>Ancient War 2</t>
  </si>
  <si>
    <t>Takes a while to credit the gems.</t>
  </si>
  <si>
    <t>AngerOfStick</t>
  </si>
  <si>
    <t>Buy coin</t>
  </si>
  <si>
    <t>AngerOfStick 2</t>
  </si>
  <si>
    <t>1.1.3</t>
  </si>
  <si>
    <t>Can Buy Everything</t>
  </si>
  <si>
    <t>CruNkS</t>
  </si>
  <si>
    <t>AngerOfStick-Friend</t>
  </si>
  <si>
    <t>AngerOfStick2 (Anger of Stick 2)</t>
  </si>
  <si>
    <t xml:space="preserve"> Partially</t>
  </si>
  <si>
    <t>Chaosssx</t>
  </si>
  <si>
    <t>AngerOfStick2: Jump Jump</t>
  </si>
  <si>
    <t>Angry Birds (All)</t>
  </si>
  <si>
    <t>Unlocks the Mighty Eagle for Angry Birds, Angry Birds Seasons, and Angry Birds Rio.</t>
  </si>
  <si>
    <t>Angry Birds: Space</t>
  </si>
  <si>
    <t>Gives Space Eagle</t>
  </si>
  <si>
    <t>anonymous</t>
  </si>
  <si>
    <t>Angry Gran</t>
  </si>
  <si>
    <t>Z1nC</t>
  </si>
  <si>
    <t>Angry Words</t>
  </si>
  <si>
    <t>1.2.0</t>
  </si>
  <si>
    <t>Remove adds.</t>
  </si>
  <si>
    <t>charly007</t>
  </si>
  <si>
    <t>Angry Zombies</t>
  </si>
  <si>
    <t xml:space="preserve">Bones and money
</t>
  </si>
  <si>
    <t>Animal Chess 2</t>
  </si>
  <si>
    <t>Animated Puzzle</t>
  </si>
  <si>
    <t>Unlock All additional animal</t>
  </si>
  <si>
    <t>Anime Dress Up HD</t>
  </si>
  <si>
    <t>Anthill</t>
  </si>
  <si>
    <t>Can buy stars</t>
  </si>
  <si>
    <t>Antrim Escape 3</t>
  </si>
  <si>
    <t>Dizzy</t>
  </si>
  <si>
    <t>AoZ Anniv.</t>
  </si>
  <si>
    <t>Unlock all levels! :)</t>
  </si>
  <si>
    <t>Coran!</t>
  </si>
  <si>
    <t>Applets</t>
  </si>
  <si>
    <t>Dansco</t>
  </si>
  <si>
    <t>AppShopper</t>
  </si>
  <si>
    <t>Appzila (Series)</t>
  </si>
  <si>
    <t>Works with everything</t>
  </si>
  <si>
    <t>^eNeRGy^</t>
  </si>
  <si>
    <t>Aqueduct</t>
  </si>
  <si>
    <t>Ensure Metadata turned on</t>
  </si>
  <si>
    <t>Aralon: Sword and Shadow</t>
  </si>
  <si>
    <t>Takes a little while to initialize karma, but it works</t>
  </si>
  <si>
    <t>EdgarDrake</t>
  </si>
  <si>
    <t>Archie Comics</t>
  </si>
  <si>
    <t>App crashes</t>
  </si>
  <si>
    <t>DemonicZeus</t>
  </si>
  <si>
    <t>Archies Comics</t>
  </si>
  <si>
    <t>Nathan_infinity</t>
  </si>
  <si>
    <t>No - Account Ban</t>
  </si>
  <si>
    <t>ArcMagic Lite</t>
  </si>
  <si>
    <t>Upgrade to full</t>
  </si>
  <si>
    <t>Are You Smarter Than A 5th Grader &amp; Friends!</t>
  </si>
  <si>
    <t>Yes - IP Ban</t>
  </si>
  <si>
    <t>You are IP banned from Ludia Games (ALL of Ldia's games [Facebook Price is right, Family Feud) ... but only that, you can still access your account and everything on a different IP address. So make sure you proxify before you play and steal stars.</t>
  </si>
  <si>
    <t>ShadowzI</t>
  </si>
  <si>
    <t>Area 51 Defense</t>
  </si>
  <si>
    <t>Can purchase all store upgrades except 'Upgrade to Pro'</t>
  </si>
  <si>
    <t>Exhausted81</t>
  </si>
  <si>
    <t>Arel Wars</t>
  </si>
  <si>
    <t>1.0.2</t>
  </si>
  <si>
    <t>It recognizes when iAP is installed. Works on v1.0.1.</t>
  </si>
  <si>
    <t>Greek-Immortal</t>
  </si>
  <si>
    <t>Army of Darkness Defense</t>
  </si>
  <si>
    <t>YoonaIsCute</t>
  </si>
  <si>
    <t>Army Wars 2</t>
  </si>
  <si>
    <t>1.1.0</t>
  </si>
  <si>
    <t>everything works</t>
  </si>
  <si>
    <t>Aroundme</t>
  </si>
  <si>
    <t>Arsenal</t>
  </si>
  <si>
    <t xml:space="preserve"> You can get all pre match contents and post match videos. including longer highlights</t>
  </si>
  <si>
    <t>KashMan</t>
  </si>
  <si>
    <t>Art of war 2</t>
  </si>
  <si>
    <t>1.5.6/1.5.4</t>
  </si>
  <si>
    <t>Free -&gt; Full and buy everything (packs and textures import)</t>
  </si>
  <si>
    <t>ArtCamera</t>
  </si>
  <si>
    <t>artDatabase</t>
  </si>
  <si>
    <t>Ascension</t>
  </si>
  <si>
    <t xml:space="preserve"> Return of the Fallen IAP</t>
  </si>
  <si>
    <t>Mariano Rajoy</t>
  </si>
  <si>
    <t>Asphalt 6</t>
  </si>
  <si>
    <t>1.3.3</t>
  </si>
  <si>
    <t>xStunzz, luudaigiang</t>
  </si>
  <si>
    <t xml:space="preserve">Asphalt 7: Heat
</t>
  </si>
  <si>
    <t>Get's stuck on an infinite loop of "Processing..."</t>
  </si>
  <si>
    <t>Rene</t>
  </si>
  <si>
    <t>Assassin's Creed Rearmed</t>
  </si>
  <si>
    <t>Assassin's Creed: Recollection</t>
  </si>
  <si>
    <t>Not working for both cracked &amp; genuine version. 
- Cracked version will give "Cannot connect to iTunes store error"
- Genuine version able to purchase but amounts purchased are not reflected.</t>
  </si>
  <si>
    <t>At Bat 12</t>
  </si>
  <si>
    <t>5.0.0</t>
  </si>
  <si>
    <t>mph_88</t>
  </si>
  <si>
    <t>Atari's Greatest Hits</t>
  </si>
  <si>
    <t>Purchase all 100+ games</t>
  </si>
  <si>
    <t>Atlantic</t>
  </si>
  <si>
    <t>Looks like it will work, but it will crash app, and then when you go read the magazine, the server will throw an error.</t>
  </si>
  <si>
    <t>Atomix Mag</t>
  </si>
  <si>
    <t>Audiobooks (blue icon)</t>
  </si>
  <si>
    <t>Just like that.</t>
  </si>
  <si>
    <t>theBruce</t>
  </si>
  <si>
    <t>Audiogalaxy</t>
  </si>
  <si>
    <t>Can purchase offline playback</t>
  </si>
  <si>
    <t>Moeses</t>
  </si>
  <si>
    <t>2.1.1</t>
  </si>
  <si>
    <t>No in app purchases work</t>
  </si>
  <si>
    <t>AurumBlade</t>
  </si>
  <si>
    <t>1.0.4</t>
  </si>
  <si>
    <t>Gem shop works but you cannot exceed 1000 gems</t>
  </si>
  <si>
    <t>Jason</t>
  </si>
  <si>
    <t>Australias Got Talent</t>
  </si>
  <si>
    <t>Can purchase free votes...I CAN RIG AGT</t>
  </si>
  <si>
    <t>Pitto</t>
  </si>
  <si>
    <t>Autotrader</t>
  </si>
  <si>
    <t>V.2.2.0</t>
  </si>
  <si>
    <t>Works on vehicle check, usually £3.99</t>
  </si>
  <si>
    <t>Stiggyb1234</t>
  </si>
  <si>
    <t>AvatarFighting</t>
  </si>
  <si>
    <t>hungluu</t>
  </si>
  <si>
    <t>Ave!Comics</t>
  </si>
  <si>
    <t>Comics don't work..</t>
  </si>
  <si>
    <t>Karmazz</t>
  </si>
  <si>
    <t>Babel Rising</t>
  </si>
  <si>
    <t>Unlock all modes</t>
  </si>
  <si>
    <t>playboy6006</t>
  </si>
  <si>
    <t>Baby Madness</t>
  </si>
  <si>
    <t>Baby TV (education)</t>
  </si>
  <si>
    <t xml:space="preserve">Can download ALL EDUCATIONAL MOVIES </t>
  </si>
  <si>
    <t>Backpacker</t>
  </si>
  <si>
    <t>Purchase successful, but error on download</t>
  </si>
  <si>
    <t>Badoo</t>
  </si>
  <si>
    <t>fbloise</t>
  </si>
  <si>
    <t>Bakery Story</t>
  </si>
  <si>
    <t>No longer works!</t>
  </si>
  <si>
    <t>Ichigo</t>
  </si>
  <si>
    <t>Can Purchase Coins but it wont add to the game</t>
  </si>
  <si>
    <t>azh</t>
  </si>
  <si>
    <t xml:space="preserve">Bakery Story hack
</t>
  </si>
  <si>
    <t>I suceeded at the first purchase but the purchase action did not respond starting from the 2nd time.</t>
  </si>
  <si>
    <t>ocremix77</t>
  </si>
  <si>
    <t>Bamboo Paper</t>
  </si>
  <si>
    <t>Notebook Pack</t>
  </si>
  <si>
    <t>Baseball Superstars II</t>
  </si>
  <si>
    <t>Can buy Alots of G points and other purcharses</t>
  </si>
  <si>
    <t>Luizoe</t>
  </si>
  <si>
    <t>Baseball Superstars® 2012. (Baseball Superstars 2012)</t>
  </si>
  <si>
    <t>1.0.3</t>
  </si>
  <si>
    <t>zus</t>
  </si>
  <si>
    <t>Batman Arkham City Lockdown</t>
  </si>
  <si>
    <t>All purchases can be made in cracked version.  Need internet connection to do so</t>
  </si>
  <si>
    <t>in the version 1.3 iapcracker doesnt work, but in the v1.2 works, and in the v1.3,is a new batsuit batman year one, if anybody have this, please tell me</t>
  </si>
  <si>
    <t>@JUL_iPhone</t>
  </si>
  <si>
    <t>Battery Watch Plus (free) v2.1.0 [iPhone]</t>
  </si>
  <si>
    <t>2.1.0</t>
  </si>
  <si>
    <t>Unlock Pro Features ($0.99)</t>
  </si>
  <si>
    <t>DarkSkies</t>
  </si>
  <si>
    <t>Battle Bear Zombies!</t>
  </si>
  <si>
    <t>Ad removal</t>
  </si>
  <si>
    <t>Battle Bears -1</t>
  </si>
  <si>
    <t>Gets rid of ads &amp; gives you other stuff</t>
  </si>
  <si>
    <t>PiggyAmmo</t>
  </si>
  <si>
    <t>Battle Fury</t>
  </si>
  <si>
    <t>Works for buying gems, gold, etc.</t>
  </si>
  <si>
    <t>J</t>
  </si>
  <si>
    <t>Battle nations</t>
  </si>
  <si>
    <t xml:space="preserve">It's server side protected. Can't buy nano
</t>
  </si>
  <si>
    <t>Sidik</t>
  </si>
  <si>
    <t>Battleground</t>
  </si>
  <si>
    <t>BattleLand HD - Wariors vs Monster</t>
  </si>
  <si>
    <t>Verify failed</t>
  </si>
  <si>
    <t>Battleloot</t>
  </si>
  <si>
    <t>Can Buy Coins</t>
  </si>
  <si>
    <t>NakedFury</t>
  </si>
  <si>
    <t>Battlenova</t>
  </si>
  <si>
    <t xml:space="preserve">Stays at processing request </t>
  </si>
  <si>
    <t>Signe</t>
  </si>
  <si>
    <t>BBC iPlayer</t>
  </si>
  <si>
    <t>most recent</t>
  </si>
  <si>
    <t>Stuck on purchase loop - nothing happens</t>
  </si>
  <si>
    <t>jimothy</t>
  </si>
  <si>
    <t>Beat Hazard Ultra</t>
  </si>
  <si>
    <t>SkHero</t>
  </si>
  <si>
    <t>Beatwave</t>
  </si>
  <si>
    <t>Able to download all song packs and loops well. No issues.</t>
  </si>
  <si>
    <t>jeremy89632</t>
  </si>
  <si>
    <t xml:space="preserve">Bedtime HD </t>
  </si>
  <si>
    <t xml:space="preserve">Can buy everything </t>
  </si>
  <si>
    <t>Oreyon</t>
  </si>
  <si>
    <t>Beejive GT</t>
  </si>
  <si>
    <t>lex</t>
  </si>
  <si>
    <t>BeejiveIM for Facebook</t>
  </si>
  <si>
    <t>Kaydin</t>
  </si>
  <si>
    <t>Bejeweled Blitz</t>
  </si>
  <si>
    <t>success to buy a coin but doesn't increase coins.</t>
  </si>
  <si>
    <t>Belly Jam</t>
  </si>
  <si>
    <t>vidolaem</t>
  </si>
  <si>
    <t>Bg</t>
  </si>
  <si>
    <t>No longer works! Please help to crack this game! thanks you!</t>
  </si>
  <si>
    <t>Bible+</t>
  </si>
  <si>
    <t xml:space="preserve">Bieber Find
</t>
  </si>
  <si>
    <t xml:space="preserve">Bieber Photo Me
</t>
  </si>
  <si>
    <t xml:space="preserve">Bieber Spot
</t>
  </si>
  <si>
    <t>Big Fish Games (Especially Hidden Objects)</t>
  </si>
  <si>
    <t>All in app purchases work, including unlock &amp; collector edition unlock</t>
  </si>
  <si>
    <t>Big Time Gangsta</t>
  </si>
  <si>
    <t>Buy Everything perfect!</t>
  </si>
  <si>
    <t>Big Win Soccer</t>
  </si>
  <si>
    <t>Purchase can't be proccessed</t>
  </si>
  <si>
    <t>BraveTitan22</t>
  </si>
  <si>
    <t>Bike Baron</t>
  </si>
  <si>
    <t>Works perfectly for all purchases</t>
  </si>
  <si>
    <t>niteshade</t>
  </si>
  <si>
    <t>Bike Mania</t>
  </si>
  <si>
    <t>Unlock all levels</t>
  </si>
  <si>
    <t>BoLaS</t>
  </si>
  <si>
    <t>Bird Hunting Mania</t>
  </si>
  <si>
    <t>Guk, luudaigiang</t>
  </si>
  <si>
    <t>Bird Zapper!</t>
  </si>
  <si>
    <t>Can buy all battery charge</t>
  </si>
  <si>
    <t>Blackjack</t>
  </si>
  <si>
    <t>You can buy all of the chips! Works fine!</t>
  </si>
  <si>
    <t>cars1806</t>
  </si>
  <si>
    <t xml:space="preserve">Blade Of Darkness </t>
  </si>
  <si>
    <t>ShaunLQZ</t>
  </si>
  <si>
    <t>Blobster</t>
  </si>
  <si>
    <t>Blockwick</t>
  </si>
  <si>
    <t>Can buy every pack</t>
  </si>
  <si>
    <t>Blood &amp; Glory (Blood and Glory)</t>
  </si>
  <si>
    <t xml:space="preserve">
</t>
  </si>
  <si>
    <t>Ninja</t>
  </si>
  <si>
    <t>Bloons 2</t>
  </si>
  <si>
    <t>Able to purchase infinite solutions + skips</t>
  </si>
  <si>
    <t>Bloons TD 4</t>
  </si>
  <si>
    <t>It unlocks all the upgrades</t>
  </si>
  <si>
    <t>Modreducks</t>
  </si>
  <si>
    <t>Unlocks all upgrades and extreme maps</t>
  </si>
  <si>
    <t>Blueprint 3D HD</t>
  </si>
  <si>
    <t>Boinga</t>
  </si>
  <si>
    <t>purchase credits</t>
  </si>
  <si>
    <t>ZaizenK</t>
  </si>
  <si>
    <t>Book of heroes</t>
  </si>
  <si>
    <t>Gives purchase receipt error</t>
  </si>
  <si>
    <t>penandlim</t>
  </si>
  <si>
    <t>Book Walker</t>
  </si>
  <si>
    <t>Unable to purchase magazine.
Note: This is japanese app store-exclusive apps</t>
  </si>
  <si>
    <t>Boss Battles</t>
  </si>
  <si>
    <t>Able to buy gems.</t>
  </si>
  <si>
    <t>Aarian</t>
  </si>
  <si>
    <t>Bouncy Penguin HD</t>
  </si>
  <si>
    <t xml:space="preserve">All in app purchases work </t>
  </si>
  <si>
    <t>Boxcar</t>
  </si>
  <si>
    <t>Purchase to disable ads. Think it worked.</t>
  </si>
  <si>
    <t>iamse7en</t>
  </si>
  <si>
    <t>Boxman HD</t>
  </si>
  <si>
    <t>Can buy more "initial money"</t>
  </si>
  <si>
    <t>Braveheart</t>
  </si>
  <si>
    <t>Unlocks the new content also able to purchase gold and boost gold drop rate</t>
  </si>
  <si>
    <t>Break &amp; Crack it !</t>
  </si>
  <si>
    <t>BREAKOUT</t>
  </si>
  <si>
    <t>Purchase additional levels</t>
  </si>
  <si>
    <t>Duces</t>
  </si>
  <si>
    <t>Bria (iPhone Edition)</t>
  </si>
  <si>
    <t>All Premium Features (Codec, Messenger)</t>
  </si>
  <si>
    <t>D3LTA</t>
  </si>
  <si>
    <t>British medical journal</t>
  </si>
  <si>
    <t>Purchases and download every issue</t>
  </si>
  <si>
    <t>Pegsk</t>
  </si>
  <si>
    <t>Brother in Arms 2: Global Front Free+</t>
  </si>
  <si>
    <t>Not working</t>
  </si>
  <si>
    <t>Keigo@ZA</t>
  </si>
  <si>
    <t xml:space="preserve">Bubble Bust </t>
  </si>
  <si>
    <t>PURCHASE ANYTHING IN THE POWER UP STORE</t>
  </si>
  <si>
    <t>Bubble Bust!</t>
  </si>
  <si>
    <t>Works fine!</t>
  </si>
  <si>
    <t>[Ars]Giang</t>
  </si>
  <si>
    <t>Buddy Rush</t>
  </si>
  <si>
    <t>You get chips but you lose connection after and chips reset.</t>
  </si>
  <si>
    <t>Killmate</t>
  </si>
  <si>
    <t>Bug Heroes Quest</t>
  </si>
  <si>
    <t>1.3.6</t>
  </si>
  <si>
    <t>Bull Mouse</t>
  </si>
  <si>
    <t>Bullet time HD</t>
  </si>
  <si>
    <t>Bunny Shooter Christmas</t>
  </si>
  <si>
    <t>Burn the Rope &amp; Burn the Rope World</t>
  </si>
  <si>
    <t>busuu Language Programs</t>
  </si>
  <si>
    <t>All additional levels</t>
  </si>
  <si>
    <t>Lang</t>
  </si>
  <si>
    <t>Byline</t>
  </si>
  <si>
    <t>Remove Ads</t>
  </si>
  <si>
    <t>B0B</t>
  </si>
  <si>
    <t>Cabals</t>
  </si>
  <si>
    <t>App stuck on "Processing" when trying to purchase credits.</t>
  </si>
  <si>
    <t>Zaraf</t>
  </si>
  <si>
    <t>Cake Mania Max (free)</t>
  </si>
  <si>
    <t>Buy button to unlock full version does nothing</t>
  </si>
  <si>
    <t>ISOHaven</t>
  </si>
  <si>
    <t>Calc Pro HD</t>
  </si>
  <si>
    <t>Please add this app</t>
  </si>
  <si>
    <t>dsneaky</t>
  </si>
  <si>
    <t>Calculator for iPad Free</t>
  </si>
  <si>
    <t>Caligo Chaser</t>
  </si>
  <si>
    <t>Call Monitor</t>
  </si>
  <si>
    <t>Unlocks Plan Monitor</t>
  </si>
  <si>
    <t>Call of Mini: Double Shot</t>
  </si>
  <si>
    <t>Buy coin and unlock weapon</t>
  </si>
  <si>
    <t>Call of Mini: Sniper (CoM: LS)</t>
  </si>
  <si>
    <t>Haseekoli</t>
  </si>
  <si>
    <t>Call of Mini: Zombies</t>
  </si>
  <si>
    <t>Camera+</t>
  </si>
  <si>
    <t>Works for all extra filter</t>
  </si>
  <si>
    <t>Hawkeye</t>
  </si>
  <si>
    <t>CamWow</t>
  </si>
  <si>
    <t>Removes watermark</t>
  </si>
  <si>
    <t>jpalharini</t>
  </si>
  <si>
    <t>Candy Count - Learn Colors &amp; Numbers</t>
  </si>
  <si>
    <t>CanKnockDown</t>
  </si>
  <si>
    <t>Unlock "EXTRA STUFF"</t>
  </si>
  <si>
    <t>SaviorAdam</t>
  </si>
  <si>
    <t>Canon Lenses</t>
  </si>
  <si>
    <t>Upgrade is working</t>
  </si>
  <si>
    <t>CAPCOM ARCADE</t>
  </si>
  <si>
    <t>Craigeyboyz</t>
  </si>
  <si>
    <t>Capital Quizzer / Capitales</t>
  </si>
  <si>
    <t>You can purchase the golden ticket to unlock all packages or purchase each pack separately</t>
  </si>
  <si>
    <t>Prometeo17</t>
  </si>
  <si>
    <t>Capture Pilot</t>
  </si>
  <si>
    <t>LogiTexX</t>
  </si>
  <si>
    <t>Car City Pro</t>
  </si>
  <si>
    <t>Buying coins ok</t>
  </si>
  <si>
    <t>Carcassonne</t>
  </si>
  <si>
    <t>Works for River and Inns and Cathedrals Purchases</t>
  </si>
  <si>
    <t>f3int</t>
  </si>
  <si>
    <t>Card Ace: Casino HD</t>
  </si>
  <si>
    <t>Cartoon War 2: Heros</t>
  </si>
  <si>
    <t>evildragon</t>
  </si>
  <si>
    <t>Cartoon Wars</t>
  </si>
  <si>
    <t>Everything fine</t>
  </si>
  <si>
    <t>Cartoon Wars (Original)</t>
  </si>
  <si>
    <t>Able to Buy Gold</t>
  </si>
  <si>
    <t>JD</t>
  </si>
  <si>
    <t>Cartoon Wars Gunner+</t>
  </si>
  <si>
    <t>1.1.1</t>
  </si>
  <si>
    <t>Cartoon Wars II (Heroes)</t>
  </si>
  <si>
    <t>ryan97</t>
  </si>
  <si>
    <t>Casino Free</t>
  </si>
  <si>
    <t xml:space="preserve"> </t>
  </si>
  <si>
    <t>Castle Age</t>
  </si>
  <si>
    <t>Purchase Succeeded but not get any favor point</t>
  </si>
  <si>
    <t>antidust</t>
  </si>
  <si>
    <t xml:space="preserve">Castle Kingdom </t>
  </si>
  <si>
    <t>Stuck At Loading Screen</t>
  </si>
  <si>
    <t>Wonder</t>
  </si>
  <si>
    <t>Castle Kingdom™</t>
  </si>
  <si>
    <t>Catan</t>
  </si>
  <si>
    <t>2.1.4</t>
  </si>
  <si>
    <t>Unlock Seafarers on 2.1.4</t>
  </si>
  <si>
    <t>cytmike</t>
  </si>
  <si>
    <t>CATCHa PRINCE</t>
  </si>
  <si>
    <t>Works fine</t>
  </si>
  <si>
    <t>Cause of Death</t>
  </si>
  <si>
    <t>1.4.2</t>
  </si>
  <si>
    <t>Caveman Land</t>
  </si>
  <si>
    <t>Can not purchase anything</t>
  </si>
  <si>
    <t>Celeb Me</t>
  </si>
  <si>
    <t>Celtic Heroes</t>
  </si>
  <si>
    <t>it says processing and no platinum</t>
  </si>
  <si>
    <t>CF Defense 2</t>
  </si>
  <si>
    <t>Chalk n' Talk deluxe</t>
  </si>
  <si>
    <t>Loads for a second then returns and gives a message " Purchase Receipt is invalid"</t>
  </si>
  <si>
    <t>Spirit2</t>
  </si>
  <si>
    <t>most_uniQue</t>
  </si>
  <si>
    <t>ChasinYello</t>
  </si>
  <si>
    <t>Can buy all</t>
  </si>
  <si>
    <t>Cheats for PS3</t>
  </si>
  <si>
    <t>It works I bought the cheat of FIFA 12</t>
  </si>
  <si>
    <t>Michael Joel</t>
  </si>
  <si>
    <t>Check cartoon wars</t>
  </si>
  <si>
    <t>None of them work anymore</t>
  </si>
  <si>
    <t>Varun M.</t>
  </si>
  <si>
    <t>Chef Story</t>
  </si>
  <si>
    <t xml:space="preserve"> Fail to purchase product</t>
  </si>
  <si>
    <t>Gambit</t>
  </si>
  <si>
    <t>Chicken Rain</t>
  </si>
  <si>
    <t>Can purchase coins</t>
  </si>
  <si>
    <t>Chicken Revolution</t>
  </si>
  <si>
    <t>Everything works</t>
  </si>
  <si>
    <t>Chinese Zombies vs Ninja</t>
  </si>
  <si>
    <t>Chip CZ</t>
  </si>
  <si>
    <t>Purchase does not start download</t>
  </si>
  <si>
    <t>Chronicles of Merlin</t>
  </si>
  <si>
    <t>purchase failed... doesn't work... i guess is server protected</t>
  </si>
  <si>
    <t>djfocu</t>
  </si>
  <si>
    <t>CineCam</t>
  </si>
  <si>
    <t>Able to buy credits and spend them in packages.</t>
  </si>
  <si>
    <t>CineXPlayer</t>
  </si>
  <si>
    <t>Circus City</t>
  </si>
  <si>
    <t>You can buy Tickets</t>
  </si>
  <si>
    <t xml:space="preserve">City Friends </t>
  </si>
  <si>
    <t>1.0.0.15</t>
  </si>
  <si>
    <t xml:space="preserve">Purchase verification failed. When purchasing mayor cash. </t>
  </si>
  <si>
    <t>allenlistar</t>
  </si>
  <si>
    <t>City Guide</t>
  </si>
  <si>
    <t>All maps</t>
  </si>
  <si>
    <t>sergjjj</t>
  </si>
  <si>
    <t>City of wonders</t>
  </si>
  <si>
    <t>Does not work, download crashes</t>
  </si>
  <si>
    <t>Me</t>
  </si>
  <si>
    <t>City Story</t>
  </si>
  <si>
    <t xml:space="preserve">Tested it. Does not bring you to the purchase cash screen. </t>
  </si>
  <si>
    <t>Needs Testing</t>
  </si>
  <si>
    <t>Cityville Hometown</t>
  </si>
  <si>
    <t>Sergio</t>
  </si>
  <si>
    <t>Clash of Clans</t>
  </si>
  <si>
    <t>No Gems purchase possible</t>
  </si>
  <si>
    <t>Jeroen433</t>
  </si>
  <si>
    <t>Clash Of Clans</t>
  </si>
  <si>
    <t>NOT WORKING no gems purchase possible</t>
  </si>
  <si>
    <t>Cliff Diver</t>
  </si>
  <si>
    <t>Buy more coins</t>
  </si>
  <si>
    <t>Jaaaaaaaaaam</t>
  </si>
  <si>
    <t>Clockwork Brain</t>
  </si>
  <si>
    <t>Game minimizes and purchase isn't made</t>
  </si>
  <si>
    <t>Cocktail Flow</t>
  </si>
  <si>
    <t>Can purchase all store premium packages.</t>
  </si>
  <si>
    <t>QretywX</t>
  </si>
  <si>
    <t>Cogs</t>
  </si>
  <si>
    <t>Purchase all levels</t>
  </si>
  <si>
    <t>Coin Dozer</t>
  </si>
  <si>
    <t>coin frenzy</t>
  </si>
  <si>
    <t>asks for apple id</t>
  </si>
  <si>
    <t>N00oo00oob</t>
  </si>
  <si>
    <t>Coin Frenzy HD</t>
  </si>
  <si>
    <t>Buying 2,000 coins actually gives you 6,000 coins</t>
  </si>
  <si>
    <t>Coin Pirates</t>
  </si>
  <si>
    <t>Kets</t>
  </si>
  <si>
    <t>Coin vs Zombies</t>
  </si>
  <si>
    <t>Works on iAP crackers v0.5-1</t>
  </si>
  <si>
    <t>coinDatabase</t>
  </si>
  <si>
    <t>Color Pencil</t>
  </si>
  <si>
    <t>Can purchase packs</t>
  </si>
  <si>
    <t>Combat Arms: Zombies</t>
  </si>
  <si>
    <t>Processing forever</t>
  </si>
  <si>
    <t>Comics</t>
  </si>
  <si>
    <t>comics doesnt work it say download error</t>
  </si>
  <si>
    <t>Comics+</t>
  </si>
  <si>
    <t>TheJuice</t>
  </si>
  <si>
    <t>Comixology</t>
  </si>
  <si>
    <t>Command &amp; Conquer: Red Alert</t>
  </si>
  <si>
    <t>Map and Expansion parks download and install, but are not present in Skirmish mode.</t>
  </si>
  <si>
    <t>Annyms</t>
  </si>
  <si>
    <t>Commodore 64</t>
  </si>
  <si>
    <t>It work!!! All games available unlocked!</t>
  </si>
  <si>
    <t>Maurice, Qixx, Mizzio</t>
  </si>
  <si>
    <t>Computer</t>
  </si>
  <si>
    <t>Congas</t>
  </si>
  <si>
    <t>Ad remove</t>
  </si>
  <si>
    <t>Moose</t>
  </si>
  <si>
    <t>Conquest of fantasia</t>
  </si>
  <si>
    <t xml:space="preserve">game keeps buffering </t>
  </si>
  <si>
    <t>Contract Killer</t>
  </si>
  <si>
    <t>Able to purchase credits etc</t>
  </si>
  <si>
    <t>Contract Killer Zombie</t>
  </si>
  <si>
    <t>Purchased weapons, grenades, money and gold.</t>
  </si>
  <si>
    <t>Maloon</t>
  </si>
  <si>
    <t>Cooking Dash</t>
  </si>
  <si>
    <t>Can buy restaurants</t>
  </si>
  <si>
    <t>rdtx</t>
  </si>
  <si>
    <t>Cooking Mama</t>
  </si>
  <si>
    <t>Unlock restaurants</t>
  </si>
  <si>
    <t>Cordy</t>
  </si>
  <si>
    <t>Unlock Full version + costume packs</t>
  </si>
  <si>
    <t>Core Blaster</t>
  </si>
  <si>
    <t>Has to connect to the app store</t>
  </si>
  <si>
    <t>Cosmo For Guys</t>
  </si>
  <si>
    <t>Purchases fail, then app crashes - CONFIRMED NOT WORKING on iAP Cracker 0.6-1, iOS 5.0.1 with latest version of CFG.</t>
  </si>
  <si>
    <t>Cosmonauts</t>
  </si>
  <si>
    <t>Works for all buyable items but the screens still show as if not bought</t>
  </si>
  <si>
    <t>DevilRejected</t>
  </si>
  <si>
    <t>Cosmopolitan Magazine</t>
  </si>
  <si>
    <t>Can purchase magazines</t>
  </si>
  <si>
    <t>least_uniQue</t>
  </si>
  <si>
    <t>Cover Orange</t>
  </si>
  <si>
    <t>Cows vs Aliens</t>
  </si>
  <si>
    <t>Able to purchase upgrades and powerups</t>
  </si>
  <si>
    <t>Crate Collapse HD</t>
  </si>
  <si>
    <t>Unlock all levels and bonus</t>
  </si>
  <si>
    <t>Ozirone</t>
  </si>
  <si>
    <t>Crazy Cow</t>
  </si>
  <si>
    <t>Tested with genuine app v1.0.2.</t>
  </si>
  <si>
    <t>zugzug</t>
  </si>
  <si>
    <t>Crazy Snowboard</t>
  </si>
  <si>
    <t>Works great =) Gets both money and people free!</t>
  </si>
  <si>
    <t>BASiQ</t>
  </si>
  <si>
    <t>Creepy Manor</t>
  </si>
  <si>
    <t>Purchase Failed</t>
  </si>
  <si>
    <t>Chantelle3107</t>
  </si>
  <si>
    <t>Crime City</t>
  </si>
  <si>
    <t>Loading endlessly and money resets back to normal</t>
  </si>
  <si>
    <t>Crimson: Steam Pirates</t>
  </si>
  <si>
    <t>CrimsonHeart™</t>
  </si>
  <si>
    <t>HKD</t>
  </si>
  <si>
    <t>Cross Fingers</t>
  </si>
  <si>
    <t>CSR Racing</t>
  </si>
  <si>
    <t>All purchases are on their server not itunes</t>
  </si>
  <si>
    <t>30-06-12</t>
  </si>
  <si>
    <t>1.0.6</t>
  </si>
  <si>
    <t>Error server</t>
  </si>
  <si>
    <t>Čtyřlístek - Lucky Four</t>
  </si>
  <si>
    <t>Cut The Rope (series)</t>
  </si>
  <si>
    <t>Unlock Levels</t>
  </si>
  <si>
    <t>Nikos44</t>
  </si>
  <si>
    <t>Cut The Rope: Comics</t>
  </si>
  <si>
    <t>Works Perfectly</t>
  </si>
  <si>
    <t>Cut The Rope: Experiments</t>
  </si>
  <si>
    <t>Can´t buy superpowers</t>
  </si>
  <si>
    <t>Dark Fury</t>
  </si>
  <si>
    <t>you need to disable the app then go to the shop screen and re-enable to work</t>
  </si>
  <si>
    <t>Blimpi</t>
  </si>
  <si>
    <t>Dark Meadow v. 1.0.2</t>
  </si>
  <si>
    <t>1.0.1</t>
  </si>
  <si>
    <t>Guk: It works, but only if you purchased/genuinely own the apps, error occurs because it could not authenticate the ownership of the games.
phatpham: Works perfectly with Dark Meadow v1.0.1 crack</t>
  </si>
  <si>
    <t>Guk
phatpham</t>
  </si>
  <si>
    <t>Dark Summon</t>
  </si>
  <si>
    <t>Failure Purchasing - The purchase was failed.</t>
  </si>
  <si>
    <t>Anonymous</t>
  </si>
  <si>
    <t>Darkness Rush: Saving Princess</t>
  </si>
  <si>
    <t>Loads briefly as if iAP Cracker was successful and returns to the equip menu, but fails to unlock Helena or purchase any gold.</t>
  </si>
  <si>
    <t>Emuchu</t>
  </si>
  <si>
    <t>Dash Race</t>
  </si>
  <si>
    <t>DataMan Free - Real Time Data Usage Manager</t>
  </si>
  <si>
    <t>Removes Upgrade Text (Just removes the ad)</t>
  </si>
  <si>
    <t>some_dude</t>
  </si>
  <si>
    <t>Dawgs</t>
  </si>
  <si>
    <t>Purchase fails to validate</t>
  </si>
  <si>
    <t>DC Comics</t>
  </si>
  <si>
    <t>DDR S+</t>
  </si>
  <si>
    <t>infinty</t>
  </si>
  <si>
    <t>Dead Lock</t>
  </si>
  <si>
    <t>Dead on Arrival</t>
  </si>
  <si>
    <t>Works fine remove ads/give money</t>
  </si>
  <si>
    <t>Dead Space</t>
  </si>
  <si>
    <t>1.3.8</t>
  </si>
  <si>
    <t>v1.3.8: only tested on credit booster, atk and def boosters, it takes a while but eventually goes through.  Unsure if you get banned though :P
Latest version of iAPCracker seems to hang on loading the iAP store running 2g iTouch 4.2.1 iOS JB 05/01/2012
05/01/2012 1.3.8 seems like if you buy the boosters the game will crash whenever you load up a saved game or start a new one, perhaps the DLC doesn't work?</t>
  </si>
  <si>
    <t>Dead Space HD</t>
  </si>
  <si>
    <t>Turn off 'Remove Metadata' in Installous settings if using cracked version.</t>
  </si>
  <si>
    <t>Dead Trigger</t>
  </si>
  <si>
    <t>can download the editions manually, but when do subscription just sits there and hangs, do subscription before installing iAPCracker</t>
  </si>
  <si>
    <t>SimonSmith5521</t>
  </si>
  <si>
    <t>just says IN APP PURCHASE FAILED</t>
  </si>
  <si>
    <t>Death Call</t>
  </si>
  <si>
    <t>You can buy WP (currency).</t>
  </si>
  <si>
    <t>Death Rally</t>
  </si>
  <si>
    <t>Tested working on genuinely purchased apps</t>
  </si>
  <si>
    <t>Death Rider</t>
  </si>
  <si>
    <t>DeathSmiles</t>
  </si>
  <si>
    <t>Deep Deep Dungeon</t>
  </si>
  <si>
    <t>Buy all the gold you want to upgrade your weapons and armor!</t>
  </si>
  <si>
    <t>Deer Hunter 3D</t>
  </si>
  <si>
    <t>Deer Hunter Challenge</t>
  </si>
  <si>
    <t>Requires log into Game Center</t>
  </si>
  <si>
    <t>Deer Hunter Reloaded</t>
  </si>
  <si>
    <t>2.0.0</t>
  </si>
  <si>
    <t>You can buy Hunter Buck and Gold</t>
  </si>
  <si>
    <t>rroyy</t>
  </si>
  <si>
    <t xml:space="preserve">28-06-2012
</t>
  </si>
  <si>
    <t>Defenders chronicles</t>
  </si>
  <si>
    <t>All</t>
  </si>
  <si>
    <t>Democracy(Демократия)</t>
  </si>
  <si>
    <t>Twen</t>
  </si>
  <si>
    <t>Demon Cam</t>
  </si>
  <si>
    <t>Dav</t>
  </si>
  <si>
    <t>Demon Hunter (Both Full &amp; Ad-Free) V1.0.5 and v1.0.2</t>
  </si>
  <si>
    <t>Everything works well</t>
  </si>
  <si>
    <t>Design This Home</t>
  </si>
  <si>
    <t>All in-game currencies can be bought.</t>
  </si>
  <si>
    <t>ohye0880</t>
  </si>
  <si>
    <t>Destinia</t>
  </si>
  <si>
    <t>Purchasing works but its a bit slow, plist hack is better</t>
  </si>
  <si>
    <t>Destiny Defense: Angel or Devil</t>
  </si>
  <si>
    <t>Can buy "Magicstone"</t>
  </si>
  <si>
    <t>Destructopus</t>
  </si>
  <si>
    <t>Devil's Quest</t>
  </si>
  <si>
    <t>Devils Quest</t>
  </si>
  <si>
    <t>1.2.2</t>
  </si>
  <si>
    <t>Everything fine, but can't decide how much</t>
  </si>
  <si>
    <t>Dex</t>
  </si>
  <si>
    <t>Diamond Dash</t>
  </si>
  <si>
    <t>2.0.1</t>
  </si>
  <si>
    <t>It works if you have not log in appstore yet.</t>
  </si>
  <si>
    <t>ShadowDArK</t>
  </si>
  <si>
    <t>Diamond Dash 2.0</t>
  </si>
  <si>
    <t>After update doesn't work anymore</t>
  </si>
  <si>
    <t>rauldzmartin</t>
  </si>
  <si>
    <t>Diamond Dash v1.3</t>
  </si>
  <si>
    <t>It works i bought 6000 golds...</t>
  </si>
  <si>
    <t>VorteX_VG</t>
  </si>
  <si>
    <t>Dice Soccer</t>
  </si>
  <si>
    <t>Perfect! Can unlock everything: players, t-shirts, pants, etc...</t>
  </si>
  <si>
    <t>Mazzacane</t>
  </si>
  <si>
    <t>Dig BMX (Newsstand)</t>
  </si>
  <si>
    <t>Nothing happens when pressing purchase</t>
  </si>
  <si>
    <t>Digital Camera InApp</t>
  </si>
  <si>
    <t>Digital Photographer</t>
  </si>
  <si>
    <t>DigSectional</t>
  </si>
  <si>
    <t>Synthetic Vision and Unlimited Yearly subscription</t>
  </si>
  <si>
    <t>Atrcap</t>
  </si>
  <si>
    <t>Dimensions</t>
  </si>
  <si>
    <t>Purchase goes through but has no effect.</t>
  </si>
  <si>
    <t>Jimboker</t>
  </si>
  <si>
    <t>Diner Dash</t>
  </si>
  <si>
    <t>Diner Town Zoo "version 1.9.14"</t>
  </si>
  <si>
    <t>Dinner Dash Deluxe</t>
  </si>
  <si>
    <t>3.14.S</t>
  </si>
  <si>
    <t xml:space="preserve">Can purchase everything like levels, items. Purchase window pop up, but you will get what you need right after you hit the button. </t>
  </si>
  <si>
    <t>alanle92</t>
  </si>
  <si>
    <t>Dino Cap 2</t>
  </si>
  <si>
    <t>Works with coin and XXL Clips.</t>
  </si>
  <si>
    <t>ducksgotswag</t>
  </si>
  <si>
    <t>Dino Puzzle HD</t>
  </si>
  <si>
    <t>Unlock all 15 Dinosauer Pack</t>
  </si>
  <si>
    <t>Dino Puzzles 2 HD</t>
  </si>
  <si>
    <t>Unlock all the rest of the Dinosuer Pack</t>
  </si>
  <si>
    <t>Dino Zoo</t>
  </si>
  <si>
    <t>Works for everything</t>
  </si>
  <si>
    <t>Diptic</t>
  </si>
  <si>
    <t>Disc Drivin'</t>
  </si>
  <si>
    <t>Perfect! You can buy all design discs...</t>
  </si>
  <si>
    <t>Disney Comics</t>
  </si>
  <si>
    <t>Verification Fails</t>
  </si>
  <si>
    <t>Disposable</t>
  </si>
  <si>
    <t>Works great with all in-app.</t>
  </si>
  <si>
    <t>DJ Rivals</t>
  </si>
  <si>
    <t>No error, but no purchase result</t>
  </si>
  <si>
    <t>Do Not Press The Red Button</t>
  </si>
  <si>
    <t>Use latest iAP Cracker</t>
  </si>
  <si>
    <t>DocScan</t>
  </si>
  <si>
    <t>DocsToGo</t>
  </si>
  <si>
    <t>4.0.7</t>
  </si>
  <si>
    <t>Requires premium content purchase</t>
  </si>
  <si>
    <t>mazmart</t>
  </si>
  <si>
    <t>Doctor Who: The Mazes of Time</t>
  </si>
  <si>
    <t>Qixx</t>
  </si>
  <si>
    <t>Don't Blink</t>
  </si>
  <si>
    <t>Don't Run With a Plasma Sword</t>
  </si>
  <si>
    <t>1.1.0 Purchases works</t>
  </si>
  <si>
    <t>Doodle Arcade Shooter</t>
  </si>
  <si>
    <t>Doodle Cam</t>
  </si>
  <si>
    <t>Doodle Devil</t>
  </si>
  <si>
    <t>Doodle Fit</t>
  </si>
  <si>
    <t>Doodle Grub</t>
  </si>
  <si>
    <t>crashes the first time, but it works after that</t>
  </si>
  <si>
    <t>Doraemon Fishing 2</t>
  </si>
  <si>
    <t>Doraemon Fishing+</t>
  </si>
  <si>
    <t xml:space="preserve">Drag Racer: Pro Tuner </t>
  </si>
  <si>
    <t>Drag racing Free</t>
  </si>
  <si>
    <t>Infinite RP and ad removal working.</t>
  </si>
  <si>
    <t>Barnzey94</t>
  </si>
  <si>
    <t>Dragonvale</t>
  </si>
  <si>
    <t>J:)</t>
  </si>
  <si>
    <t>DragonVale</t>
  </si>
  <si>
    <t>1.8.1</t>
  </si>
  <si>
    <t>Still works on everything</t>
  </si>
  <si>
    <t>DrakeRider</t>
  </si>
  <si>
    <t>Unlock all chapters. Buy all content</t>
  </si>
  <si>
    <t>AquaKev</t>
  </si>
  <si>
    <t>Draw Pad Pro</t>
  </si>
  <si>
    <t>Purchase in App Photo Add-on Tool.</t>
  </si>
  <si>
    <t>IamAwesom3, rctgamer3</t>
  </si>
  <si>
    <t>Draw Something Free</t>
  </si>
  <si>
    <t>App hangs when trying to purchase coins</t>
  </si>
  <si>
    <t>Drawn 2 (free)</t>
  </si>
  <si>
    <t>Unlock full version from within the free version with no login</t>
  </si>
  <si>
    <t>DrawRace 2</t>
  </si>
  <si>
    <t>DrawSomething by OMGPOP</t>
  </si>
  <si>
    <t>Sparkul</t>
  </si>
  <si>
    <t>Dream Heights</t>
  </si>
  <si>
    <t>Dream League Soccer</t>
  </si>
  <si>
    <t xml:space="preserve">Purchasing coins works perfectly. </t>
  </si>
  <si>
    <t>YoungStarDC</t>
  </si>
  <si>
    <t>Dream Park</t>
  </si>
  <si>
    <t>Maxo396</t>
  </si>
  <si>
    <t>Dream Pet Hotel</t>
  </si>
  <si>
    <t>Just didn't work :(</t>
  </si>
  <si>
    <t>Dream Train</t>
  </si>
  <si>
    <t>Dream Zoo</t>
  </si>
  <si>
    <t>Does not error, but the game locks up and you get nothing.</t>
  </si>
  <si>
    <t>Dress Taylor</t>
  </si>
  <si>
    <t>Unlocks all dresses, accessories, shoes and backgrounds.</t>
  </si>
  <si>
    <t>Saitz</t>
  </si>
  <si>
    <t>Duck Hunt Crazy</t>
  </si>
  <si>
    <t>jacfook</t>
  </si>
  <si>
    <t>Duck Shoot</t>
  </si>
  <si>
    <t>add more shooting galleries</t>
  </si>
  <si>
    <t>Carnage</t>
  </si>
  <si>
    <t>Dude Perfect</t>
  </si>
  <si>
    <t>PFost19</t>
  </si>
  <si>
    <t>Duel: Blade and Magic</t>
  </si>
  <si>
    <t xml:space="preserve">Can open pandora's box </t>
  </si>
  <si>
    <t>baothai</t>
  </si>
  <si>
    <t>Dumpert</t>
  </si>
  <si>
    <t>Read comment for awesome &gt;</t>
  </si>
  <si>
    <t>Dungeon Defenders</t>
  </si>
  <si>
    <t>Dungeon Hunter 3</t>
  </si>
  <si>
    <t>E-anatomy in-app (v3.0.2)</t>
  </si>
  <si>
    <t>EA Superstars</t>
  </si>
  <si>
    <t xml:space="preserve">Error Invalid Purchase </t>
  </si>
  <si>
    <t>SMiiDGeOwNzZ</t>
  </si>
  <si>
    <t>Early Bird</t>
  </si>
  <si>
    <t>Works. Unlocks Phoenix</t>
  </si>
  <si>
    <t>Antheleon</t>
  </si>
  <si>
    <t>Earth And Legend HD</t>
  </si>
  <si>
    <t>Easy Books</t>
  </si>
  <si>
    <t>EasyMeasure</t>
  </si>
  <si>
    <t>ebook4u</t>
  </si>
  <si>
    <t>Can buy all book</t>
  </si>
  <si>
    <t>Echofon</t>
  </si>
  <si>
    <t>farhanito</t>
  </si>
  <si>
    <t>Edge</t>
  </si>
  <si>
    <t>You can buy bonus levels.</t>
  </si>
  <si>
    <t>Andrew</t>
  </si>
  <si>
    <t>Egg Punch</t>
  </si>
  <si>
    <t>Maurice</t>
  </si>
  <si>
    <t>El Economista</t>
  </si>
  <si>
    <t>Yancha</t>
  </si>
  <si>
    <t>Element Defense</t>
  </si>
  <si>
    <t>"Purchase has been cancelled"</t>
  </si>
  <si>
    <t>alexei</t>
  </si>
  <si>
    <t>Elemental Knights Online</t>
  </si>
  <si>
    <t>crashes when purchasing</t>
  </si>
  <si>
    <t>Elf Defense Eng</t>
  </si>
  <si>
    <t>v1.0.2</t>
  </si>
  <si>
    <t>ELLE US</t>
  </si>
  <si>
    <t>Elsivier anaesthesia</t>
  </si>
  <si>
    <t>Empire</t>
  </si>
  <si>
    <t>will not download</t>
  </si>
  <si>
    <t>Empire Online</t>
  </si>
  <si>
    <t>Server side protected</t>
  </si>
  <si>
    <t>Empire Story</t>
  </si>
  <si>
    <t xml:space="preserve">Doesn't let you purchase gems(the ingame currency). </t>
  </si>
  <si>
    <t>Empire War</t>
  </si>
  <si>
    <t>Emross war</t>
  </si>
  <si>
    <t>EnchantU</t>
  </si>
  <si>
    <t>Entertainment Weekly Magazine</t>
  </si>
  <si>
    <t>Gives error message when trying to purchase</t>
  </si>
  <si>
    <t>Rekognize</t>
  </si>
  <si>
    <t>Epic Gladiator</t>
  </si>
  <si>
    <t>Unlocks glory and gold</t>
  </si>
  <si>
    <t>EPOCH.</t>
  </si>
  <si>
    <t>Eredivisie</t>
  </si>
  <si>
    <t>Works, but i'm unable to view any live matches, tries to load the video, then exits. Needs testing.</t>
  </si>
  <si>
    <t>Escape the Ape</t>
  </si>
  <si>
    <t>Esplorando il Corpo Umano</t>
  </si>
  <si>
    <t>It was an error.</t>
  </si>
  <si>
    <t>Mizzio</t>
  </si>
  <si>
    <t>Esquire iPad Edition</t>
  </si>
  <si>
    <t>Purchases fail</t>
  </si>
  <si>
    <t>Eternity - Garden Of Heaven</t>
  </si>
  <si>
    <t>Eternity Warriors</t>
  </si>
  <si>
    <t>Eternity Warriors 2</t>
  </si>
  <si>
    <t>Crashes upon buying anything</t>
  </si>
  <si>
    <t>Xie323</t>
  </si>
  <si>
    <t>Etolis: Arena</t>
  </si>
  <si>
    <t>Eurosport Player</t>
  </si>
  <si>
    <t>Evernote</t>
  </si>
  <si>
    <t>Evertales</t>
  </si>
  <si>
    <t>Great game</t>
  </si>
  <si>
    <t>Everyfarm</t>
  </si>
  <si>
    <t>Purchase acquired, but money doesn't increase.</t>
  </si>
  <si>
    <t>KKK</t>
  </si>
  <si>
    <t>Exitium</t>
  </si>
  <si>
    <t>1.0.5</t>
  </si>
  <si>
    <t>Buying coins seems to work with Airplane mode on.  Retested and it works with airplane mode off might be version specific? Works on version 1.0.5 regardless of mode</t>
  </si>
  <si>
    <t>Lindz408</t>
  </si>
  <si>
    <t>Exitium: Saviors of Vardonia</t>
  </si>
  <si>
    <t>JuzILLuSI0N</t>
  </si>
  <si>
    <t>Exoplanet</t>
  </si>
  <si>
    <t>Can buy anything</t>
  </si>
  <si>
    <t>tuankiet65</t>
  </si>
  <si>
    <t>Extraction version 1.0</t>
  </si>
  <si>
    <t>credits</t>
  </si>
  <si>
    <t>F.A.S.T</t>
  </si>
  <si>
    <t>Dan</t>
  </si>
  <si>
    <t>Fab Life</t>
  </si>
  <si>
    <t>Face in Hole</t>
  </si>
  <si>
    <t>no video purchase</t>
  </si>
  <si>
    <t>FaceFighter Ultimate</t>
  </si>
  <si>
    <t>vietu</t>
  </si>
  <si>
    <t>Fairway Solitare</t>
  </si>
  <si>
    <t>You can unlock full game and buy everything</t>
  </si>
  <si>
    <t>Fairy Fail</t>
  </si>
  <si>
    <t>Unlock new levels</t>
  </si>
  <si>
    <t>Fairy Farm</t>
  </si>
  <si>
    <t>Zer0id</t>
  </si>
  <si>
    <t>1.5.6</t>
  </si>
  <si>
    <t>Now when it's connected online or offline you can't purchase anything more.  You can only purchase the energy but as far as coins and gems you can't do it anymore.</t>
  </si>
  <si>
    <t>myZZiLLest</t>
  </si>
  <si>
    <t>Falldown 3D</t>
  </si>
  <si>
    <t>Hoithebest</t>
  </si>
  <si>
    <t>Falling Fred</t>
  </si>
  <si>
    <t>Buy other characters.</t>
  </si>
  <si>
    <t>Falling Fred Z</t>
  </si>
  <si>
    <t>Remove ads.</t>
  </si>
  <si>
    <t>Fame and Famine</t>
  </si>
  <si>
    <t>Unlocks famine mode</t>
  </si>
  <si>
    <t>migui.aguilar</t>
  </si>
  <si>
    <t>Family Feud® &amp; Friends</t>
  </si>
  <si>
    <t>iAP won't work; the app just loads forever when attempting to buy coins.</t>
  </si>
  <si>
    <t>tmou</t>
  </si>
  <si>
    <t>Fantastic Knight</t>
  </si>
  <si>
    <t>Coin shop works</t>
  </si>
  <si>
    <t>Fantasy Defense</t>
  </si>
  <si>
    <t>Works Great</t>
  </si>
  <si>
    <t>Stryder</t>
  </si>
  <si>
    <t>1.3.0</t>
  </si>
  <si>
    <t>No response</t>
  </si>
  <si>
    <t>Kozue</t>
  </si>
  <si>
    <t xml:space="preserve">Fantasy Hero </t>
  </si>
  <si>
    <t>Fantasy Town</t>
  </si>
  <si>
    <t>Farm Frenzy 3</t>
  </si>
  <si>
    <t>phatpham, chowlala</t>
  </si>
  <si>
    <t>Farm Story</t>
  </si>
  <si>
    <t>Not working anymore.</t>
  </si>
  <si>
    <t>Thef</t>
  </si>
  <si>
    <t>FarmKill</t>
  </si>
  <si>
    <t>You can purchase farm cash</t>
  </si>
  <si>
    <t>Nakediguana</t>
  </si>
  <si>
    <t>FarmVille</t>
  </si>
  <si>
    <t>Show the purchase but doesn't give credits (FV Cash or Coins)</t>
  </si>
  <si>
    <t>Fashion City</t>
  </si>
  <si>
    <t>You can buy lucky charms</t>
  </si>
  <si>
    <t>Fast five the movie: Official Game</t>
  </si>
  <si>
    <t>Fast Five: The Movie</t>
  </si>
  <si>
    <t>no</t>
  </si>
  <si>
    <t>just doesn't work</t>
  </si>
  <si>
    <t>thereverend</t>
  </si>
  <si>
    <t>Fatify</t>
  </si>
  <si>
    <t>Works great!</t>
  </si>
  <si>
    <t>Feast &amp; Famine</t>
  </si>
  <si>
    <t>Unlocks Famine</t>
  </si>
  <si>
    <t>Feed Me Oil</t>
  </si>
  <si>
    <t>Fieldrunners</t>
  </si>
  <si>
    <t xml:space="preserve">No
</t>
  </si>
  <si>
    <t>BASiQ, luudaigiang</t>
  </si>
  <si>
    <t>Fieldrunners 2</t>
  </si>
  <si>
    <t>V1.1</t>
  </si>
  <si>
    <t>NO</t>
  </si>
  <si>
    <t>DEFINITELY HANG,CRASH AND RESTART UR iDEVICE</t>
  </si>
  <si>
    <t>FIFA SOCCER 12 by EA SPORTS</t>
  </si>
  <si>
    <t>Cannot connect to store</t>
  </si>
  <si>
    <t>Fifa Superstars</t>
  </si>
  <si>
    <t>Invalid Purchase Error</t>
  </si>
  <si>
    <t>Aaron</t>
  </si>
  <si>
    <t>FIFA12</t>
  </si>
  <si>
    <t>Buy coins manager.</t>
  </si>
  <si>
    <t>XxXreyXxX</t>
  </si>
  <si>
    <t>Final Fantasy Dimensions</t>
  </si>
  <si>
    <t>Works on all store purchases.</t>
  </si>
  <si>
    <t>It's_Matt_XD</t>
  </si>
  <si>
    <t>Finger Shot RPG</t>
  </si>
  <si>
    <t>Finger Slayer</t>
  </si>
  <si>
    <t>Just stuck on loading icon when purchasing coins</t>
  </si>
  <si>
    <t>Runblade212</t>
  </si>
  <si>
    <t>FingerLaser</t>
  </si>
  <si>
    <t>Everything works perfectly!</t>
  </si>
  <si>
    <t>FirstWords Deluxe</t>
  </si>
  <si>
    <t>Fish Fury</t>
  </si>
  <si>
    <t>purchase extra coins infinitely to upgrade abilities</t>
  </si>
  <si>
    <t>gustao</t>
  </si>
  <si>
    <t>Fish Hunter - All Blue Sea</t>
  </si>
  <si>
    <t>Fish Puzzle HD</t>
  </si>
  <si>
    <t>unlock All the rest 25 fishes</t>
  </si>
  <si>
    <t>Fishing Joy HD</t>
  </si>
  <si>
    <t>1.6.3</t>
  </si>
  <si>
    <t>Fishing Kings Free+ (Fishing King)</t>
  </si>
  <si>
    <t>FitnessBuilder</t>
  </si>
  <si>
    <t>None of the memberships work</t>
  </si>
  <si>
    <t>Fix-It-Up HD</t>
  </si>
  <si>
    <t>KeyserSoze</t>
  </si>
  <si>
    <t>Flashcards+</t>
  </si>
  <si>
    <t>2.5.1</t>
  </si>
  <si>
    <t>"Receipt verification failed!"</t>
  </si>
  <si>
    <t>Flashlight Pro</t>
  </si>
  <si>
    <t>Base → Pro</t>
  </si>
  <si>
    <t>Flick Champions</t>
  </si>
  <si>
    <t>Can't unlock anything. Doesn't work</t>
  </si>
  <si>
    <t>Flick Fishing v 1.3.2</t>
  </si>
  <si>
    <t>Flick Homerun</t>
  </si>
  <si>
    <t>Works for all upgrades</t>
  </si>
  <si>
    <t>Keb911</t>
  </si>
  <si>
    <t>FlickStackr</t>
  </si>
  <si>
    <t>Flight Control</t>
  </si>
  <si>
    <t>Cloudcell Error</t>
  </si>
  <si>
    <t>Flightkit</t>
  </si>
  <si>
    <t xml:space="preserve">Yearly subscription </t>
  </si>
  <si>
    <t>Flirtomatic</t>
  </si>
  <si>
    <t>Flow</t>
  </si>
  <si>
    <t>Can purchase the other puzzle packs</t>
  </si>
  <si>
    <t>Flow Free</t>
  </si>
  <si>
    <t>1.0</t>
  </si>
  <si>
    <t>Purchase new puzzle packs</t>
  </si>
  <si>
    <t>carlinhos</t>
  </si>
  <si>
    <t>Flower Garden</t>
  </si>
  <si>
    <t>You can purchase new pots, garden spaces and fertilizers.</t>
  </si>
  <si>
    <t>Fluff Friends Rescue</t>
  </si>
  <si>
    <t xml:space="preserve">It seems like it is going to work but then it doesn't change the amount of money and cash you already have. </t>
  </si>
  <si>
    <t>Chloe</t>
  </si>
  <si>
    <t>Flying Defense</t>
  </si>
  <si>
    <t>Flying Magazine</t>
  </si>
  <si>
    <t xml:space="preserve">Magazine purchase </t>
  </si>
  <si>
    <t>FmL Official App</t>
  </si>
  <si>
    <t>Football Kicks</t>
  </si>
  <si>
    <t>Football League App</t>
  </si>
  <si>
    <t>Forces of War</t>
  </si>
  <si>
    <t>"A confirmation will pop-up to confirm purchase" but nothing happens.</t>
  </si>
  <si>
    <t>PabloSanchez</t>
  </si>
  <si>
    <t>ForestVille</t>
  </si>
  <si>
    <t>Forever Drive</t>
  </si>
  <si>
    <t>Fortress Under Siege</t>
  </si>
  <si>
    <t>Can purchase gold</t>
  </si>
  <si>
    <t>PKK</t>
  </si>
  <si>
    <t>FourFourTwo Football Stats Zone Powered by Opta</t>
  </si>
  <si>
    <t>2012-2013 Season cannot be bought, quits the app when tryng to buy</t>
  </si>
  <si>
    <t>aLI3Na</t>
  </si>
  <si>
    <t>FourFourTwo Socce Stats Zone</t>
  </si>
  <si>
    <t>App quits when 'buy now' button is clicked</t>
  </si>
  <si>
    <t>Abir</t>
  </si>
  <si>
    <t>FourFourTwo Stats Zone</t>
  </si>
  <si>
    <t>Fragger</t>
  </si>
  <si>
    <t>Purchasing of Coins works.</t>
  </si>
  <si>
    <t>zeLLFF8</t>
  </si>
  <si>
    <t>Frame Magic</t>
  </si>
  <si>
    <t>Lightwalker</t>
  </si>
  <si>
    <t>Frametastic</t>
  </si>
  <si>
    <t>Unlock all frame formats</t>
  </si>
  <si>
    <t>indraf</t>
  </si>
  <si>
    <t>Frantic Frigate</t>
  </si>
  <si>
    <t>Ehiko</t>
  </si>
  <si>
    <t>Freaky Face</t>
  </si>
  <si>
    <t>Purchase All Paid Packs</t>
  </si>
  <si>
    <t>Fresh Tracks Snowboarding</t>
  </si>
  <si>
    <t>Purchases work perfectly.</t>
  </si>
  <si>
    <t>kickinthemix</t>
  </si>
  <si>
    <t>29-06-12</t>
  </si>
  <si>
    <t>FriendCaller</t>
  </si>
  <si>
    <t>Cannot buy Call Minutes</t>
  </si>
  <si>
    <t>Fring</t>
  </si>
  <si>
    <t>Frisbee® Forever</t>
  </si>
  <si>
    <t>You can buy Star Coins...</t>
  </si>
  <si>
    <t>Frog Toss!</t>
  </si>
  <si>
    <t>Can purchase Frogs</t>
  </si>
  <si>
    <t>Froggy Jump</t>
  </si>
  <si>
    <t>Froggy Launcher</t>
  </si>
  <si>
    <t>Frontline Commando</t>
  </si>
  <si>
    <t>Can purchase all store upgrades</t>
  </si>
  <si>
    <t>mashinganJo</t>
  </si>
  <si>
    <t>Fruit Bomb</t>
  </si>
  <si>
    <t>FS5 Touch Hockey 2</t>
  </si>
  <si>
    <t>Can unlock full game and purchase coins.</t>
  </si>
  <si>
    <t>The Immortal</t>
  </si>
  <si>
    <t>Funky Instruments</t>
  </si>
  <si>
    <t>Future Ludo</t>
  </si>
  <si>
    <t>FX Photo Studio</t>
  </si>
  <si>
    <t>FX Photo Studio HD</t>
  </si>
  <si>
    <t>Gabit</t>
  </si>
  <si>
    <t>Galaga 30th Collection</t>
  </si>
  <si>
    <t>Tested with app v1.0.1. All in-app games can be purchased.</t>
  </si>
  <si>
    <t>Galaxy Empire</t>
  </si>
  <si>
    <t>"Purchase successful" then "App store purchase validate failed"</t>
  </si>
  <si>
    <t>JaGsTeR</t>
  </si>
  <si>
    <t>Galaxy Life: Pocket Adventures</t>
  </si>
  <si>
    <t>Says there was a problem</t>
  </si>
  <si>
    <t>Okkram</t>
  </si>
  <si>
    <t>Galaxy on Fire 2 HD</t>
  </si>
  <si>
    <t>Stays stuck on the buy credits/please wait screen and does not go through</t>
  </si>
  <si>
    <t>Viper20184</t>
  </si>
  <si>
    <t>Galaxy on Fire 2™</t>
  </si>
  <si>
    <t>Works well</t>
  </si>
  <si>
    <t>Galileo Offline Maps</t>
  </si>
  <si>
    <t>Unlock all special features</t>
  </si>
  <si>
    <t>ArLo</t>
  </si>
  <si>
    <t>Gamekyo</t>
  </si>
  <si>
    <t>Gameloft games</t>
  </si>
  <si>
    <t>Gameloft games will NOT work until the iAP Cracker itsself is updated....Hopefully.
There seem to be a couple of hacks available, just use Google.</t>
  </si>
  <si>
    <t>Gang Domination</t>
  </si>
  <si>
    <t>Error with the transaction</t>
  </si>
  <si>
    <t>tizio04</t>
  </si>
  <si>
    <t>Gangstar Rio: City of Saints</t>
  </si>
  <si>
    <t>alem, luudaigiang</t>
  </si>
  <si>
    <t>Gardenscapes HD</t>
  </si>
  <si>
    <t>Unlock to Full version</t>
  </si>
  <si>
    <t>GD Swarm</t>
  </si>
  <si>
    <t>Can purchase Horizon LP</t>
  </si>
  <si>
    <t>00Shack</t>
  </si>
  <si>
    <t>Geared</t>
  </si>
  <si>
    <t>You can buy tokens</t>
  </si>
  <si>
    <t>Gem Keeper</t>
  </si>
  <si>
    <t>Tested on genuinely purchased apps</t>
  </si>
  <si>
    <t>Genius Scan - PDF Scanner</t>
  </si>
  <si>
    <t>Ghost &amp; Goblins</t>
  </si>
  <si>
    <t>Able to buy powerups.</t>
  </si>
  <si>
    <t>Ghost Harvest</t>
  </si>
  <si>
    <t>Kitty9</t>
  </si>
  <si>
    <t>Ghost Trick</t>
  </si>
  <si>
    <t>Giáo dục giới tính</t>
  </si>
  <si>
    <t>Can buy any books</t>
  </si>
  <si>
    <t>Girl Story</t>
  </si>
  <si>
    <t>Girls' Generation SHAKE</t>
  </si>
  <si>
    <t>Purchase suscess but nothing change.</t>
  </si>
  <si>
    <t>Glee Karaoke</t>
  </si>
  <si>
    <t>fss003124</t>
  </si>
  <si>
    <t>Glo Bible</t>
  </si>
  <si>
    <t>Global War</t>
  </si>
  <si>
    <t>Reaper</t>
  </si>
  <si>
    <t>Global War Riot</t>
  </si>
  <si>
    <t>Protected by a server</t>
  </si>
  <si>
    <t>Global.AQ lite</t>
  </si>
  <si>
    <t>all versions</t>
  </si>
  <si>
    <t xml:space="preserve">            No</t>
  </si>
  <si>
    <t>Says Invalid Transaction</t>
  </si>
  <si>
    <t xml:space="preserve">           aminv18</t>
  </si>
  <si>
    <t>Global.AQ Pro</t>
  </si>
  <si>
    <t>God Finger All-Stars</t>
  </si>
  <si>
    <t>God of Fight</t>
  </si>
  <si>
    <t xml:space="preserve">Yes
</t>
  </si>
  <si>
    <t>Full</t>
  </si>
  <si>
    <t>GodVille</t>
  </si>
  <si>
    <t>Good Food Healthy Recipes for iPad</t>
  </si>
  <si>
    <t>iAP purchase works, however for some reasons after few days of usage, application will redirect to iTunes store every time you view the recipe (but still able to view by switching back to the apps).
Will be gone upon reinstall.</t>
  </si>
  <si>
    <t>Good Housekeeping</t>
  </si>
  <si>
    <t>GQ Magazine</t>
  </si>
  <si>
    <t>GraalClassic Online</t>
  </si>
  <si>
    <t>Banned for about 1 month or 3 years</t>
  </si>
  <si>
    <t>GraalOnline Era</t>
  </si>
  <si>
    <t>Banned for 3 days</t>
  </si>
  <si>
    <t>Grabatron</t>
  </si>
  <si>
    <t>bombs + upgrade</t>
  </si>
  <si>
    <t>Graffiti Can</t>
  </si>
  <si>
    <t>Unlocks the art pack</t>
  </si>
  <si>
    <t>rV</t>
  </si>
  <si>
    <t>Gramedia biasa</t>
  </si>
  <si>
    <t>Gramedia Majalah Lite</t>
  </si>
  <si>
    <t>Gravity Guy</t>
  </si>
  <si>
    <t>You can buy shield and slowmotion</t>
  </si>
  <si>
    <t>FeroXys</t>
  </si>
  <si>
    <t>Great Little War Game</t>
  </si>
  <si>
    <t>Can buy campaign pack</t>
  </si>
  <si>
    <t>Calviin</t>
  </si>
  <si>
    <t>Green Farm</t>
  </si>
  <si>
    <t>Green Farm 2</t>
  </si>
  <si>
    <t>Grolly</t>
  </si>
  <si>
    <t>yes</t>
  </si>
  <si>
    <t>can purchase the additional 2 chapters</t>
  </si>
  <si>
    <t>ZinFab</t>
  </si>
  <si>
    <t>Groove Coaster</t>
  </si>
  <si>
    <t>Worked fine once. Impossible to "buy" it again. It simply doesn't show up anymore.</t>
  </si>
  <si>
    <t>Antipika</t>
  </si>
  <si>
    <t>Groundwire</t>
  </si>
  <si>
    <t>Works in versions &lt; 2.0</t>
  </si>
  <si>
    <t>LAX2TLV</t>
  </si>
  <si>
    <t>GT Racing: Motor Academy Free+ (HD)</t>
  </si>
  <si>
    <t>1.3.1(iphone) or 1.0.7 (ipad)</t>
  </si>
  <si>
    <t xml:space="preserve">GTA : Chinatown Lite </t>
  </si>
  <si>
    <t>Converted to full version via iAP but needed password. No credit or card linked and it worked. Use at OWN risk</t>
  </si>
  <si>
    <t>Guide for Plants vs Zombies &amp; Angry Birds &amp; Cut the Rope (all apps)</t>
  </si>
  <si>
    <t>Guitar Hero</t>
  </si>
  <si>
    <t>Guitar Rock Tour 2</t>
  </si>
  <si>
    <t>MurtazaKamil</t>
  </si>
  <si>
    <t>Guitar Trainer HD</t>
  </si>
  <si>
    <t>works perfect</t>
  </si>
  <si>
    <t>Yoma</t>
  </si>
  <si>
    <t>Gun Bros</t>
  </si>
  <si>
    <t>I used it on last and it worked thanx IAP</t>
  </si>
  <si>
    <t>Reaper, ardaozkal.com</t>
  </si>
  <si>
    <t>Gun Builder Club</t>
  </si>
  <si>
    <t>Can purchase but crashes when trying to build gun (iPad 1)</t>
  </si>
  <si>
    <t>CCY</t>
  </si>
  <si>
    <t>Gun Club 2</t>
  </si>
  <si>
    <t>It pops up buy with iTunes, hit the iTunes symbol and it will be unlocked.  My iTunes account has no credit card or funds on it and I got the gun packs for free.</t>
  </si>
  <si>
    <t>Venom</t>
  </si>
  <si>
    <t>Gun Disassembly 2</t>
  </si>
  <si>
    <t>Gun Strike</t>
  </si>
  <si>
    <t>Unlocks full game</t>
  </si>
  <si>
    <t>Gunner Galaxies</t>
  </si>
  <si>
    <t>Guns on Wheels</t>
  </si>
  <si>
    <t>Gutterball: Golden Pin Bowling HD</t>
  </si>
  <si>
    <t>+25,000 GP, all additional bowling balls, and stages unlocked</t>
  </si>
  <si>
    <t>H.O.M.E Magazine</t>
  </si>
  <si>
    <t>Halo Waypoint</t>
  </si>
  <si>
    <t>Everything seems to go fine but it stalls, when pushing the purchase button again it says "error- Already updated, please restart the application" but that doesn't work. When you click back in the app to the beginning the iap purchase is there, but when you leave the app and go back in it is gone.</t>
  </si>
  <si>
    <t>jobz</t>
  </si>
  <si>
    <t>Hanging With Friends</t>
  </si>
  <si>
    <t>Crashes when when you try to purchase</t>
  </si>
  <si>
    <t>Prisonbroken</t>
  </si>
  <si>
    <t xml:space="preserve">Hangman with friends </t>
  </si>
  <si>
    <t>Unable to Buy Coins</t>
  </si>
  <si>
    <t>Luluman</t>
  </si>
  <si>
    <t>Happy Park</t>
  </si>
  <si>
    <t>Vicksss</t>
  </si>
  <si>
    <t>Harbor Master</t>
  </si>
  <si>
    <t>all maps and rewinds work</t>
  </si>
  <si>
    <t>Harry Potter Spells: Free</t>
  </si>
  <si>
    <t>Not able to purchase spell packs.</t>
  </si>
  <si>
    <t>caeseriii</t>
  </si>
  <si>
    <t>Hay Day</t>
  </si>
  <si>
    <t>0.5.16.47</t>
  </si>
  <si>
    <t>Does not respond to clicking of diamond purchasing</t>
  </si>
  <si>
    <t>Haypi Dragon</t>
  </si>
  <si>
    <t>Buy coins successfully but balance doesn't update</t>
  </si>
  <si>
    <t>Haypi Kingdom</t>
  </si>
  <si>
    <t xml:space="preserve"> No - Account Ban</t>
  </si>
  <si>
    <t>In app detection system, ban if repeat offender.</t>
  </si>
  <si>
    <t>Thef,
phatpham, EliTehNinja</t>
  </si>
  <si>
    <t>Head Soccer</t>
  </si>
  <si>
    <t>Hearts Multiplayer HD</t>
  </si>
  <si>
    <t>Heavy Gunner+</t>
  </si>
  <si>
    <t>app crashes when u purchase anything</t>
  </si>
  <si>
    <t>Heavy Mach: Defense (Also Assault, Battle)</t>
  </si>
  <si>
    <t>Can buy CR</t>
  </si>
  <si>
    <t>PKK, phatpham</t>
  </si>
  <si>
    <t>HellKid</t>
  </si>
  <si>
    <t>Hello Hello Japanese</t>
  </si>
  <si>
    <t>U can purchase all the lessons</t>
  </si>
  <si>
    <t>Hello Kitty Beauty Salon</t>
  </si>
  <si>
    <t>Purchases Hallo Kitty Point perfectly</t>
  </si>
  <si>
    <t>Hello-Hello English</t>
  </si>
  <si>
    <t>Thank you for purchase but Lessons dont get unlocked
Same for Different languages of that course App. System</t>
  </si>
  <si>
    <t>Chaotix</t>
  </si>
  <si>
    <t>Hello-Hello French</t>
  </si>
  <si>
    <t>Message pops up saying "Thank you for your purchase", but no new lessons appear</t>
  </si>
  <si>
    <t>ml05019</t>
  </si>
  <si>
    <t>Hero Academy</t>
  </si>
  <si>
    <t>Able to click but never gives purchase</t>
  </si>
  <si>
    <t>serveradmnstrtr</t>
  </si>
  <si>
    <t>Hero TacTics2</t>
  </si>
  <si>
    <t>Hero's Way</t>
  </si>
  <si>
    <t>Heroes in Time</t>
  </si>
  <si>
    <t>FrUct1s</t>
  </si>
  <si>
    <t>09-Jul-12</t>
  </si>
  <si>
    <t>Heroes vs Monsters</t>
  </si>
  <si>
    <t>Works great</t>
  </si>
  <si>
    <t>Signe, hisamisu</t>
  </si>
  <si>
    <t>Heroic Legend</t>
  </si>
  <si>
    <t>Long wait during buy with no result, sometimes hung</t>
  </si>
  <si>
    <t>HeyTell</t>
  </si>
  <si>
    <t xml:space="preserve">vinaygoel2000 </t>
  </si>
  <si>
    <t>Heywire</t>
  </si>
  <si>
    <t>leqser</t>
  </si>
  <si>
    <t>High Noon</t>
  </si>
  <si>
    <t>Drongo</t>
  </si>
  <si>
    <t>High School Hero</t>
  </si>
  <si>
    <t>"Error communicating with server"</t>
  </si>
  <si>
    <t>seventysix</t>
  </si>
  <si>
    <t>2.0.3</t>
  </si>
  <si>
    <t>Error</t>
  </si>
  <si>
    <t>Hipstamatic Disposable</t>
  </si>
  <si>
    <t>Hipstamatic v231</t>
  </si>
  <si>
    <t>fss003124, luudaigiang</t>
  </si>
  <si>
    <t>Hit Tennis 2</t>
  </si>
  <si>
    <t>Unlocks soda cans and player packages</t>
  </si>
  <si>
    <t>rorii</t>
  </si>
  <si>
    <t>Hokusai Audio Editor</t>
  </si>
  <si>
    <t>It said Unable to retrieve... but when you click Show All packs, it is Installed, relaunch the app and you'll see.</t>
  </si>
  <si>
    <t>Holiday Hotel</t>
  </si>
  <si>
    <t>"There was a problem with your In-app Purchase payment information."</t>
  </si>
  <si>
    <t>Holiday Jerk</t>
  </si>
  <si>
    <t>Works great!  Can buy the elf and other fun stuff.</t>
  </si>
  <si>
    <t>Home Design</t>
  </si>
  <si>
    <t>Home Design 3D for iPad</t>
  </si>
  <si>
    <t>Homerun Battle</t>
  </si>
  <si>
    <t>Homerun Battle 2</t>
  </si>
  <si>
    <t>Horn</t>
  </si>
  <si>
    <t>v1.0</t>
  </si>
  <si>
    <t>Nothing Happens</t>
  </si>
  <si>
    <t>Phatkat</t>
  </si>
  <si>
    <t>Sept. 9, 2012</t>
  </si>
  <si>
    <t>Horror  2 scene it</t>
  </si>
  <si>
    <t>Purchase all trivia packs</t>
  </si>
  <si>
    <t>Rodzombi</t>
  </si>
  <si>
    <t>Hospital Havoc 2 v1.2</t>
  </si>
  <si>
    <t>Tested work with iap Cracker 0.6-1</t>
  </si>
  <si>
    <t>Hot Donut</t>
  </si>
  <si>
    <t>Bought Crystals</t>
  </si>
  <si>
    <t>tdhtdh0</t>
  </si>
  <si>
    <t>Hotel Dash</t>
  </si>
  <si>
    <t>Buy everything</t>
  </si>
  <si>
    <t>Hotspot VPN</t>
  </si>
  <si>
    <t>After tapping on a subscription (both the monthly as well as yearly ones), a "status 21002" error pops up. Status remains as "Shield not activated".</t>
  </si>
  <si>
    <t>kndllalx</t>
  </si>
  <si>
    <t>House of Glass</t>
  </si>
  <si>
    <t>Unlock full version</t>
  </si>
  <si>
    <t>How to make Origami</t>
  </si>
  <si>
    <t>HR Battle 2</t>
  </si>
  <si>
    <t>Stmpr25</t>
  </si>
  <si>
    <t>Hungry Shark (series)</t>
  </si>
  <si>
    <t>I Am T-Pain</t>
  </si>
  <si>
    <t>All works fine, purchase all songs!</t>
  </si>
  <si>
    <t>iAssociate 2</t>
  </si>
  <si>
    <t>iBeer</t>
  </si>
  <si>
    <t>iCarCheck</t>
  </si>
  <si>
    <t>Ice Age Village</t>
  </si>
  <si>
    <t>Says transaction failed</t>
  </si>
  <si>
    <t xml:space="preserve">anonymous </t>
  </si>
  <si>
    <t>Ice Rage</t>
  </si>
  <si>
    <t>DST</t>
  </si>
  <si>
    <t>iCookbook</t>
  </si>
  <si>
    <t>iDestroy</t>
  </si>
  <si>
    <t>iFighter 1945</t>
  </si>
  <si>
    <t>You can purchase additional fighter</t>
  </si>
  <si>
    <t>iFighter 2: The Pacific 1942</t>
  </si>
  <si>
    <t>Store comes back with purchase failure message.</t>
  </si>
  <si>
    <t>iGo North America</t>
  </si>
  <si>
    <t>Free</t>
  </si>
  <si>
    <t>iGOG Drums</t>
  </si>
  <si>
    <t>Buy any drum kit</t>
  </si>
  <si>
    <t>MegaHack</t>
  </si>
  <si>
    <t>iGun Pro</t>
  </si>
  <si>
    <t>errors</t>
  </si>
  <si>
    <t>iGun Zombie</t>
  </si>
  <si>
    <t>Purchase everything</t>
  </si>
  <si>
    <t>iKamasutra (series)</t>
  </si>
  <si>
    <t>All positions and challenges unlocked</t>
  </si>
  <si>
    <t>iKungFu Master</t>
  </si>
  <si>
    <t>Get 40k exp</t>
  </si>
  <si>
    <t>Illusia</t>
  </si>
  <si>
    <t>1.4.1</t>
  </si>
  <si>
    <t xml:space="preserve">Can buy items from store (revive packs, clothing sets, ...) </t>
  </si>
  <si>
    <t>Zcyphvr</t>
  </si>
  <si>
    <t>Purchase perfectly all paid items from the booth! ( can buy level 200 armor packs then expand them and sell them again.. repeat for infinite money :D)</t>
  </si>
  <si>
    <t>iMailG</t>
  </si>
  <si>
    <t>Push notifications use server check and will not work</t>
  </si>
  <si>
    <t>iMaschine</t>
  </si>
  <si>
    <t>Not working at all.</t>
  </si>
  <si>
    <t>@hack_nug</t>
  </si>
  <si>
    <t>IMDB Triva</t>
  </si>
  <si>
    <t>Able to purchase new packs</t>
  </si>
  <si>
    <t>anon</t>
  </si>
  <si>
    <t>IMDB Trivia</t>
  </si>
  <si>
    <t>Unlock all trivia quizes</t>
  </si>
  <si>
    <t>dr3van</t>
  </si>
  <si>
    <t>iMilan 2.0</t>
  </si>
  <si>
    <t>Loading for so long and it doesn't work</t>
  </si>
  <si>
    <t>iMissal</t>
  </si>
  <si>
    <t>v2.2 works</t>
  </si>
  <si>
    <t>iMob 2</t>
  </si>
  <si>
    <t>Doesn't allow you to buy just says in app purchase.</t>
  </si>
  <si>
    <t>iMob Online</t>
  </si>
  <si>
    <t>iMobsters</t>
  </si>
  <si>
    <t>It worked for the first few days, but stopped working.</t>
  </si>
  <si>
    <t>Incredibooth</t>
  </si>
  <si>
    <t>All purchases</t>
  </si>
  <si>
    <t>iNet</t>
  </si>
  <si>
    <t>Infected</t>
  </si>
  <si>
    <t>Says in-app purchase failed</t>
  </si>
  <si>
    <t>Ask For Apple ID</t>
  </si>
  <si>
    <t>uk0512</t>
  </si>
  <si>
    <t>Infinity Blade</t>
  </si>
  <si>
    <t>Reported working.</t>
  </si>
  <si>
    <t>Z1nC, userinit69</t>
  </si>
  <si>
    <t>Infinity Blade 2</t>
  </si>
  <si>
    <t>Herman925</t>
  </si>
  <si>
    <t>Infinity Quest</t>
  </si>
  <si>
    <t>Buy coins and diamonds</t>
  </si>
  <si>
    <t>Inotia 3</t>
  </si>
  <si>
    <t>Insect Puzzle HD</t>
  </si>
  <si>
    <t>unlock all the rest 25 insects pack</t>
  </si>
  <si>
    <t>Inspector Gadget</t>
  </si>
  <si>
    <t>Able to buy anything</t>
  </si>
  <si>
    <t>PiMPsTaZ</t>
  </si>
  <si>
    <t>Instant110</t>
  </si>
  <si>
    <t>Works perfectly for all purchases.</t>
  </si>
  <si>
    <t>Satellizer29</t>
  </si>
  <si>
    <t>Intellivision</t>
  </si>
  <si>
    <t>All Purchases Work</t>
  </si>
  <si>
    <t>FalconUruguay</t>
  </si>
  <si>
    <t>18-06-2012</t>
  </si>
  <si>
    <t>Ipanema Girls</t>
  </si>
  <si>
    <t>Work all purchases</t>
  </si>
  <si>
    <t>iPC (iPhoneclub)</t>
  </si>
  <si>
    <t>"Fout bij aankoop"</t>
  </si>
  <si>
    <t>IPMap</t>
  </si>
  <si>
    <t>iRedmine</t>
  </si>
  <si>
    <t>Both the "Remove Ads" and the "iRedmine Pro" unlock iAP work.</t>
  </si>
  <si>
    <t>iScrobbler Pick and Mix</t>
  </si>
  <si>
    <t>iShuffle Bowling 2</t>
  </si>
  <si>
    <t>Island Empire</t>
  </si>
  <si>
    <t>Can't buy anything.</t>
  </si>
  <si>
    <t>Islands Magazine</t>
  </si>
  <si>
    <t>Can purchase issues</t>
  </si>
  <si>
    <t>iSniper 3D Arctic Warfare</t>
  </si>
  <si>
    <t>baomdc</t>
  </si>
  <si>
    <t>iStunt 2</t>
  </si>
  <si>
    <t>All perfect !</t>
  </si>
  <si>
    <t>Nikos</t>
  </si>
  <si>
    <t>iSupr8</t>
  </si>
  <si>
    <t>iSwifter</t>
  </si>
  <si>
    <t>Unable to process your purchase transaction</t>
  </si>
  <si>
    <t>iTap</t>
  </si>
  <si>
    <t>Unlock all extensions with no login</t>
  </si>
  <si>
    <t>iXpenseit</t>
  </si>
  <si>
    <t>PDF Templates</t>
  </si>
  <si>
    <t>Hiran</t>
  </si>
  <si>
    <t>Jack of All Tribes</t>
  </si>
  <si>
    <t>Jack of All Tribes HD</t>
  </si>
  <si>
    <t>Jack'd</t>
  </si>
  <si>
    <t>Tested, donation works. Unlock premium feature</t>
  </si>
  <si>
    <t>Jabberwoku</t>
  </si>
  <si>
    <t>Jamie Magazine</t>
  </si>
  <si>
    <t>Jamie Oliver Receipts (Lifestyle)</t>
  </si>
  <si>
    <t>Some people said it didn't work(Tested Does not work)</t>
  </si>
  <si>
    <t>Jamie Oliver's recipes</t>
  </si>
  <si>
    <t>Unlocks the recipes using slow 3G but the step by step pics are missing - after updating to 2.6 the extra content started to download</t>
  </si>
  <si>
    <t>Jamie Recipes</t>
  </si>
  <si>
    <t>Only in slow network (3G), close and re-open</t>
  </si>
  <si>
    <t>JamUp Pro</t>
  </si>
  <si>
    <t>All Amp and Effect Models</t>
  </si>
  <si>
    <t>Jane's Hotel: Family Hero</t>
  </si>
  <si>
    <t>Janryumon</t>
  </si>
  <si>
    <t>Jainoy</t>
  </si>
  <si>
    <t>Japan Life</t>
  </si>
  <si>
    <t>Jaws™ Revenge</t>
  </si>
  <si>
    <t>Jean's Boutique 2</t>
  </si>
  <si>
    <t>Jet Fighter Ace</t>
  </si>
  <si>
    <t>It will crash at first, but when you reopen the app, you will get cash.</t>
  </si>
  <si>
    <t>JetCarStunts</t>
  </si>
  <si>
    <t>Additional Levelpack Downloadable.</t>
  </si>
  <si>
    <t>Jetpack Joyride</t>
  </si>
  <si>
    <t>Before install , look in setting of Installous : NOT  "Remove Metadata"</t>
  </si>
  <si>
    <t>kolky</t>
  </si>
  <si>
    <t>Jewel Battle Online</t>
  </si>
  <si>
    <t>Doesn't allow to buy coin(failed)</t>
  </si>
  <si>
    <t>Tim</t>
  </si>
  <si>
    <t>Jewel Fighter</t>
  </si>
  <si>
    <t>Buy Coins</t>
  </si>
  <si>
    <t>James</t>
  </si>
  <si>
    <t>JotNot</t>
  </si>
  <si>
    <t>Full app unlocks</t>
  </si>
  <si>
    <t>Jubeat Plus</t>
  </si>
  <si>
    <t>Able to purchase additional song packs</t>
  </si>
  <si>
    <t>Judge Dredd vs Zombies</t>
  </si>
  <si>
    <t>KILL DEM DANG ZOMBIES WIF GOLD PLATED GUNS FREEE</t>
  </si>
  <si>
    <t>Junk Jack</t>
  </si>
  <si>
    <t xml:space="preserve"> No</t>
  </si>
  <si>
    <t>Slayter</t>
  </si>
  <si>
    <t>Juventus Fantasy Manager 2012</t>
  </si>
  <si>
    <t>Juventino Merda!</t>
  </si>
  <si>
    <t>Kaptain Brawe: A Brawe New World</t>
  </si>
  <si>
    <t>Karaoke Anywhere</t>
  </si>
  <si>
    <t xml:space="preserve">Kard Combat ™ </t>
  </si>
  <si>
    <t>KartRider Rush</t>
  </si>
  <si>
    <t>Can unlock everything, no delay.
Working well with latest version.</t>
  </si>
  <si>
    <t>ShuShiz</t>
  </si>
  <si>
    <t>Katamari AMORE</t>
  </si>
  <si>
    <t>Works, validate iTunes password and iAP will be purchased (removed cc please)</t>
  </si>
  <si>
    <t>Kawaii Pet Megu</t>
  </si>
  <si>
    <t xml:space="preserve"> Works great!</t>
  </si>
  <si>
    <t>They will reset &amp; delete your megu account</t>
  </si>
  <si>
    <t>Kawaii Pet MEGU</t>
  </si>
  <si>
    <t>It works, but a couple of seconds later, developers kill your pet.</t>
  </si>
  <si>
    <t>kanjo</t>
  </si>
  <si>
    <t>Key Aviation publishing</t>
  </si>
  <si>
    <t>Magazine purchase</t>
  </si>
  <si>
    <t>Kick the Buddy (or The Buddy)</t>
  </si>
  <si>
    <t>-Stays on 'wait...' forever.</t>
  </si>
  <si>
    <t>Dilbertguy</t>
  </si>
  <si>
    <t>Kids World Map</t>
  </si>
  <si>
    <t>Able to buy credits</t>
  </si>
  <si>
    <t>King Camera</t>
  </si>
  <si>
    <t>Works for unlocking the purchase items in the app - abilities to export in full size</t>
  </si>
  <si>
    <t>King Of Trindor!</t>
  </si>
  <si>
    <t xml:space="preserve">No </t>
  </si>
  <si>
    <t>King's Empire</t>
  </si>
  <si>
    <t>1.5.1</t>
  </si>
  <si>
    <t>Cannot by gems. Error messages are recieved.</t>
  </si>
  <si>
    <t>Asadxxx1</t>
  </si>
  <si>
    <t>Kingdom At Wars</t>
  </si>
  <si>
    <t>Say's 'Item Purchased' but doesn't give you anything and has the loading circle thing constantly, server sided I guess.</t>
  </si>
  <si>
    <t>Chammiez</t>
  </si>
  <si>
    <t>Kingdom Conquest</t>
  </si>
  <si>
    <t>Kingdom Rush</t>
  </si>
  <si>
    <t>Shin</t>
  </si>
  <si>
    <t>Kingdoms At War</t>
  </si>
  <si>
    <t>Says it was awarded, but loads indefinitely and nothing happens. Please help!</t>
  </si>
  <si>
    <t xml:space="preserve">Kingdoms Live </t>
  </si>
  <si>
    <t>Kingdoms of Camelot</t>
  </si>
  <si>
    <t>4.0.0</t>
  </si>
  <si>
    <t>Server error after purchasing gems</t>
  </si>
  <si>
    <t>chocolatemilk</t>
  </si>
  <si>
    <t>Kingdoms of Camelot : Battle for the North</t>
  </si>
  <si>
    <t>Payment verification error</t>
  </si>
  <si>
    <t>Daniyo</t>
  </si>
  <si>
    <t>30-06-2012</t>
  </si>
  <si>
    <t>Klasická angličtina</t>
  </si>
  <si>
    <t>Can purchase all sessions</t>
  </si>
  <si>
    <t>Koalyptus</t>
  </si>
  <si>
    <t>All Purchases free</t>
  </si>
  <si>
    <t>micorp</t>
  </si>
  <si>
    <t>Koredoko</t>
  </si>
  <si>
    <t>4.2.2</t>
  </si>
  <si>
    <t>Turn ads off and it registers as Paid</t>
  </si>
  <si>
    <t>djpark</t>
  </si>
  <si>
    <t xml:space="preserve">KungFu Warrior
</t>
  </si>
  <si>
    <t>La Voz De Galicia</t>
  </si>
  <si>
    <t>Land of Zombies</t>
  </si>
  <si>
    <t>Works on all</t>
  </si>
  <si>
    <t>JanJR10785</t>
  </si>
  <si>
    <t>Lane Splitter</t>
  </si>
  <si>
    <t>Buy all characters</t>
  </si>
  <si>
    <t>Law &amp; Order: Legacies</t>
  </si>
  <si>
    <t>New chapters are downloadable.</t>
  </si>
  <si>
    <t>Learn French - by Mind Snacks</t>
  </si>
  <si>
    <t>Leave Devil alone</t>
  </si>
  <si>
    <t>Legend of Master+</t>
  </si>
  <si>
    <t>Can purchase from shop</t>
  </si>
  <si>
    <t>Hibang</t>
  </si>
  <si>
    <t>Legendary</t>
  </si>
  <si>
    <t>Buy Gems</t>
  </si>
  <si>
    <t>Legendary Heroes</t>
  </si>
  <si>
    <t>Can buy all IAP but kind of breaks the game and make it meanlingless</t>
  </si>
  <si>
    <t>Legendary Wars</t>
  </si>
  <si>
    <t>1.7.7</t>
  </si>
  <si>
    <t>Works great on all IAP! Gems/Coins/Moonstones</t>
  </si>
  <si>
    <t>Squalion</t>
  </si>
  <si>
    <t>Lekiosque</t>
  </si>
  <si>
    <t>baha76_s</t>
  </si>
  <si>
    <t>Let Me Out</t>
  </si>
  <si>
    <t>Let's golf 3</t>
  </si>
  <si>
    <t>Leonard</t>
  </si>
  <si>
    <t>Let's Golf! ® 3</t>
  </si>
  <si>
    <t>Liberty Wings</t>
  </si>
  <si>
    <t>Can purchase all maps &amp; unlimited lives.</t>
  </si>
  <si>
    <t>Lidé a Země</t>
  </si>
  <si>
    <t>Life for iPad</t>
  </si>
  <si>
    <t>lanouba</t>
  </si>
  <si>
    <t>Life is Crime</t>
  </si>
  <si>
    <t>Says it's successful but nothing is added to your account</t>
  </si>
  <si>
    <t>Lightbike</t>
  </si>
  <si>
    <t>Burnout915</t>
  </si>
  <si>
    <t>LightBike 2</t>
  </si>
  <si>
    <t>[external_error] JSON returned from AppStore was broken</t>
  </si>
  <si>
    <t>fagf</t>
  </si>
  <si>
    <t>Lightning</t>
  </si>
  <si>
    <t>Working well with latest version</t>
  </si>
  <si>
    <t>Lil' Pirates</t>
  </si>
  <si>
    <t>Line Runner</t>
  </si>
  <si>
    <t>Little Acorns</t>
  </si>
  <si>
    <t>Hang after purchase on characters</t>
  </si>
  <si>
    <t>Live Cams Pro</t>
  </si>
  <si>
    <t>Remove ads and banner ads from private cameras *crashes on launch v1.7 iOS5 as of 29/12/2011*</t>
  </si>
  <si>
    <t>Living Language (Chinese)</t>
  </si>
  <si>
    <t>Can purchase all lessons</t>
  </si>
  <si>
    <t>twixxy010</t>
  </si>
  <si>
    <t>Logo Quiz</t>
  </si>
  <si>
    <t>Can purchase more hints</t>
  </si>
  <si>
    <t>JJaquez</t>
  </si>
  <si>
    <t>Lonely Planet</t>
  </si>
  <si>
    <t>just does not work.</t>
  </si>
  <si>
    <t>Lord of Darkness</t>
  </si>
  <si>
    <t>Doesn't work in version 1.0.1</t>
  </si>
  <si>
    <t>Lords and Knights</t>
  </si>
  <si>
    <t>Lost in Time: The Clockwork Tower</t>
  </si>
  <si>
    <t>Loudbook</t>
  </si>
  <si>
    <t>Love Shooter</t>
  </si>
  <si>
    <t>Lunacraft</t>
  </si>
  <si>
    <t>Perfectly disables ads/gives recipe list</t>
  </si>
  <si>
    <t>Sig</t>
  </si>
  <si>
    <t>Lunar Racer</t>
  </si>
  <si>
    <t>Lyric Legend</t>
  </si>
  <si>
    <t>Says you made changes to your OS Software</t>
  </si>
  <si>
    <t>M.U.S.E.</t>
  </si>
  <si>
    <t>1.1.1 Can buy credits</t>
  </si>
  <si>
    <t>Mac|Life Magazine</t>
  </si>
  <si>
    <t>Attempts to purchase than app crashes</t>
  </si>
  <si>
    <t>CrankySnorlax</t>
  </si>
  <si>
    <t>MacUser Magazine</t>
  </si>
  <si>
    <t>i think all off magazine by Pixel Magz</t>
  </si>
  <si>
    <t>Mad Chef</t>
  </si>
  <si>
    <t>Xaphryl</t>
  </si>
  <si>
    <t>Mad Skills Motocross</t>
  </si>
  <si>
    <t>Cmahoney</t>
  </si>
  <si>
    <t>Madcoaster</t>
  </si>
  <si>
    <t>Can buy coins to use in store.</t>
  </si>
  <si>
    <t>Mafia Rush</t>
  </si>
  <si>
    <t>Buy XP, coins</t>
  </si>
  <si>
    <t>Mafia Vs Police</t>
  </si>
  <si>
    <t>Unlocks full version and buys all items.</t>
  </si>
  <si>
    <t>Mafia Wars (Classic)</t>
  </si>
  <si>
    <t>All in-app purchases work perfectly</t>
  </si>
  <si>
    <t>Mafia Wars: Shakedown</t>
  </si>
  <si>
    <t>Transaction slow at first purchases but faster later
(doesnt work for me when i left my ipod for 20mins)-baothai</t>
  </si>
  <si>
    <t>ISOHaven, baothai</t>
  </si>
  <si>
    <t>Mage Gauntlet</t>
  </si>
  <si>
    <t>Magic 2013</t>
  </si>
  <si>
    <t>v1.00</t>
  </si>
  <si>
    <t>UPDATE: buying cards will ban account</t>
  </si>
  <si>
    <t>barrow</t>
  </si>
  <si>
    <t>Magic Fiddle</t>
  </si>
  <si>
    <t>Magic Guitar</t>
  </si>
  <si>
    <t>Magic Piano</t>
  </si>
  <si>
    <t>3.0.4</t>
  </si>
  <si>
    <t>Mauro, luudaigiang</t>
  </si>
  <si>
    <t>Magic Tree by Com2us</t>
  </si>
  <si>
    <t>No IAPs work. Please help.</t>
  </si>
  <si>
    <t>Magnetic Billiards: Blueprint</t>
  </si>
  <si>
    <t>magzine.nu</t>
  </si>
  <si>
    <t>1.6.1</t>
  </si>
  <si>
    <t>Says "Aankoop mislukt (Transaction failed)".</t>
  </si>
  <si>
    <t>Rickjedebeste</t>
  </si>
  <si>
    <t>Magzter</t>
  </si>
  <si>
    <t>MailShot</t>
  </si>
  <si>
    <t>2.0</t>
  </si>
  <si>
    <t>Upgrade to be able to add more than 6 contacts</t>
  </si>
  <si>
    <t>Make A Zombie</t>
  </si>
  <si>
    <t>Works well.</t>
  </si>
  <si>
    <t>Make An Animal</t>
  </si>
  <si>
    <t>Mall Stars</t>
  </si>
  <si>
    <t>1.4.12</t>
  </si>
  <si>
    <t>someone</t>
  </si>
  <si>
    <t>Malý bůh - Pod paprsky Zářícího</t>
  </si>
  <si>
    <t>Purchase all comixes</t>
  </si>
  <si>
    <t>Man vs Machine</t>
  </si>
  <si>
    <t>Mancala FS5</t>
  </si>
  <si>
    <t>Purchase Credits</t>
  </si>
  <si>
    <t>Manga Rock</t>
  </si>
  <si>
    <t>Free → Unlocked Version</t>
  </si>
  <si>
    <t>ShinSee</t>
  </si>
  <si>
    <t>Manga storm</t>
  </si>
  <si>
    <t>1.5.5</t>
  </si>
  <si>
    <t>InfiniteJustice</t>
  </si>
  <si>
    <t>ManInBlack3</t>
  </si>
  <si>
    <t>All versions</t>
  </si>
  <si>
    <t>Hitme</t>
  </si>
  <si>
    <t>MapleStory Cave Crawlers</t>
  </si>
  <si>
    <t xml:space="preserve">Lets you purchase, but the mess or items don't show up in you inventory. </t>
  </si>
  <si>
    <t>Maplestory Cygnus</t>
  </si>
  <si>
    <t>MapleStory Thief Edition</t>
  </si>
  <si>
    <t>Cant buy everything (including exp)</t>
  </si>
  <si>
    <t>Maps+</t>
  </si>
  <si>
    <t>Marathon</t>
  </si>
  <si>
    <t>Can purchase all items</t>
  </si>
  <si>
    <t>Marvel</t>
  </si>
  <si>
    <t>Marvel Comics</t>
  </si>
  <si>
    <t>Shows comic as bought but shows "download error"</t>
  </si>
  <si>
    <t>Dre</t>
  </si>
  <si>
    <t>Mask of Ninja: Last Hero</t>
  </si>
  <si>
    <t>Buy soul</t>
  </si>
  <si>
    <t>Massive Damage inc.</t>
  </si>
  <si>
    <t>Masterpiece!</t>
  </si>
  <si>
    <t>Works perfect! just press on a pic and everything will get unlocked!</t>
  </si>
  <si>
    <t>Matching With Friends</t>
  </si>
  <si>
    <t>v4.10</t>
  </si>
  <si>
    <t>App crashes when trying to make a purchase</t>
  </si>
  <si>
    <t>wokster</t>
  </si>
  <si>
    <t>27-06-2012</t>
  </si>
  <si>
    <t>Maxim</t>
  </si>
  <si>
    <t>Dowload avalible for the isuues.</t>
  </si>
  <si>
    <t>Flashter</t>
  </si>
  <si>
    <t>Maxim Korea</t>
  </si>
  <si>
    <t>Maxim Thailand</t>
  </si>
  <si>
    <t>Maxim+ Australia</t>
  </si>
  <si>
    <t>Purchase validation failed (Code:1001)</t>
  </si>
  <si>
    <t>Micfox</t>
  </si>
  <si>
    <t>Maxim+ Magazine</t>
  </si>
  <si>
    <t>Me Books</t>
  </si>
  <si>
    <t>Purchase Error: Failure verifying receipt. Please try again.</t>
  </si>
  <si>
    <t>Guan</t>
  </si>
  <si>
    <t>media:connect</t>
  </si>
  <si>
    <t>Mega Jump</t>
  </si>
  <si>
    <t>Everything works perfectly.</t>
  </si>
  <si>
    <t>HellRiderX</t>
  </si>
  <si>
    <t>Mega Man X</t>
  </si>
  <si>
    <t>Purchase all the items</t>
  </si>
  <si>
    <t>FAHC</t>
  </si>
  <si>
    <t>Mega Worm</t>
  </si>
  <si>
    <t>MegaJump</t>
  </si>
  <si>
    <t>Can purchase coins and unlock things</t>
  </si>
  <si>
    <t>Gamecom</t>
  </si>
  <si>
    <t>Megaman X</t>
  </si>
  <si>
    <t>Works on 3GS but not 4 Edit: Works on iphone 4 with ios 5.0.1</t>
  </si>
  <si>
    <t xml:space="preserve">Megavideo
</t>
  </si>
  <si>
    <t>Server Enabled Purchases</t>
  </si>
  <si>
    <t>iAfterDusk</t>
  </si>
  <si>
    <t>Men's Health Magazine (UK)</t>
  </si>
  <si>
    <t>Cannot buy</t>
  </si>
  <si>
    <t>Unknown</t>
  </si>
  <si>
    <t>Men's Health Workouts</t>
  </si>
  <si>
    <t>Men's Health: Sixpack Guide</t>
  </si>
  <si>
    <t>Menagerie</t>
  </si>
  <si>
    <t>Unlocks all Wallpaper collections</t>
  </si>
  <si>
    <t>IamAwesom3</t>
  </si>
  <si>
    <t>Mercenary Inc</t>
  </si>
  <si>
    <t>Everything Works</t>
  </si>
  <si>
    <t>Meta 11-12</t>
  </si>
  <si>
    <t>Works flawless, get everything within in-app purchase</t>
  </si>
  <si>
    <t>LuckyLuq</t>
  </si>
  <si>
    <t>Metalstorm</t>
  </si>
  <si>
    <t>I don't checked this one....</t>
  </si>
  <si>
    <t>RoseSslayer</t>
  </si>
  <si>
    <t>MetalStorm Online</t>
  </si>
  <si>
    <t>3.2.1</t>
  </si>
  <si>
    <t>Nope.  It just hangs.. probably waiting for server to confirm..</t>
  </si>
  <si>
    <t xml:space="preserve">Metalstorm:wingman 
</t>
  </si>
  <si>
    <t>Metalstrom</t>
  </si>
  <si>
    <t>Cant i buy ir change coima ( blue)</t>
  </si>
  <si>
    <t>Fila01</t>
  </si>
  <si>
    <t>MeWantBamboo</t>
  </si>
  <si>
    <t>Can buy Bamboosters and EXP</t>
  </si>
  <si>
    <t>Michael Jackson: The Experience</t>
  </si>
  <si>
    <t>Arleno</t>
  </si>
  <si>
    <t>Microsoft OneNote</t>
  </si>
  <si>
    <t>Microsoft OneNote for iPad</t>
  </si>
  <si>
    <t>"You can now edit and create notes"</t>
  </si>
  <si>
    <t>Microsoft Outlook</t>
  </si>
  <si>
    <t>Upgrade purchasable</t>
  </si>
  <si>
    <t>Midnight Mysteries Devil on the Mississippi HD</t>
  </si>
  <si>
    <t>Works on both genuine purchase and cracked version</t>
  </si>
  <si>
    <t>Midnight Mysteries Salem Witch Trials HD</t>
  </si>
  <si>
    <t>It works, but only if you purchased/genuinely own the apps, error occurs because it could not authenticate the ownership of the games.</t>
  </si>
  <si>
    <t>Midway Arcade</t>
  </si>
  <si>
    <t>Millionaire Tycoon</t>
  </si>
  <si>
    <t>6.7 Can purchase levels pack</t>
  </si>
  <si>
    <t>Mindsnacks French</t>
  </si>
  <si>
    <t>Unlock all lessons</t>
  </si>
  <si>
    <t>Testeriap</t>
  </si>
  <si>
    <t>Mini Motor Racing</t>
  </si>
  <si>
    <t>Career Cash</t>
  </si>
  <si>
    <t>Mini Pets</t>
  </si>
  <si>
    <t>pongo</t>
  </si>
  <si>
    <t xml:space="preserve">MiniGame </t>
  </si>
  <si>
    <t>Minigame Paradise</t>
  </si>
  <si>
    <t>Tried purchasing stars. The app crashes back to the springboard.</t>
  </si>
  <si>
    <t>raptorV</t>
  </si>
  <si>
    <t>You exit the game</t>
  </si>
  <si>
    <t>Minigore</t>
  </si>
  <si>
    <t xml:space="preserve">Mino Monsters </t>
  </si>
  <si>
    <t>Miso Music: Plectrum</t>
  </si>
  <si>
    <t>Buy guitar (etc) tabs, instruments. Program crashes constantly for presumably unrelated reasons (iOS 4.3x), not worth using</t>
  </si>
  <si>
    <t>Mixologist</t>
  </si>
  <si>
    <t>Mixr</t>
  </si>
  <si>
    <t>All store sample packs work</t>
  </si>
  <si>
    <t>Rubinho</t>
  </si>
  <si>
    <t>Mobster War</t>
  </si>
  <si>
    <t>modalityBODY</t>
  </si>
  <si>
    <t>Works, but ask for AppleID. Use at own risk.</t>
  </si>
  <si>
    <t>kokswtsih</t>
  </si>
  <si>
    <t>Modern Combat 2 Black Pegasus</t>
  </si>
  <si>
    <t>Says request is being processed but then says connection lost</t>
  </si>
  <si>
    <t>loopylukas</t>
  </si>
  <si>
    <t>Modern Combat 3</t>
  </si>
  <si>
    <t>Modern Conflict 2</t>
  </si>
  <si>
    <t>Modern War</t>
  </si>
  <si>
    <t>Reaper, luudaigiang</t>
  </si>
  <si>
    <t>ModMyI</t>
  </si>
  <si>
    <t>Ad removal instructions: Tap button once, restart app.</t>
  </si>
  <si>
    <t>Mole Kart</t>
  </si>
  <si>
    <t>can't connect to itunes store</t>
  </si>
  <si>
    <t>Greenyoshi64, rctgamer3</t>
  </si>
  <si>
    <t>Moment Diary</t>
  </si>
  <si>
    <t xml:space="preserve">Purchase and install </t>
  </si>
  <si>
    <t>Monopoly Hotels</t>
  </si>
  <si>
    <t>Don't work anymore, buying server error!</t>
  </si>
  <si>
    <t>Webdo</t>
  </si>
  <si>
    <t>1.0.16</t>
  </si>
  <si>
    <t xml:space="preserve">Gives Message 1 Server Error. </t>
  </si>
  <si>
    <t>Monster</t>
  </si>
  <si>
    <t>Victorinoxdxd</t>
  </si>
  <si>
    <t>Monster City</t>
  </si>
  <si>
    <t>Monster Galaxy</t>
  </si>
  <si>
    <t>Monster Galaxy : the zodiac islands</t>
  </si>
  <si>
    <t>works perfectly for all purchases.</t>
  </si>
  <si>
    <t>GalXiOn</t>
  </si>
  <si>
    <t>Monster Galaxy: The Zodiac Islands</t>
  </si>
  <si>
    <t xml:space="preserve"> Server registers purchases invalid as of 2/24/12 update.</t>
  </si>
  <si>
    <t>Monster Island</t>
  </si>
  <si>
    <t>Can purchase all in store</t>
  </si>
  <si>
    <t>Monster Maestro</t>
  </si>
  <si>
    <t>Cannot purchase gems. Gives error message</t>
  </si>
  <si>
    <t>Akdavis96</t>
  </si>
  <si>
    <t xml:space="preserve">Monster Pet shop </t>
  </si>
  <si>
    <t>Monster Shooter</t>
  </si>
  <si>
    <t>Monster Zombie 2: Undead Hunter</t>
  </si>
  <si>
    <t>Monsters</t>
  </si>
  <si>
    <t>qwerty</t>
  </si>
  <si>
    <t>MonTowers</t>
  </si>
  <si>
    <t>1.2.1</t>
  </si>
  <si>
    <t>Morfo</t>
  </si>
  <si>
    <t>Morphs</t>
  </si>
  <si>
    <t>Someone needs to crack this!</t>
  </si>
  <si>
    <t xml:space="preserve">Mortal Skies </t>
  </si>
  <si>
    <t>Mortal Skies 2</t>
  </si>
  <si>
    <t>MotionX GPS Drive</t>
  </si>
  <si>
    <t>Buy buttons do not work at all, in some cases it simply makes you wait forever.</t>
  </si>
  <si>
    <t>Moto X Mayhem</t>
  </si>
  <si>
    <t>Requires App Store account- doesn't work</t>
  </si>
  <si>
    <t>Feroxys</t>
  </si>
  <si>
    <t>MotoHeroz</t>
  </si>
  <si>
    <t>25-05-12</t>
  </si>
  <si>
    <t>Mouse Maze</t>
  </si>
  <si>
    <t>Unlock all</t>
  </si>
  <si>
    <t>playboy6006 &amp;
Beffwee</t>
  </si>
  <si>
    <t>Move it!</t>
  </si>
  <si>
    <t>You can purchase new levels</t>
  </si>
  <si>
    <t>Muffin Knight</t>
  </si>
  <si>
    <t>Muffin Knight FREE</t>
  </si>
  <si>
    <t>Can purchase level up points.</t>
  </si>
  <si>
    <t>MultiTrack DAW</t>
  </si>
  <si>
    <t>purchase 16 stereo tracks layer ,</t>
  </si>
  <si>
    <t>Mushroom Cannon</t>
  </si>
  <si>
    <t>Mushroom War</t>
  </si>
  <si>
    <t>work 100% v.1.2</t>
  </si>
  <si>
    <t>Music Studio</t>
  </si>
  <si>
    <t>It says "Could not retrieve the product info from the iTunes Store."</t>
  </si>
  <si>
    <t>Music Studio 2.</t>
  </si>
  <si>
    <t xml:space="preserve">Purchase ALL Instruments .. tested version 2.0.3 on 3GS and IPad2 </t>
  </si>
  <si>
    <t>Omar</t>
  </si>
  <si>
    <t>My Brute</t>
  </si>
  <si>
    <t>Liek A Bawsz. It works!</t>
  </si>
  <si>
    <t>Gives an error message</t>
  </si>
  <si>
    <t>Aldo</t>
  </si>
  <si>
    <t>My Car Salon Pro</t>
  </si>
  <si>
    <t>My Choice</t>
  </si>
  <si>
    <t>My Clinic</t>
  </si>
  <si>
    <t>My country</t>
  </si>
  <si>
    <t>Bucks and money both work all amounts</t>
  </si>
  <si>
    <t>Mahoney</t>
  </si>
  <si>
    <t>Latest</t>
  </si>
  <si>
    <t>It keeps loading forever whipen you try to purcahse anything.</t>
  </si>
  <si>
    <t>Pygmalion</t>
  </si>
  <si>
    <t>My dragon</t>
  </si>
  <si>
    <t>Psychoticske</t>
  </si>
  <si>
    <t>My Eyes Only Pro</t>
  </si>
  <si>
    <t>My first find the differences game: Pirates</t>
  </si>
  <si>
    <t>Unlock Pack</t>
  </si>
  <si>
    <t>My first games: find the differences HD</t>
  </si>
  <si>
    <t>My first puzzles (Circus HD, Dinosaurs, Snakes)</t>
  </si>
  <si>
    <t>Unlock Pack of 11 addtional</t>
  </si>
  <si>
    <t>My Horse</t>
  </si>
  <si>
    <t>You need to make the purchase before you are completely logged in (mostly 15 secs) after this it will crash but you have again 15 secs to buy.</t>
  </si>
  <si>
    <t>TheCat15</t>
  </si>
  <si>
    <t>My Town 2</t>
  </si>
  <si>
    <t>BASiQ/Signe, luudaigiang</t>
  </si>
  <si>
    <t>MyBrute</t>
  </si>
  <si>
    <t>Can buy everything</t>
  </si>
  <si>
    <t>MyCarCheck</t>
  </si>
  <si>
    <t>?</t>
  </si>
  <si>
    <t>Now Sticks On Processing Payment Request</t>
  </si>
  <si>
    <t>Used to work before, not it just freezes when you try to purcahse the history</t>
  </si>
  <si>
    <t>MyScript Memo</t>
  </si>
  <si>
    <t>Can unlock export as text</t>
  </si>
  <si>
    <t>Mystery Manor</t>
  </si>
  <si>
    <t>Every item+currency are purchasable</t>
  </si>
  <si>
    <t>Transactions have become server-sided</t>
  </si>
  <si>
    <t>Mystical gem</t>
  </si>
  <si>
    <t>z</t>
  </si>
  <si>
    <t>MyTifi Remote</t>
  </si>
  <si>
    <t>Upgrade to pro license (full version)</t>
  </si>
  <si>
    <t>MyTunes</t>
  </si>
  <si>
    <t>NAMCO ARCADE</t>
  </si>
  <si>
    <t>You can purchase Coins/GameMachine</t>
  </si>
  <si>
    <t>Nanny Mania</t>
  </si>
  <si>
    <t>all stage</t>
  </si>
  <si>
    <t>Kals</t>
  </si>
  <si>
    <t>Natgeo</t>
  </si>
  <si>
    <t>NatGeo Traveller</t>
  </si>
  <si>
    <t>National Geographic</t>
  </si>
  <si>
    <t>Purchase acquired but will not download</t>
  </si>
  <si>
    <t>Navfree GPS UK &amp; ROI</t>
  </si>
  <si>
    <t>says Postcodes UK installed</t>
  </si>
  <si>
    <t>Navigon</t>
  </si>
  <si>
    <t>Only work with old version</t>
  </si>
  <si>
    <t>Navigon Navigator TrafficLive</t>
  </si>
  <si>
    <t>Panarama 3D, Redlight/Radar Support, and Zagat ratings all work. TrafficLive hangs at trying to connect to iTunes store</t>
  </si>
  <si>
    <t>Navitel Russia</t>
  </si>
  <si>
    <t>NBA Game Time 2011-2012</t>
  </si>
  <si>
    <t>3.1.4</t>
  </si>
  <si>
    <t>kingmoe738</t>
  </si>
  <si>
    <t>NBA Jam</t>
  </si>
  <si>
    <t>When you buy something, it says "(null)".</t>
  </si>
  <si>
    <t>Anon</t>
  </si>
  <si>
    <t>NBA.TV</t>
  </si>
  <si>
    <t>You buy the TV pass and you will get it</t>
  </si>
  <si>
    <t>Neander Block</t>
  </si>
  <si>
    <t>Buy Coin Easily</t>
  </si>
  <si>
    <t>Need for Speed Hot Pursuit</t>
  </si>
  <si>
    <t>Tested on cracked v1.0.3</t>
  </si>
  <si>
    <t xml:space="preserve">Need For Speed Hot Pursuit </t>
  </si>
  <si>
    <t>1.2.31</t>
  </si>
  <si>
    <t>Does not work Comes up with Loading then Shows up with (null)</t>
  </si>
  <si>
    <t>Ispired101</t>
  </si>
  <si>
    <t>Netcamviewer</t>
  </si>
  <si>
    <t>Upgrade to more than 2 cameras works</t>
  </si>
  <si>
    <t>NetStat</t>
  </si>
  <si>
    <t>Neuroshima Hex</t>
  </si>
  <si>
    <t>All content</t>
  </si>
  <si>
    <t>New Star Soccer</t>
  </si>
  <si>
    <t>Can purchase Career and Pitch and Weather Pack but not coins</t>
  </si>
  <si>
    <t>islamicchaplain</t>
  </si>
  <si>
    <t>Newsweek</t>
  </si>
  <si>
    <t>NFL Pro 2012</t>
  </si>
  <si>
    <t>NHL Game center</t>
  </si>
  <si>
    <t xml:space="preserve">buys game center premium or game center live </t>
  </si>
  <si>
    <t>GOGOME</t>
  </si>
  <si>
    <t>NightHaven</t>
  </si>
  <si>
    <t>Niko</t>
  </si>
  <si>
    <t>Ninja Farm</t>
  </si>
  <si>
    <t>Bush</t>
  </si>
  <si>
    <t>Ninja Fishing</t>
  </si>
  <si>
    <t>Works for buying all items and coins</t>
  </si>
  <si>
    <t>SpyKiIIer</t>
  </si>
  <si>
    <t>Ninja Saga</t>
  </si>
  <si>
    <t>Chaos Invoker</t>
  </si>
  <si>
    <t>Ninja saga</t>
  </si>
  <si>
    <t>2.1.15</t>
  </si>
  <si>
    <t xml:space="preserve">Buy tonkes ,coins purchase.
</t>
  </si>
  <si>
    <t xml:space="preserve">Jesus1000
</t>
  </si>
  <si>
    <t>Ninjas live</t>
  </si>
  <si>
    <t>NinJump</t>
  </si>
  <si>
    <t>Buy all shields for free.</t>
  </si>
  <si>
    <t>Oshydaka</t>
  </si>
  <si>
    <t>NinJump Deluxe</t>
  </si>
  <si>
    <t>Nintendo Gamer</t>
  </si>
  <si>
    <t>Says Try again</t>
  </si>
  <si>
    <t>Nitro Drag Racing</t>
  </si>
  <si>
    <t>Nitro Nation: Drag Racing</t>
  </si>
  <si>
    <t>Respect Points</t>
  </si>
  <si>
    <t>No Fear Shakespeare</t>
  </si>
  <si>
    <t>Can purchase all 18 plays</t>
  </si>
  <si>
    <t>Elyktron</t>
  </si>
  <si>
    <t>No Gravity Lite</t>
  </si>
  <si>
    <t>Crashes when you try to buy the full game</t>
  </si>
  <si>
    <t>No Zombies Allowed</t>
  </si>
  <si>
    <t>28-06-2012</t>
  </si>
  <si>
    <t>Nook</t>
  </si>
  <si>
    <t>Notes Plus</t>
  </si>
  <si>
    <t>"Convert to text" - Hand recognition</t>
  </si>
  <si>
    <t>-</t>
  </si>
  <si>
    <t>Noteshelf</t>
  </si>
  <si>
    <t>NOVA 2</t>
  </si>
  <si>
    <t>Nova 3</t>
  </si>
  <si>
    <t xml:space="preserve">Error </t>
  </si>
  <si>
    <t>Qotizadoo</t>
  </si>
  <si>
    <t>Nuts</t>
  </si>
  <si>
    <t>does not work - failed</t>
  </si>
  <si>
    <t>Nuts!</t>
  </si>
  <si>
    <t>NY Times</t>
  </si>
  <si>
    <t>Nyan cat: Lost in Space</t>
  </si>
  <si>
    <t>Works perfectly, can buy every skin!</t>
  </si>
  <si>
    <t xml:space="preserve">Nyan Cat: Lost in Space
</t>
  </si>
  <si>
    <t>Everything works.</t>
  </si>
  <si>
    <t>58book</t>
  </si>
  <si>
    <t>o'clock 2</t>
  </si>
  <si>
    <t>Obchodní angličtina</t>
  </si>
  <si>
    <t>Ocarina 2</t>
  </si>
  <si>
    <t>Purchases appear to work but reverts back to original immediately</t>
  </si>
  <si>
    <t>Jayplay17</t>
  </si>
  <si>
    <t>30-6-2012</t>
  </si>
  <si>
    <t>Office Jerk (series)</t>
  </si>
  <si>
    <t>You can buy all the fun things to throw.</t>
  </si>
  <si>
    <t>Office2 Plus</t>
  </si>
  <si>
    <t>Official UEFA EURO 2012</t>
  </si>
  <si>
    <t>You buy the season pass and you will get it</t>
  </si>
  <si>
    <t>OffMaps 2</t>
  </si>
  <si>
    <t>Can download all maps (Map flatrate active)</t>
  </si>
  <si>
    <t>OH!BURGER</t>
  </si>
  <si>
    <t>**Workaround: disable iAP (SBS toggle), enter the game, until it gets the product price, re-enable iAP, and it should work.</t>
  </si>
  <si>
    <t>OH!SUSHI</t>
  </si>
  <si>
    <t>Old Booth+</t>
  </si>
  <si>
    <t>4.5.2</t>
  </si>
  <si>
    <t>free extra's like 20s pack and 80s pack Program itself?</t>
  </si>
  <si>
    <t>cockatoos</t>
  </si>
  <si>
    <t>Omega Strikefleet</t>
  </si>
  <si>
    <t>Can buy Alloys and Megacreds</t>
  </si>
  <si>
    <t>Online Sniper League</t>
  </si>
  <si>
    <t>Works for all options</t>
  </si>
  <si>
    <t>Oprah Magazine</t>
  </si>
  <si>
    <t xml:space="preserve">Orc Vengeance </t>
  </si>
  <si>
    <t>v1.1</t>
  </si>
  <si>
    <t xml:space="preserve">BUY ALL GOLD </t>
  </si>
  <si>
    <t>Order &amp; Chaos Online</t>
  </si>
  <si>
    <t>Jmak</t>
  </si>
  <si>
    <t>Server Sided( It will never ever work!)</t>
  </si>
  <si>
    <t>Order Up!!</t>
  </si>
  <si>
    <t>Get coins to unlock dishes and restaurants</t>
  </si>
  <si>
    <t>lewarner</t>
  </si>
  <si>
    <t>Order Up!! To Go</t>
  </si>
  <si>
    <t>Oregon Trail</t>
  </si>
  <si>
    <t>Ice</t>
  </si>
  <si>
    <t>Origami Instructions - Easy Paper Folding Lessons</t>
  </si>
  <si>
    <t>Just get more instructions</t>
  </si>
  <si>
    <t>Original gangstaz</t>
  </si>
  <si>
    <t>osu!stream</t>
  </si>
  <si>
    <t>Purchasing packs works, doesn't actually download the songs because it verfies your receipt (number) with the server.</t>
  </si>
  <si>
    <t>Overkill</t>
  </si>
  <si>
    <t>P90X</t>
  </si>
  <si>
    <t>Asks me to sign in</t>
  </si>
  <si>
    <t>Rourke</t>
  </si>
  <si>
    <t>Paladog!</t>
  </si>
  <si>
    <t>3.0.0</t>
  </si>
  <si>
    <t>Tested on cracked v3.0.0. May load for quite awhile, but it'll go through eventually.</t>
  </si>
  <si>
    <t>Palavraz</t>
  </si>
  <si>
    <t>Allows you to become a pro member and have more privileges</t>
  </si>
  <si>
    <t>Manuzes</t>
  </si>
  <si>
    <t>Paleolithics</t>
  </si>
  <si>
    <t>Able to Buy Anything from the Store.</t>
  </si>
  <si>
    <t>Palm Heroes 2 Deluxe</t>
  </si>
  <si>
    <t>Panda vs. Zombies Free</t>
  </si>
  <si>
    <t>Works like a charm</t>
  </si>
  <si>
    <t>Pandora Radio</t>
  </si>
  <si>
    <t>Pandora One subscription button disappears but no unlimited skips and ads persist</t>
  </si>
  <si>
    <t>Papago</t>
  </si>
  <si>
    <t>Paper Glider</t>
  </si>
  <si>
    <t>Paper Glider vs. Gnomes</t>
  </si>
  <si>
    <t>Paper Monsters</t>
  </si>
  <si>
    <t>1.1 Can purchase buttons</t>
  </si>
  <si>
    <t>Paper Toss</t>
  </si>
  <si>
    <t>Paper Toss v2.0</t>
  </si>
  <si>
    <t>Works on all the coin purchases ((12/9/11 - as does remove ads))</t>
  </si>
  <si>
    <t>Mav</t>
  </si>
  <si>
    <t>Parachute Ninja</t>
  </si>
  <si>
    <t>Perfect! You can buy all the characters!</t>
  </si>
  <si>
    <t>Paradise Island : Exotic</t>
  </si>
  <si>
    <t>Parallel Kingdom AOT</t>
  </si>
  <si>
    <t>Purchase Error Your Purchase was Invalid</t>
  </si>
  <si>
    <t>smcintyre</t>
  </si>
  <si>
    <t>Paranormal Agency</t>
  </si>
  <si>
    <t>Free ---&gt; Full</t>
  </si>
  <si>
    <t>Parking Mania Free</t>
  </si>
  <si>
    <t xml:space="preserve">it may not work at first (no response), but eventually works </t>
  </si>
  <si>
    <t>Parking Tycoon</t>
  </si>
  <si>
    <t>Purchase completes but you never get any gold</t>
  </si>
  <si>
    <t>Party In My Dorm</t>
  </si>
  <si>
    <t>Path</t>
  </si>
  <si>
    <t xml:space="preserve">      2.0.7</t>
  </si>
  <si>
    <t>Filters for photos and videos</t>
  </si>
  <si>
    <t>arteem</t>
  </si>
  <si>
    <t>PC Gamer US Edition</t>
  </si>
  <si>
    <t>Peggle</t>
  </si>
  <si>
    <t>Shop does not even load to buy Peggle Nights</t>
  </si>
  <si>
    <t>Penguin Airborne</t>
  </si>
  <si>
    <t>Penultimate</t>
  </si>
  <si>
    <t>Personal Trainer</t>
  </si>
  <si>
    <t>Transaction error</t>
  </si>
  <si>
    <t>PES 2012</t>
  </si>
  <si>
    <t>Pet Fair</t>
  </si>
  <si>
    <t>You can purchase all</t>
  </si>
  <si>
    <t>Pet Pony</t>
  </si>
  <si>
    <t>ADRL</t>
  </si>
  <si>
    <t>Pet shop story</t>
  </si>
  <si>
    <t>Pets live</t>
  </si>
  <si>
    <t>Pets Live</t>
  </si>
  <si>
    <t>Nothing happens</t>
  </si>
  <si>
    <t>Phoenix HD</t>
  </si>
  <si>
    <t>Just works.</t>
  </si>
  <si>
    <t>Photo Privacy</t>
  </si>
  <si>
    <t>Photo Share</t>
  </si>
  <si>
    <t>Go Pro</t>
  </si>
  <si>
    <t>Photo Wall</t>
  </si>
  <si>
    <t>PhotoForge2</t>
  </si>
  <si>
    <t>Unlocks Pop! Cam</t>
  </si>
  <si>
    <t>MasterBates50</t>
  </si>
  <si>
    <t>PhotoFrame</t>
  </si>
  <si>
    <t>Yes.  you can buy all frames</t>
  </si>
  <si>
    <t>Photogene² for iPhone v1.20</t>
  </si>
  <si>
    <t>Collage templates, Frames Bundle 1, Go PRO</t>
  </si>
  <si>
    <t>Photoshop Express</t>
  </si>
  <si>
    <t>Piano Hero</t>
  </si>
  <si>
    <t>Pickpawcket</t>
  </si>
  <si>
    <t>Pig Rockets</t>
  </si>
  <si>
    <t>Pinball Arcade</t>
  </si>
  <si>
    <t>You can't buy other tables.</t>
  </si>
  <si>
    <t>Pinball HD Collection</t>
  </si>
  <si>
    <t>All tables unlocked</t>
  </si>
  <si>
    <t>Pinball HD Collection for iPhone</t>
  </si>
  <si>
    <t>'1.0</t>
  </si>
  <si>
    <t>Pinball HD for iphone</t>
  </si>
  <si>
    <t>Can't Purchase after update to v2.5</t>
  </si>
  <si>
    <t>Davisw</t>
  </si>
  <si>
    <t>Pinball HD for iPhone</t>
  </si>
  <si>
    <t>It says "Product not available"</t>
  </si>
  <si>
    <t>Pinball HUB</t>
  </si>
  <si>
    <t>To purchase Slayer table you need to change in Installous/Setings/Remove metadata to off</t>
  </si>
  <si>
    <t>Piratas del caribee</t>
  </si>
  <si>
    <t>Pirates In Love</t>
  </si>
  <si>
    <t>Shunn</t>
  </si>
  <si>
    <t>Pirates of the Carbibean: Master of the Sea</t>
  </si>
  <si>
    <t>Can not connect to server</t>
  </si>
  <si>
    <t>Pixel Mall</t>
  </si>
  <si>
    <t>Pixelgarde</t>
  </si>
  <si>
    <t>Pixlr-o-Matic</t>
  </si>
  <si>
    <t xml:space="preserve">To purchase ALL filters. </t>
  </si>
  <si>
    <t>Plague Inc.</t>
  </si>
  <si>
    <t>All Versions</t>
  </si>
  <si>
    <t>Purchase Succesful</t>
  </si>
  <si>
    <t>X--LeThaLzz</t>
  </si>
  <si>
    <t>PLANET WORK</t>
  </si>
  <si>
    <t>Planner</t>
  </si>
  <si>
    <t>download the free version then upgrade to pro.</t>
  </si>
  <si>
    <t>remastered</t>
  </si>
  <si>
    <t>Plants vs Zombies</t>
  </si>
  <si>
    <t>AXL</t>
  </si>
  <si>
    <t>Plants Vs. Zombies V. 1.9</t>
  </si>
  <si>
    <t>Unable to connect to server / can't buy coins
***Redownloading a better crack fixes this***</t>
  </si>
  <si>
    <t>Joaker</t>
  </si>
  <si>
    <t>Playboy</t>
  </si>
  <si>
    <t>Buying issues works 100%</t>
  </si>
  <si>
    <t>macgregorm</t>
  </si>
  <si>
    <t xml:space="preserve">Please Stay Calm
</t>
  </si>
  <si>
    <t>Pleco Chinese Dictionary</t>
  </si>
  <si>
    <t>Pocket Frogs</t>
  </si>
  <si>
    <t>Pocket God</t>
  </si>
  <si>
    <t>worked great!</t>
  </si>
  <si>
    <t>Burnout915
&amp; shock2provide</t>
  </si>
  <si>
    <t>Pocket God Comics</t>
  </si>
  <si>
    <t>Tries to register with server</t>
  </si>
  <si>
    <t>Pow3rCut</t>
  </si>
  <si>
    <t>Can only buy the bundle</t>
  </si>
  <si>
    <t>Pocket Legends</t>
  </si>
  <si>
    <t>You get banned instantly at the moment when you tap on "Buy XXX platina"</t>
  </si>
  <si>
    <t>No account ban, but just don't work</t>
  </si>
  <si>
    <t>Pocket Planes</t>
  </si>
  <si>
    <t>All "Bux" Purchases immediately go thtough + stack!</t>
  </si>
  <si>
    <t>Andy:)</t>
  </si>
  <si>
    <t>Pocket Potions</t>
  </si>
  <si>
    <t>Pocket summoner</t>
  </si>
  <si>
    <t>Verifies with server</t>
  </si>
  <si>
    <t>Pocket Tanks Del</t>
  </si>
  <si>
    <t>v1.5</t>
  </si>
  <si>
    <t>Can purchase all weapon packs</t>
  </si>
  <si>
    <t>sandertrieu1995</t>
  </si>
  <si>
    <t>26-06-2012</t>
  </si>
  <si>
    <t>Pocket Warriors</t>
  </si>
  <si>
    <t>You can buy anything. Works fine at least for me it did.</t>
  </si>
  <si>
    <t>Cloud</t>
  </si>
  <si>
    <t>PocketMoney</t>
  </si>
  <si>
    <t>Poker by Zynga</t>
  </si>
  <si>
    <t xml:space="preserve">Shows loading circle then forces close
</t>
  </si>
  <si>
    <t xml:space="preserve">JD
</t>
  </si>
  <si>
    <t>Pokerist</t>
  </si>
  <si>
    <t>PolyMagic Lite</t>
  </si>
  <si>
    <t>PonPon DLX</t>
  </si>
  <si>
    <t>Popcork!</t>
  </si>
  <si>
    <t>doesn't work and don't even load</t>
  </si>
  <si>
    <t>Manson</t>
  </si>
  <si>
    <t>Popular Photography +</t>
  </si>
  <si>
    <t>Popular Science Magazine</t>
  </si>
  <si>
    <t>pornhub name genertator</t>
  </si>
  <si>
    <t>It loads and stops when you check out your coins or gems nothing happens</t>
  </si>
  <si>
    <t>Pottery HD</t>
  </si>
  <si>
    <t xml:space="preserve">Cam buy extra brushes </t>
  </si>
  <si>
    <t>Laola</t>
  </si>
  <si>
    <t>Powder Monkeys</t>
  </si>
  <si>
    <t>Power of Coin</t>
  </si>
  <si>
    <t>PowerCam</t>
  </si>
  <si>
    <t>2.0.3.0</t>
  </si>
  <si>
    <t>Was able to unlock full version</t>
  </si>
  <si>
    <t xml:space="preserve">Jim
</t>
  </si>
  <si>
    <t>Prince of Persia Classic HD</t>
  </si>
  <si>
    <t>Can buy lifes</t>
  </si>
  <si>
    <t>Princess punt</t>
  </si>
  <si>
    <t>Works when purchase level5</t>
  </si>
  <si>
    <t>Prize Claw HD</t>
  </si>
  <si>
    <t>Pro Evolution Soccer 2012</t>
  </si>
  <si>
    <t>Project Galaxia</t>
  </si>
  <si>
    <t>Says transaction is fine, but no Merits gained</t>
  </si>
  <si>
    <t>Project MOS</t>
  </si>
  <si>
    <t>Works fine no errors</t>
  </si>
  <si>
    <t>PS Express -- second dupe!!</t>
  </si>
  <si>
    <t>Able to buy packages</t>
  </si>
  <si>
    <t>PS3 Trophy</t>
  </si>
  <si>
    <t>Psg (psg tv)</t>
  </si>
  <si>
    <t>Pucca's Restaurant</t>
  </si>
  <si>
    <t>just turn on airplane mode then purchase</t>
  </si>
  <si>
    <t>Chaos</t>
  </si>
  <si>
    <t>Pumpkins vs Monsters</t>
  </si>
  <si>
    <t>spinning wheel forever</t>
  </si>
  <si>
    <t>Pushy</t>
  </si>
  <si>
    <t>With or without metadata. Diff results, neither works</t>
  </si>
  <si>
    <t xml:space="preserve">Puzzle Family </t>
  </si>
  <si>
    <t>App crashes as soon as you try to buy any item</t>
  </si>
  <si>
    <t>Puzzle Quest Chapters 1 &amp; 2</t>
  </si>
  <si>
    <t>KimsunZ</t>
  </si>
  <si>
    <t>Q Pang</t>
  </si>
  <si>
    <t>QRReader (TapMedia)</t>
  </si>
  <si>
    <t>Queen's Crown</t>
  </si>
  <si>
    <t>Tested with genuine app v1.1.3. All IAP purchasable.</t>
  </si>
  <si>
    <t>Qui veut gagner des millions? (series)</t>
  </si>
  <si>
    <t>Buy new questions free</t>
  </si>
  <si>
    <t>QuickOffice Lite</t>
  </si>
  <si>
    <t>Race illegal High Speed 3D</t>
  </si>
  <si>
    <t>Race or Die</t>
  </si>
  <si>
    <t>Race Penguin</t>
  </si>
  <si>
    <t>InApp purchases work</t>
  </si>
  <si>
    <t>Racing Cookie Adventure</t>
  </si>
  <si>
    <t>Rack Stare</t>
  </si>
  <si>
    <t>Unlock levels work</t>
  </si>
  <si>
    <t>Ragdoll Blaster 3</t>
  </si>
  <si>
    <t>To purchase buttons and Rocket Doll you must have "Remove Metadata" on Installous turned off otherwise you will get iTunes error.</t>
  </si>
  <si>
    <t>Nakediguana, Zaraf</t>
  </si>
  <si>
    <t>Rage HD</t>
  </si>
  <si>
    <t>In-app id error</t>
  </si>
  <si>
    <t>TBIA123</t>
  </si>
  <si>
    <t>Ragnarok Violet</t>
  </si>
  <si>
    <t>Able to buy from the shop.</t>
  </si>
  <si>
    <t>Raid Leader</t>
  </si>
  <si>
    <t>You can buy coins.</t>
  </si>
  <si>
    <t>Rail Maze Pro / HD</t>
  </si>
  <si>
    <t>RALLY-X RUMBLE</t>
  </si>
  <si>
    <t>RaOne</t>
  </si>
  <si>
    <t>Connect to wifi before open the game</t>
  </si>
  <si>
    <t>RC Plane 2</t>
  </si>
  <si>
    <t>Purchase the plane, kill the app and relaunch the game.</t>
  </si>
  <si>
    <t>Maloon, mohseen</t>
  </si>
  <si>
    <t>Reader's Digest</t>
  </si>
  <si>
    <t>Real football 2012</t>
  </si>
  <si>
    <t>phatpham,
Jaaaaaaaaaam, luudaigiang</t>
  </si>
  <si>
    <t>Real Racing 2</t>
  </si>
  <si>
    <t>ADeadKiwi</t>
  </si>
  <si>
    <t>Real Soccer 2012</t>
  </si>
  <si>
    <t>Real Steel</t>
  </si>
  <si>
    <t>Receipts</t>
  </si>
  <si>
    <t>Recess™</t>
  </si>
  <si>
    <t>Reckless Racing 2</t>
  </si>
  <si>
    <t>Ryan7w</t>
  </si>
  <si>
    <t>Reflec Beat Plus</t>
  </si>
  <si>
    <t>kahox</t>
  </si>
  <si>
    <t>Reiner Knizia's ClusterMaster</t>
  </si>
  <si>
    <t>Reiner Knizia's Labyrinth HD Lite</t>
  </si>
  <si>
    <t>Relevant Magazine</t>
  </si>
  <si>
    <t>Religion Books</t>
  </si>
  <si>
    <t>Trying to buy books does nothing</t>
  </si>
  <si>
    <t>Remoter VNC</t>
  </si>
  <si>
    <t>works completly :)</t>
  </si>
  <si>
    <t>RemoteX PowerManager</t>
  </si>
  <si>
    <t>RemoteX Premium</t>
  </si>
  <si>
    <t>Rerave</t>
  </si>
  <si>
    <t>Can buy premium songs</t>
  </si>
  <si>
    <t>Resident Evil 4: Platinum</t>
  </si>
  <si>
    <t>Restaurant City</t>
  </si>
  <si>
    <t>Restaurant Story</t>
  </si>
  <si>
    <t>Some user was banned by TeamLava</t>
  </si>
  <si>
    <t>Retina HD</t>
  </si>
  <si>
    <t>Rhythm Control</t>
  </si>
  <si>
    <t xml:space="preserve">	Worked fine once, after deleting and re-installing app, all purchasable content is missing from the app. Impossible to "buy" it again. Stay stuck on "Retrieving Data" when trying to purchase again.</t>
  </si>
  <si>
    <t>Ridge Racer Accelerated HD</t>
  </si>
  <si>
    <t>Unlock Full version</t>
  </si>
  <si>
    <t>Ringtones</t>
  </si>
  <si>
    <t>Rise of Heroes / HD</t>
  </si>
  <si>
    <t>Road Trip</t>
  </si>
  <si>
    <t>Unlock All Cars</t>
  </si>
  <si>
    <t>squeaky369</t>
  </si>
  <si>
    <t>Road Trippin'</t>
  </si>
  <si>
    <t>Transaction Server error</t>
  </si>
  <si>
    <t>Road Warrior</t>
  </si>
  <si>
    <t>Purchase more cash</t>
  </si>
  <si>
    <t>RoadAndTrack</t>
  </si>
  <si>
    <t>Robber Rabbits</t>
  </si>
  <si>
    <t>Able to purchase bullets for all guns</t>
  </si>
  <si>
    <t>Robbery Bob</t>
  </si>
  <si>
    <t>Ace9311</t>
  </si>
  <si>
    <t>ROBLOX</t>
  </si>
  <si>
    <t>Robo Hero</t>
  </si>
  <si>
    <t>Robot Rampage</t>
  </si>
  <si>
    <t>Robot Wants Kitty</t>
  </si>
  <si>
    <t>Rock Band</t>
  </si>
  <si>
    <t>Works on all songs</t>
  </si>
  <si>
    <t>Jinxhackwear</t>
  </si>
  <si>
    <t>Rock Band Reloaded</t>
  </si>
  <si>
    <t>go to the Music Store and purchase whatever you want!</t>
  </si>
  <si>
    <t>Rock Vegas</t>
  </si>
  <si>
    <t>All works</t>
  </si>
  <si>
    <t>Rocket Man</t>
  </si>
  <si>
    <t xml:space="preserve">          Yes</t>
  </si>
  <si>
    <t>Removes ads</t>
  </si>
  <si>
    <t>Rope'n'fly From Dusk Till Dawn</t>
  </si>
  <si>
    <t>Unlock all characters and items</t>
  </si>
  <si>
    <t>Prespawn</t>
  </si>
  <si>
    <t>Rugby Kicks</t>
  </si>
  <si>
    <t>Run Like Hell! (Series)</t>
  </si>
  <si>
    <t>Everything can be purchased (ex: Story Mode, Adrenaline Doses, etc.).</t>
  </si>
  <si>
    <t>Run Roo Run</t>
  </si>
  <si>
    <t>Works like a charm, for cracked version, you need to change in Installous/Setings/Remove metadata to off</t>
  </si>
  <si>
    <t>RuneMaster</t>
  </si>
  <si>
    <t>Buy all Gold</t>
  </si>
  <si>
    <t>IceMeh</t>
  </si>
  <si>
    <t>Running Fred</t>
  </si>
  <si>
    <t>Says DLC are purchased, but they don't work. (Tango Surprises and Video Messages)</t>
  </si>
  <si>
    <t>RunRunRiot</t>
  </si>
  <si>
    <t>Sacred Odyssey</t>
  </si>
  <si>
    <t>Sad Robot</t>
  </si>
  <si>
    <t>Safari Zoo</t>
  </si>
  <si>
    <t>Sample Tank/Free</t>
  </si>
  <si>
    <t>Could not get "purchases" to restore to another device (nonJB)  (lol ofc you cant restore purchases... because you didnt rly buy anything!)</t>
  </si>
  <si>
    <t>Samurai BloodShow2</t>
  </si>
  <si>
    <t>Able to purchase all cards/packages</t>
  </si>
  <si>
    <t>Guest</t>
  </si>
  <si>
    <t>Samurai Girl</t>
  </si>
  <si>
    <t>Seems to hang on the purchase</t>
  </si>
  <si>
    <t>Sand box!!</t>
  </si>
  <si>
    <t>Sango Millionaire</t>
  </si>
  <si>
    <t>Works for everything, can buy "Yuan Bao"</t>
  </si>
  <si>
    <t>SAS: Zombie Assault 3 HD</t>
  </si>
  <si>
    <t>drugduck</t>
  </si>
  <si>
    <t>Scoop</t>
  </si>
  <si>
    <t>Scramble with Friends</t>
  </si>
  <si>
    <t>App crashes when you try to purchase tokens</t>
  </si>
  <si>
    <t>Bammeh</t>
  </si>
  <si>
    <t>ScrapPad - Scrapbook for iPad</t>
  </si>
  <si>
    <t>Tested on v1.2.5, v1.2.95 untested</t>
  </si>
  <si>
    <t>Scribblenauts Remix</t>
  </si>
  <si>
    <t>SDK Today</t>
  </si>
  <si>
    <t>Store works great</t>
  </si>
  <si>
    <t>d0nh3art</t>
  </si>
  <si>
    <t>Sea Life HD</t>
  </si>
  <si>
    <t xml:space="preserve">unlock all </t>
  </si>
  <si>
    <t>Sea Stars</t>
  </si>
  <si>
    <t>Says "There is a purchase pending. Please wait for this purchase to complete before attempting to purchase again." and nothing happens afterwards.</t>
  </si>
  <si>
    <t>XxFrAsZeRxX</t>
  </si>
  <si>
    <t>Check your connection</t>
  </si>
  <si>
    <t>SEED 2</t>
  </si>
  <si>
    <t>It takes a while; just kill app with SBSettings and rerun, and the points will be there</t>
  </si>
  <si>
    <t>Seesmic</t>
  </si>
  <si>
    <t>Removes Advertisements</t>
  </si>
  <si>
    <t>Sentinel 2</t>
  </si>
  <si>
    <t>Exits application upon purchase</t>
  </si>
  <si>
    <t>Sentinel 3</t>
  </si>
  <si>
    <t>SettleUp</t>
  </si>
  <si>
    <t>1.2.2.1</t>
  </si>
  <si>
    <t>Removes the Iphone limitation of just 1 Group. It asks you that it is going to the store to buy for $$ money.. just go ahead and App will be cracked</t>
  </si>
  <si>
    <t>Seventeen Magazine</t>
  </si>
  <si>
    <t>Sfera</t>
  </si>
  <si>
    <t>SG Mahjong</t>
  </si>
  <si>
    <t>Failure verifying receipt. Please try again.</t>
  </si>
  <si>
    <t>Shadow Cities</t>
  </si>
  <si>
    <t>Instant Ban</t>
  </si>
  <si>
    <t>when attempting to buy potions, "access is restricted"</t>
  </si>
  <si>
    <t>Shadow Era</t>
  </si>
  <si>
    <t>Gives error. Will not purchase shadow crystals</t>
  </si>
  <si>
    <t>Shake Spears</t>
  </si>
  <si>
    <t>Works perfectly!</t>
  </si>
  <si>
    <t>Shall we date? (series)</t>
  </si>
  <si>
    <t>Heian Love, Konkatsu Love,  Ninja Love reported working.</t>
  </si>
  <si>
    <t>Shantae: Risky's Revenge</t>
  </si>
  <si>
    <t>Purchase full version works!</t>
  </si>
  <si>
    <t>Shazam</t>
  </si>
  <si>
    <t>Just download the full version/app.</t>
  </si>
  <si>
    <t>SHIFT 2 Unleashed (World)</t>
  </si>
  <si>
    <t>Tested on genuine v1.0.6</t>
  </si>
  <si>
    <t>Shogun</t>
  </si>
  <si>
    <t>Enters "pending" then purchase fails</t>
  </si>
  <si>
    <t>Shoot Many Zombies!</t>
  </si>
  <si>
    <t>Sassyguy</t>
  </si>
  <si>
    <t>Shopping Cart Hero 3</t>
  </si>
  <si>
    <t>Works fine - can purchase money</t>
  </si>
  <si>
    <t>Coreninja</t>
  </si>
  <si>
    <t>Siege Hero</t>
  </si>
  <si>
    <t>You can purchase buster bombs in the siege lab</t>
  </si>
  <si>
    <t>Siegecraft</t>
  </si>
  <si>
    <t>Silent Film Director</t>
  </si>
  <si>
    <t>Silent Ops</t>
  </si>
  <si>
    <t>Simplenote</t>
  </si>
  <si>
    <t xml:space="preserve">Six-Guns (Six Guns)
</t>
  </si>
  <si>
    <t>Dagan, luudaigiang</t>
  </si>
  <si>
    <t>Skee-Ball (Freeverse)</t>
  </si>
  <si>
    <t>Works great!  Can now buy all those cool skee ball lanes!</t>
  </si>
  <si>
    <t>Skies of Glory: Battle of Britain</t>
  </si>
  <si>
    <t>When I tried to buy a plane, it just hung there.  I downloaded the addon pack from xsellize instead.</t>
  </si>
  <si>
    <t>Sky Gamblers: Rise Of Glory</t>
  </si>
  <si>
    <t>Simple, just tap, and you get</t>
  </si>
  <si>
    <t>Sky Gamblers:Air Supremacy</t>
  </si>
  <si>
    <t>Can Purchase Planes</t>
  </si>
  <si>
    <t>Skyscape</t>
  </si>
  <si>
    <t>Slam Dunk King</t>
  </si>
  <si>
    <t>Works just fine.</t>
  </si>
  <si>
    <t>RealMcKoy</t>
  </si>
  <si>
    <t>Slide Soccer</t>
  </si>
  <si>
    <t>Slotomania</t>
  </si>
  <si>
    <t>Purchase will cause the screen to load endlessly</t>
  </si>
  <si>
    <t>Small Street</t>
  </si>
  <si>
    <t>Unlimited coins cash hack.</t>
  </si>
  <si>
    <t>mercia</t>
  </si>
  <si>
    <t>Smash Cops</t>
  </si>
  <si>
    <t>Smulu Magic Piano</t>
  </si>
  <si>
    <t>(DJ)Led Zeppelin</t>
  </si>
  <si>
    <t>Smurf comixology</t>
  </si>
  <si>
    <t>Smurf village</t>
  </si>
  <si>
    <t>Smurfs Village</t>
  </si>
  <si>
    <t>App updated to 1.2.1 on June 22nd</t>
  </si>
  <si>
    <t>mattchuu</t>
  </si>
  <si>
    <t>Smurfs' Village</t>
  </si>
  <si>
    <t>Snark Buster: Welcome to the club! HD</t>
  </si>
  <si>
    <t>Snooker Club</t>
  </si>
  <si>
    <t>Unlock all characters</t>
  </si>
  <si>
    <t>Snoopy Street fair</t>
  </si>
  <si>
    <t>Snoopy's Fair Street</t>
  </si>
  <si>
    <t>Snow Fight</t>
  </si>
  <si>
    <t>Asks for App Store login</t>
  </si>
  <si>
    <t>MeeLow</t>
  </si>
  <si>
    <t>Snuggle Truck</t>
  </si>
  <si>
    <t>Can purchase everything</t>
  </si>
  <si>
    <t>Soccer Scores Pro</t>
  </si>
  <si>
    <t>It works perfectly!</t>
  </si>
  <si>
    <t>Arman</t>
  </si>
  <si>
    <t>Soccer Superstars 2012</t>
  </si>
  <si>
    <t>Invalid Purchase</t>
  </si>
  <si>
    <t>herman925</t>
  </si>
  <si>
    <t>Social Girl</t>
  </si>
  <si>
    <t>Beffwee</t>
  </si>
  <si>
    <t>Crashes! No Longer Works!</t>
  </si>
  <si>
    <t>Soft Box Pro</t>
  </si>
  <si>
    <t>Expansion Pack: Auth Failed</t>
  </si>
  <si>
    <t>Solomon's Boneyard</t>
  </si>
  <si>
    <t>Buy gold and unlock features with it, you can even "donate" xD</t>
  </si>
  <si>
    <t>iROKR</t>
  </si>
  <si>
    <t>Solomon's Keep</t>
  </si>
  <si>
    <t>Songify</t>
  </si>
  <si>
    <t>Sonic Comics</t>
  </si>
  <si>
    <t>"Your download for ... could not be authenticated at this time"</t>
  </si>
  <si>
    <t>the_merlin</t>
  </si>
  <si>
    <t>Sounddrop</t>
  </si>
  <si>
    <t>Upgrade to pro ($2.99)</t>
  </si>
  <si>
    <t>SoundHound</t>
  </si>
  <si>
    <t>Space Bandits</t>
  </si>
  <si>
    <t>not even asking for confirmation</t>
  </si>
  <si>
    <t>ale</t>
  </si>
  <si>
    <t>Space City</t>
  </si>
  <si>
    <t>Works</t>
  </si>
  <si>
    <t>Space Frontier</t>
  </si>
  <si>
    <t>Show error: No network response</t>
  </si>
  <si>
    <t>Space Shooter HD</t>
  </si>
  <si>
    <t>Space Station: Frontier HD</t>
  </si>
  <si>
    <t>Spanish Dictionary (by iThinkdiff)</t>
  </si>
  <si>
    <t>Removed ads and got Pro database</t>
  </si>
  <si>
    <t>Specksynder</t>
  </si>
  <si>
    <t>Spellcraft : School of Magic</t>
  </si>
  <si>
    <t>Works for the new version 1.1</t>
  </si>
  <si>
    <t>Espressella</t>
  </si>
  <si>
    <t>SpellCraft: School Of Magic</t>
  </si>
  <si>
    <t>New Version Dosen't Work</t>
  </si>
  <si>
    <t>Spice Invaders</t>
  </si>
  <si>
    <t>Works. Gives you negative spices after relaunch but all towers remain upgraded. New version under new name doesn't work.</t>
  </si>
  <si>
    <t>Splashtop XDisplay</t>
  </si>
  <si>
    <t>Splice</t>
  </si>
  <si>
    <t>Not working → In-App-Purchase Error</t>
  </si>
  <si>
    <t>Sport Illustrated Magazine</t>
  </si>
  <si>
    <t>Sport1 Live</t>
  </si>
  <si>
    <t>You can watch all live games for free.</t>
  </si>
  <si>
    <t>Drieks</t>
  </si>
  <si>
    <t>Sports Illustrated Swimsuit 2012</t>
  </si>
  <si>
    <t>woolph11</t>
  </si>
  <si>
    <t>Sprinkle</t>
  </si>
  <si>
    <t>Spy Mouse</t>
  </si>
  <si>
    <t>Stair Dismount</t>
  </si>
  <si>
    <t>Able to purchase all levels and character shapes</t>
  </si>
  <si>
    <t>Stamp Art Fever Pro</t>
  </si>
  <si>
    <t>You will get banned when used extensively</t>
  </si>
  <si>
    <t>1tylerule</t>
  </si>
  <si>
    <t>Stand O'Food 3 HD (free)</t>
  </si>
  <si>
    <t>Star Blitz</t>
  </si>
  <si>
    <t>darwin88</t>
  </si>
  <si>
    <t>Star Legends</t>
  </si>
  <si>
    <t>Get botted and can't login, used to be able to but they patched the in app purchase system.</t>
  </si>
  <si>
    <t>Star Marine! Infinite Ammo</t>
  </si>
  <si>
    <t>Works perfect!</t>
  </si>
  <si>
    <t>Fantomac</t>
  </si>
  <si>
    <t>Star Warfare</t>
  </si>
  <si>
    <t>Hanged</t>
  </si>
  <si>
    <t>Stardom</t>
  </si>
  <si>
    <t>Purchasing all items</t>
  </si>
  <si>
    <t>kikiki</t>
  </si>
  <si>
    <t>Stardom: The A List</t>
  </si>
  <si>
    <t>Everything is OK</t>
  </si>
  <si>
    <t>StarDunk</t>
  </si>
  <si>
    <t>Can buy unlimited Starpoints and remove in-app ads</t>
  </si>
  <si>
    <t>Sjunk</t>
  </si>
  <si>
    <t>StarDunk Gold</t>
  </si>
  <si>
    <t>Everything Works fine.</t>
  </si>
  <si>
    <t>xZorzo</t>
  </si>
  <si>
    <t>StarFront Collision Free</t>
  </si>
  <si>
    <t>Cannot unlock full game.  Full game is available as a separate app and is cracked, so you can use that.</t>
  </si>
  <si>
    <t>StarMaker: Karaoke + Auto-Tune</t>
  </si>
  <si>
    <t>SteamBirds Survival HD</t>
  </si>
  <si>
    <t>Steel Runner</t>
  </si>
  <si>
    <t>nothing more to say, just worked :)</t>
  </si>
  <si>
    <t>Steinway Etude</t>
  </si>
  <si>
    <t>So few real pubs work, not surprisingly</t>
  </si>
  <si>
    <t>Steve Jobs Biography</t>
  </si>
  <si>
    <t>Spectrum</t>
  </si>
  <si>
    <t>Stick Cricket</t>
  </si>
  <si>
    <t>works perfectly</t>
  </si>
  <si>
    <t>Hasim751</t>
  </si>
  <si>
    <t>StickBo free</t>
  </si>
  <si>
    <t>able to buy full version</t>
  </si>
  <si>
    <t>ONTOP</t>
  </si>
  <si>
    <t>Stickwars 2</t>
  </si>
  <si>
    <t>STL Contacts</t>
  </si>
  <si>
    <t>Stone Wars</t>
  </si>
  <si>
    <t>Unlocks all levels</t>
  </si>
  <si>
    <t>bob8jeff</t>
  </si>
  <si>
    <t>Street Fighter 5 (IV)</t>
  </si>
  <si>
    <t>Can unlock all extra content</t>
  </si>
  <si>
    <t>Streetbike: Full Blast</t>
  </si>
  <si>
    <t>Seems to work fine with buying all tracks / bikes / money.</t>
  </si>
  <si>
    <t>JustinCredible</t>
  </si>
  <si>
    <t>Strike Knight</t>
  </si>
  <si>
    <t>Stylish Sprint</t>
  </si>
  <si>
    <t>take longer for the first time</t>
  </si>
  <si>
    <t>Sudoku ✯</t>
  </si>
  <si>
    <t>Purchase all pack</t>
  </si>
  <si>
    <t>Sudoku HD ✯</t>
  </si>
  <si>
    <t>Sudoku Rush</t>
  </si>
  <si>
    <t>Continuously loads "please wait" Had to close app.</t>
  </si>
  <si>
    <t>SummitX Snowboarding</t>
  </si>
  <si>
    <t>Reads iAPCracker as an in-app purchase disabler. Working on a hack for money. (not sure if legit app has iAP working. Will check and update)</t>
  </si>
  <si>
    <t>Sunshine Cruise</t>
  </si>
  <si>
    <t>Connecting...........</t>
  </si>
  <si>
    <t>Super Junior Shake</t>
  </si>
  <si>
    <t>Super KO Boxing 2</t>
  </si>
  <si>
    <t>Super Stickman Golf</t>
  </si>
  <si>
    <t>Unlock all courses</t>
  </si>
  <si>
    <t>Super Wars</t>
  </si>
  <si>
    <t>Failed error</t>
  </si>
  <si>
    <t>Supermarket Mania 2</t>
  </si>
  <si>
    <t>Supersonic HD</t>
  </si>
  <si>
    <t>Buy button doesn't function.</t>
  </si>
  <si>
    <t>Survival Run With Bear Grylls</t>
  </si>
  <si>
    <t>21-06-2012</t>
  </si>
  <si>
    <t>Surviving High School (Content)</t>
  </si>
  <si>
    <t>You will be able to download all Surviving High School Content</t>
  </si>
  <si>
    <t>SushiChop</t>
  </si>
  <si>
    <t>Purchase everything in store</t>
  </si>
  <si>
    <t>swackett</t>
  </si>
  <si>
    <t>disable ads permanently</t>
  </si>
  <si>
    <t>SwankoLab</t>
  </si>
  <si>
    <t>Purchase Uncle Stu's Photo Emporium</t>
  </si>
  <si>
    <t>Nandoche</t>
  </si>
  <si>
    <t>Sweet Shop</t>
  </si>
  <si>
    <t>SWYS (Say What You See)</t>
  </si>
  <si>
    <t>Sygic 3d for europe</t>
  </si>
  <si>
    <t>11.2.2</t>
  </si>
  <si>
    <t>After click buy, waiting for long moment , 3d cities or guide city also</t>
  </si>
  <si>
    <t>ait</t>
  </si>
  <si>
    <t>Sygic Southeast Asia: GPS Navigation</t>
  </si>
  <si>
    <t>11.2.3</t>
  </si>
  <si>
    <t>Would just hang after buying the 3D City Maps Pack for 99 cents.</t>
  </si>
  <si>
    <t>Sylo Synthesiser</t>
  </si>
  <si>
    <t>szMahjong
(known as "麻雀官-跑馬仔")</t>
  </si>
  <si>
    <t>TableDrum</t>
  </si>
  <si>
    <t>Tabletop</t>
  </si>
  <si>
    <t>Store menu does not work, but just drag store items onto grid, then touch "Buy"!</t>
  </si>
  <si>
    <t>Tactical Warrior</t>
  </si>
  <si>
    <t>Can buy expansion</t>
  </si>
  <si>
    <t>Taiko no Tatsujin+</t>
  </si>
  <si>
    <t>Talkatone</t>
  </si>
  <si>
    <t>no ads &amp; better voice codec pack</t>
  </si>
  <si>
    <t>Talking Ben</t>
  </si>
  <si>
    <t>PJR</t>
  </si>
  <si>
    <t>Talking Gina</t>
  </si>
  <si>
    <t>Able to purchase everything, except for buying minutes.</t>
  </si>
  <si>
    <t>kndllalx, baothai</t>
  </si>
  <si>
    <t>Talking Jimmy</t>
  </si>
  <si>
    <t>Talking Pierre the Parrot</t>
  </si>
  <si>
    <t>Talking Pirate</t>
  </si>
  <si>
    <t>Talking Tom</t>
  </si>
  <si>
    <t>Takes a while, but you can acquire the extra animations.</t>
  </si>
  <si>
    <t>Talking Tom &amp; Ben News</t>
  </si>
  <si>
    <t>Talking Tom &amp; Ben News for iPad</t>
  </si>
  <si>
    <t>Talking Tom 2</t>
  </si>
  <si>
    <t>tangram!</t>
  </si>
  <si>
    <t>unlock all the 200 new puzzles</t>
  </si>
  <si>
    <t>Tank Battalion Blitz</t>
  </si>
  <si>
    <t>1.0.0 Purchases works</t>
  </si>
  <si>
    <t>Tap  Fish Season</t>
  </si>
  <si>
    <t>Tap Campus Life</t>
  </si>
  <si>
    <t>Tap Fish 2</t>
  </si>
  <si>
    <t>Tap Pet Hotel</t>
  </si>
  <si>
    <t>Tap Reef</t>
  </si>
  <si>
    <t>Hangs.</t>
  </si>
  <si>
    <t>Tap Resort</t>
  </si>
  <si>
    <t>Tap Sonic</t>
  </si>
  <si>
    <t>Tap Store</t>
  </si>
  <si>
    <t>Tap Tap Glee</t>
  </si>
  <si>
    <t>Tap Tap Revenge 4</t>
  </si>
  <si>
    <t>macgregorm, luudaigiang</t>
  </si>
  <si>
    <t>Tap Tap Revenge Tour</t>
  </si>
  <si>
    <t>Cannot buy anything. Comes back with a "Cannot Finalize IAP Purchase" error</t>
  </si>
  <si>
    <t>Charm Artist</t>
  </si>
  <si>
    <t>Tap zoo 2</t>
  </si>
  <si>
    <t>tapped out</t>
  </si>
  <si>
    <t>Does not get donuts</t>
  </si>
  <si>
    <t>TapTap Revenge (series)</t>
  </si>
  <si>
    <t>Techno Kitten Adventure</t>
  </si>
  <si>
    <t>MattyBurlin</t>
  </si>
  <si>
    <t>Temple Run</t>
  </si>
  <si>
    <t>Keb911
Bobo LaRue</t>
  </si>
  <si>
    <t>Temple Run Brave</t>
  </si>
  <si>
    <t>Purchase everything from store (coins)</t>
  </si>
  <si>
    <t>Tesla Wars</t>
  </si>
  <si>
    <t>Get money</t>
  </si>
  <si>
    <t>Text Me</t>
  </si>
  <si>
    <t xml:space="preserve">Text'nDrive Pro </t>
  </si>
  <si>
    <t>Textfree (and Textfree with voicemail)</t>
  </si>
  <si>
    <t xml:space="preserve">Can't buy minutes, ad removal works. </t>
  </si>
  <si>
    <t>H4x04</t>
  </si>
  <si>
    <t>TextNow</t>
  </si>
  <si>
    <t>Remove ads, buy credits and sound packs. Resets occasionally. Just re-purchase.</t>
  </si>
  <si>
    <t>BruiserBrody</t>
  </si>
  <si>
    <t>TextPlus Silver</t>
  </si>
  <si>
    <t>The Bard's Tale</t>
  </si>
  <si>
    <t>It works, but only if you purchased/genuinely own the apps, error occurs because it could not authenticate the ownership of the games.
Having genuine version will allow you to enter the shop and purchase. Cracked version does not even allow you to enter the shop.</t>
  </si>
  <si>
    <t>The Blocks Cometh By Halfbot</t>
  </si>
  <si>
    <t>The Buddy</t>
  </si>
  <si>
    <t>koasterkid</t>
  </si>
  <si>
    <t>The Creeps</t>
  </si>
  <si>
    <t>The Cube</t>
  </si>
  <si>
    <t>The Economist</t>
  </si>
  <si>
    <t>Changed from No. Was able to buy single issues.</t>
  </si>
  <si>
    <t>The Hacker</t>
  </si>
  <si>
    <t>Doesn't work at all. The default AppStore popup with Confirm In-App Purchase appears</t>
  </si>
  <si>
    <t>Dreyk</t>
  </si>
  <si>
    <t>The Impossible Game</t>
  </si>
  <si>
    <t>You can unlock all the extra levels</t>
  </si>
  <si>
    <t>taka00</t>
  </si>
  <si>
    <t>The Impossible Test CHRISTMAS</t>
  </si>
  <si>
    <t>Can purchase coins on the spot, for ad-free, it will load forever but once I restart the app, the ads are gone.</t>
  </si>
  <si>
    <t>The Michael Jackson Experience HD</t>
  </si>
  <si>
    <t>Pritpalspall</t>
  </si>
  <si>
    <t>The Mystery of the Crystal Portal HD (1st &amp; 2nd series)</t>
  </si>
  <si>
    <t>The Mystery of the Crytal Portal (Free)</t>
  </si>
  <si>
    <t>Purchase successfully and work well for the first time, crash after relaunch.</t>
  </si>
  <si>
    <t>The New Yorker Magazine</t>
  </si>
  <si>
    <t>The Nightworld (The night world)</t>
  </si>
  <si>
    <t xml:space="preserve">The Oregon Trail: American Settler
</t>
  </si>
  <si>
    <t>The Photo Cookbook v6 (&amp; previous)</t>
  </si>
  <si>
    <t>Tried this and most before (from Install0us). Works for a while, then fails with 'Invalid picture data'. BUT, I purchased the main app and the DLC did work. No charge &amp; no 'errors' since.</t>
  </si>
  <si>
    <t>The Price Is Right Slots</t>
  </si>
  <si>
    <t>Buy unlimited coins</t>
  </si>
  <si>
    <t>MRM316</t>
  </si>
  <si>
    <t>The sandbox</t>
  </si>
  <si>
    <t xml:space="preserve">Closes the app wen you try to buy </t>
  </si>
  <si>
    <t>Anonimus</t>
  </si>
  <si>
    <t>The Simpsons: Tapped Out</t>
  </si>
  <si>
    <t>The Simpsons™: Tapped Out</t>
  </si>
  <si>
    <t>It takes forever to complete the request.</t>
  </si>
  <si>
    <t>The Sims 3</t>
  </si>
  <si>
    <t>Works good</t>
  </si>
  <si>
    <t>The Sims FreePlay</t>
  </si>
  <si>
    <t>The Streetz</t>
  </si>
  <si>
    <t>The Sunday Times</t>
  </si>
  <si>
    <t>Transaction failed. Invalid request (1031). Information missing or not found.</t>
  </si>
  <si>
    <t>The Times</t>
  </si>
  <si>
    <t>Purchase looks successful. But every time you click on a different page, it asks for purchase again.</t>
  </si>
  <si>
    <t>The Tribez</t>
  </si>
  <si>
    <t>Works for Gold and Gems</t>
  </si>
  <si>
    <t>Perry</t>
  </si>
  <si>
    <t xml:space="preserve">The World of Magic </t>
  </si>
  <si>
    <t>App crashes at launch screen</t>
  </si>
  <si>
    <t>The World of Star</t>
  </si>
  <si>
    <t>Theme Park</t>
  </si>
  <si>
    <t>Third Blade</t>
  </si>
  <si>
    <t>Chamoan</t>
  </si>
  <si>
    <t>Three Kingdoms TD - Fate of Wei</t>
  </si>
  <si>
    <t>Ticket to ride</t>
  </si>
  <si>
    <t>Anth0</t>
  </si>
  <si>
    <t>Ticket to Ride</t>
  </si>
  <si>
    <t>"In-App Purchase Error"</t>
  </si>
  <si>
    <t>Monk</t>
  </si>
  <si>
    <t>Tiger Woods PGA Tour 12</t>
  </si>
  <si>
    <t>Doesn't give you the money</t>
  </si>
  <si>
    <t>Tightwire HD</t>
  </si>
  <si>
    <t>Can buy all levels and equipments</t>
  </si>
  <si>
    <t>tijdschrift.nl</t>
  </si>
  <si>
    <t>Says "Transaction failed- code 1041"</t>
  </si>
  <si>
    <t>Tiki Cart 3D</t>
  </si>
  <si>
    <t>download all circuts, cars, and tikis</t>
  </si>
  <si>
    <t>Tiki Match</t>
  </si>
  <si>
    <t>Base → Premium</t>
  </si>
  <si>
    <t>Tiki Tokem 2</t>
  </si>
  <si>
    <t>Tilt to Live</t>
  </si>
  <si>
    <t>Unlocks Viva la Turret game mode</t>
  </si>
  <si>
    <t>Dervd</t>
  </si>
  <si>
    <t>Tilt to Live (HD)</t>
  </si>
  <si>
    <t>Works, but presents App Store login screen. Use at own risk.</t>
  </si>
  <si>
    <t>Time</t>
  </si>
  <si>
    <t>Time Crisis 2nd Strike HD</t>
  </si>
  <si>
    <t>Time Geeks Find All!</t>
  </si>
  <si>
    <t>Time of Heroes</t>
  </si>
  <si>
    <t>You can buy everything in the shop.</t>
  </si>
  <si>
    <t>Timer+</t>
  </si>
  <si>
    <t>Can "purchase" sound packs and ad-free</t>
  </si>
  <si>
    <t>Amanda</t>
  </si>
  <si>
    <t>TINS</t>
  </si>
  <si>
    <t>Tiny Chef</t>
  </si>
  <si>
    <t>Tiny Defense</t>
  </si>
  <si>
    <t>Buys metal parts (not an option until played 8-10 levels)</t>
  </si>
  <si>
    <t>Tiny Farm</t>
  </si>
  <si>
    <t>error message: "서버 정보 Protocol: Receipt, ErrorCode: 1"</t>
  </si>
  <si>
    <t>Tiny Heroes</t>
  </si>
  <si>
    <t>Can buy defense pack 1</t>
  </si>
  <si>
    <t>Tiny Pet</t>
  </si>
  <si>
    <t>It will say that you successful purchase but the nothing will happen</t>
  </si>
  <si>
    <t>Tiny Tower</t>
  </si>
  <si>
    <t>Takes a while</t>
  </si>
  <si>
    <t>SuicidalBuNY</t>
  </si>
  <si>
    <t>Tiny Troopers</t>
  </si>
  <si>
    <t xml:space="preserve">Can purchase everything. You have to push buy repeatedly fast and it will work. Works great. </t>
  </si>
  <si>
    <t>Tiny Village</t>
  </si>
  <si>
    <t>it shows a loading bar then does nothing</t>
  </si>
  <si>
    <t>TinyZoo Friends</t>
  </si>
  <si>
    <t>Tip-Off</t>
  </si>
  <si>
    <t>Can buy coins</t>
  </si>
  <si>
    <t>Livedraz</t>
  </si>
  <si>
    <t>To-Fu 2</t>
  </si>
  <si>
    <t>Todo</t>
  </si>
  <si>
    <t>Todo 360</t>
  </si>
  <si>
    <t>Can "purchase" upgrade to full version</t>
  </si>
  <si>
    <t>ToFu</t>
  </si>
  <si>
    <t>TomTom (UK)</t>
  </si>
  <si>
    <t>"products are not yet available in your region"</t>
  </si>
  <si>
    <t>Kingblah</t>
  </si>
  <si>
    <t>TomTom Australia</t>
  </si>
  <si>
    <t>can purchase extra voice, like Homer</t>
  </si>
  <si>
    <t>TomTom Europe</t>
  </si>
  <si>
    <t>It say purchase completed, but no subscription appears</t>
  </si>
  <si>
    <t>TomTom UK</t>
  </si>
  <si>
    <t>Can purchase anything, voices, cameras, traffic :)</t>
  </si>
  <si>
    <t>TomTom USA</t>
  </si>
  <si>
    <t>Works with voices but not traffic.</t>
  </si>
  <si>
    <t>ACDawg</t>
  </si>
  <si>
    <t>TomTom USA and Canada</t>
  </si>
  <si>
    <t>Everything now works</t>
  </si>
  <si>
    <t>LilC</t>
  </si>
  <si>
    <t>TomTom Western Europe (Dutch)</t>
  </si>
  <si>
    <t>Only voices can be purchased, no traffic</t>
  </si>
  <si>
    <t>Tonara</t>
  </si>
  <si>
    <t>"Oops! we had a problem, please try again"</t>
  </si>
  <si>
    <t>ToonPAINT</t>
  </si>
  <si>
    <t>In app purchase of additional features</t>
  </si>
  <si>
    <t xml:space="preserve">Toontastic </t>
  </si>
  <si>
    <t>can purchase all the other packs</t>
  </si>
  <si>
    <t>Top Eleven</t>
  </si>
  <si>
    <t>Zaitsev7</t>
  </si>
  <si>
    <t>Top Gear Stunt School</t>
  </si>
  <si>
    <t>Top Girl</t>
  </si>
  <si>
    <t xml:space="preserve">Top Girl
</t>
  </si>
  <si>
    <t>Doesn't work anymore, crashes</t>
  </si>
  <si>
    <t>4/17/2012[</t>
  </si>
  <si>
    <t>TopGear Stunt School Revolution</t>
  </si>
  <si>
    <t xml:space="preserve">All Versions </t>
  </si>
  <si>
    <t>Can purchase everything.</t>
  </si>
  <si>
    <t>Touch Detective</t>
  </si>
  <si>
    <t>Extra/Bonus Scenario</t>
  </si>
  <si>
    <t>Touch Hockey 2 HD</t>
  </si>
  <si>
    <t>i can play</t>
  </si>
  <si>
    <t>Touch Pet Cats</t>
  </si>
  <si>
    <t>Touch Pet Dogs 2</t>
  </si>
  <si>
    <t>Touch Tanks (Europe) v3.1.0</t>
  </si>
  <si>
    <t xml:space="preserve">Purchases work </t>
  </si>
  <si>
    <t>Touring Mobilis Pro 3.5</t>
  </si>
  <si>
    <t>Tower Defense: Lost Earth</t>
  </si>
  <si>
    <t>Loading....</t>
  </si>
  <si>
    <t>Tower Defense: Lost Earth HD</t>
  </si>
  <si>
    <t>Loading goes on forever when trying to buy an item in the shop even on a non-cracked version of the game.</t>
  </si>
  <si>
    <t>Tower Madness</t>
  </si>
  <si>
    <t>Works for all maps and weapons.</t>
  </si>
  <si>
    <t>baobiao</t>
  </si>
  <si>
    <t>Tower Siege</t>
  </si>
  <si>
    <t>TowrCraft</t>
  </si>
  <si>
    <t>Toy Defense</t>
  </si>
  <si>
    <t>Hobgoblin</t>
  </si>
  <si>
    <t>Toy Village</t>
  </si>
  <si>
    <t>Trade Nations</t>
  </si>
  <si>
    <t xml:space="preserve">Unable to verify purchase </t>
  </si>
  <si>
    <t>Traffic Panic 3D</t>
  </si>
  <si>
    <t>Unlock All!</t>
  </si>
  <si>
    <t>Keigo</t>
  </si>
  <si>
    <t>TRANSFORMERS™ CyberToy Free</t>
  </si>
  <si>
    <t>1.8.0</t>
  </si>
  <si>
    <t>You can purchase other robots</t>
  </si>
  <si>
    <t>Vhaeraun</t>
  </si>
  <si>
    <t>Translate Professional / Traductor Profesional</t>
  </si>
  <si>
    <t>You can purchase additional voices</t>
  </si>
  <si>
    <t>Transphotos</t>
  </si>
  <si>
    <t>Gives you all filters</t>
  </si>
  <si>
    <t xml:space="preserve">Travel Combat
</t>
  </si>
  <si>
    <t>Traveler's Quest</t>
  </si>
  <si>
    <t>Bans your account</t>
  </si>
  <si>
    <t>Treasure Seekers (1 &amp; 3)</t>
  </si>
  <si>
    <t>Unlock full version (for both series), Direct purchase required for 2nd series (not iAP).</t>
  </si>
  <si>
    <t>Trenches 2</t>
  </si>
  <si>
    <t>Can purchase perks (very quick too)</t>
  </si>
  <si>
    <t>Trenches II</t>
  </si>
  <si>
    <t>Compra Todas Las Ventajas</t>
  </si>
  <si>
    <t>Rsp</t>
  </si>
  <si>
    <t>Trillian</t>
  </si>
  <si>
    <t>Triple Town - update item please.</t>
  </si>
  <si>
    <t>Works, but annoying message "purchasing failed" appears.</t>
  </si>
  <si>
    <t>Tripwolf</t>
  </si>
  <si>
    <t>Trivial Pusuit</t>
  </si>
  <si>
    <t>Free additional questions!</t>
  </si>
  <si>
    <t>Trollolol</t>
  </si>
  <si>
    <t>Works fine! You can purchase all faces.</t>
  </si>
  <si>
    <t>eborodulin</t>
  </si>
  <si>
    <t>Trucks and Skulls NITRO</t>
  </si>
  <si>
    <t>Turf Wars</t>
  </si>
  <si>
    <t>Account Ban if you try it twice</t>
  </si>
  <si>
    <t>thiagobbt</t>
  </si>
  <si>
    <t>TVGids.tv</t>
  </si>
  <si>
    <t>"Ophalen van bestelling mislukt"</t>
  </si>
  <si>
    <t>TweetAgora</t>
  </si>
  <si>
    <t>Tweetcaster for Twitter</t>
  </si>
  <si>
    <t>Free to Pro (No Ads)</t>
  </si>
  <si>
    <t>Twisted Land: Shadow Town HD Lite</t>
  </si>
  <si>
    <t>Twittelator</t>
  </si>
  <si>
    <t>Twittelator Neue</t>
  </si>
  <si>
    <t>able to get push notifications but it resets if you respring device</t>
  </si>
  <si>
    <t>devilrejected</t>
  </si>
  <si>
    <t>Twitteriffic</t>
  </si>
  <si>
    <t>Uangel Hanna</t>
  </si>
  <si>
    <t>Can buy all things</t>
  </si>
  <si>
    <t>Boi</t>
  </si>
  <si>
    <t>ÜberTwitter / UberSocial</t>
  </si>
  <si>
    <t>Uefa Champions League</t>
  </si>
  <si>
    <t>works perfectly with season pass and individual videos</t>
  </si>
  <si>
    <t>andre</t>
  </si>
  <si>
    <t>UKIYOE Woodcut</t>
  </si>
  <si>
    <t>Ultimate Guitar Tabs (2.0.0)</t>
  </si>
  <si>
    <t>Ultralingua dictionaries</t>
  </si>
  <si>
    <t>Works on all dictionaries</t>
  </si>
  <si>
    <t>Uno</t>
  </si>
  <si>
    <t>Uprising: Veggie Samurai</t>
  </si>
  <si>
    <t>All shop items work</t>
  </si>
  <si>
    <t>Urban Crime</t>
  </si>
  <si>
    <t>Urban Dictionary (slango)</t>
  </si>
  <si>
    <t>Unlock Pro</t>
  </si>
  <si>
    <t>Urban Rivals</t>
  </si>
  <si>
    <t>UWO Buzzz</t>
  </si>
  <si>
    <t>Can gain LTC Route info</t>
  </si>
  <si>
    <t>UWO</t>
  </si>
  <si>
    <t>Valor</t>
  </si>
  <si>
    <t>Valor HD</t>
  </si>
  <si>
    <t>Can buy GOLD but balance doesn't update</t>
  </si>
  <si>
    <t xml:space="preserve">Vampires Live </t>
  </si>
  <si>
    <t>Vanity Fair</t>
  </si>
  <si>
    <t>VDM</t>
  </si>
  <si>
    <t>malinois</t>
  </si>
  <si>
    <t>VDM Officiel</t>
  </si>
  <si>
    <t>(French version of F**k My Life) Remove publicity.</t>
  </si>
  <si>
    <t>Vegas tower</t>
  </si>
  <si>
    <t>Velocispider Zero</t>
  </si>
  <si>
    <t>Perfect!</t>
  </si>
  <si>
    <t>Vengeance On Evil</t>
  </si>
  <si>
    <t>iLovePi</t>
  </si>
  <si>
    <t>Verbs</t>
  </si>
  <si>
    <t>2.2.2</t>
  </si>
  <si>
    <t>You can't upgrade to Verbs Pro</t>
  </si>
  <si>
    <t>VG Helg (Norway)</t>
  </si>
  <si>
    <t>Nothing</t>
  </si>
  <si>
    <t>Vip Poker</t>
  </si>
  <si>
    <t>Virtual City (Free version)</t>
  </si>
  <si>
    <t>Virtual City 2</t>
  </si>
  <si>
    <t>Virtual City Playground</t>
  </si>
  <si>
    <t>Virtual Table Tennis 2: Online Match</t>
  </si>
  <si>
    <t>Network problem.</t>
  </si>
  <si>
    <t>Vocalive free for Ipad</t>
  </si>
  <si>
    <t>VOE</t>
  </si>
  <si>
    <t>Voice Changer Plus</t>
  </si>
  <si>
    <t>Voice Generator</t>
  </si>
  <si>
    <t>VoiceJam</t>
  </si>
  <si>
    <t>Allows you to unlock two voice filters</t>
  </si>
  <si>
    <t>Rami</t>
  </si>
  <si>
    <t>Vonage Time to Call</t>
  </si>
  <si>
    <t>Vtok</t>
  </si>
  <si>
    <t>Vzpoura mozků, Galaxia a Tvrz - Komiksová klasika</t>
  </si>
  <si>
    <t>Walking Dead</t>
  </si>
  <si>
    <t>No longer works after episode 2 became server based check</t>
  </si>
  <si>
    <t>War 2 Victory</t>
  </si>
  <si>
    <t>Warp Plus</t>
  </si>
  <si>
    <t>Works on everything in the in-app store</t>
  </si>
  <si>
    <t>Warpgate</t>
  </si>
  <si>
    <t>WaterMyPhoto</t>
  </si>
  <si>
    <t>Can remove ads without problems</t>
  </si>
  <si>
    <t>R</t>
  </si>
  <si>
    <t>Wavebot</t>
  </si>
  <si>
    <t>Able To Purchase Sound Pack</t>
  </si>
  <si>
    <t>Wayang Force</t>
  </si>
  <si>
    <t>to have working version, install v3.0 instead</t>
  </si>
  <si>
    <t>We City</t>
  </si>
  <si>
    <t>We Farm</t>
  </si>
  <si>
    <t>We Rule Deluxe</t>
  </si>
  <si>
    <t>Weather Doodle!</t>
  </si>
  <si>
    <t>WeatherPro HD</t>
  </si>
  <si>
    <t>Wedding Dash</t>
  </si>
  <si>
    <t>Everdata</t>
  </si>
  <si>
    <t>WeeMee</t>
  </si>
  <si>
    <t>Alem</t>
  </si>
  <si>
    <t>WePhone</t>
  </si>
  <si>
    <t>Crashes</t>
  </si>
  <si>
    <t>Wephone</t>
  </si>
  <si>
    <t>5.1.4</t>
  </si>
  <si>
    <t>Wait for so long but it will freeze and error</t>
  </si>
  <si>
    <t>WeTalk</t>
  </si>
  <si>
    <t>Crash App</t>
  </si>
  <si>
    <t>Whale Trails</t>
  </si>
  <si>
    <t>All Works</t>
  </si>
  <si>
    <t>EliTehNinja</t>
  </si>
  <si>
    <t>Wheel of Fortune HD</t>
  </si>
  <si>
    <t>Unlock all Avatar Packs and Puzzle Packs</t>
  </si>
  <si>
    <t>Zer0Evil</t>
  </si>
  <si>
    <t>Where To?</t>
  </si>
  <si>
    <t>Where's My Water</t>
  </si>
  <si>
    <t>Wicall</t>
  </si>
  <si>
    <t>banned account</t>
  </si>
  <si>
    <t>jejemon24</t>
  </si>
  <si>
    <t>Wild Frontier</t>
  </si>
  <si>
    <t>buy anything need wifi or 3G</t>
  </si>
  <si>
    <t>jerinight, qwerty</t>
  </si>
  <si>
    <t>Wind-Up Knight</t>
  </si>
  <si>
    <t>Shop for coin</t>
  </si>
  <si>
    <t>Windows Magazine (all aps from future plubishing)</t>
  </si>
  <si>
    <t>All those apps crash immediatly after clicking "Purchase".</t>
  </si>
  <si>
    <t>Wired</t>
  </si>
  <si>
    <t>Wired UK</t>
  </si>
  <si>
    <t>Wizardry: Labyrinth Of Lost Souls</t>
  </si>
  <si>
    <t>WMB 3d - World's Most Beautiful</t>
  </si>
  <si>
    <t>klephts2803</t>
  </si>
  <si>
    <t>Wordfeud</t>
  </si>
  <si>
    <t>Upgrade to no ads works great</t>
  </si>
  <si>
    <t>Wordfeud Helper</t>
  </si>
  <si>
    <t>Free to premium dictionary update (To Full)</t>
  </si>
  <si>
    <t>Wordlens</t>
  </si>
  <si>
    <t>WordLens</t>
  </si>
  <si>
    <t>WordPower French</t>
  </si>
  <si>
    <t>Unlocks full version</t>
  </si>
  <si>
    <t>Words With Friends</t>
  </si>
  <si>
    <t>When trying to purchase addons in the store, the app crashes.</t>
  </si>
  <si>
    <t>Huntereb, L2blackbelt</t>
  </si>
  <si>
    <t>World Cup Table Tennis HD Free</t>
  </si>
  <si>
    <t>Free →  Full, buying credits</t>
  </si>
  <si>
    <t>World Cup Table Tennis™</t>
  </si>
  <si>
    <t>Can buy from shop</t>
  </si>
  <si>
    <t>World Magazine</t>
  </si>
  <si>
    <t>World Series of Poker Hold’em Legend</t>
  </si>
  <si>
    <t>Hangs - possible external server check?</t>
  </si>
  <si>
    <t>World War</t>
  </si>
  <si>
    <t>World War 2 Hills Of Glory</t>
  </si>
  <si>
    <t>Unlocks cash purchases</t>
  </si>
  <si>
    <t>Don't work and you can no longer download app</t>
  </si>
  <si>
    <t>Worms 2: Armageddon</t>
  </si>
  <si>
    <t>Battlepack Works</t>
  </si>
  <si>
    <t>Worms Crazy Golf v1.05 [iPhone]</t>
  </si>
  <si>
    <t>Carnival Course</t>
  </si>
  <si>
    <t>WrestleFest Premium</t>
  </si>
  <si>
    <t>Purchase Wrestler Pack working</t>
  </si>
  <si>
    <t>shinobi</t>
  </si>
  <si>
    <t>WrestleFest Premium HD</t>
  </si>
  <si>
    <t>Purchase Wrestler Pack (null) not working</t>
  </si>
  <si>
    <t>X2 10/11</t>
  </si>
  <si>
    <t>Base → Full</t>
  </si>
  <si>
    <t>XBMC Constellation</t>
  </si>
  <si>
    <t>Xperica HD</t>
  </si>
  <si>
    <t>Can buy the experiment pack</t>
  </si>
  <si>
    <t>Yaniv (card game)</t>
  </si>
  <si>
    <t>UNLOCK PRO</t>
  </si>
  <si>
    <t>marry</t>
  </si>
  <si>
    <t>Yen Press</t>
  </si>
  <si>
    <t>May get incomplete downloads but works. Just delete and redownload if happens.</t>
  </si>
  <si>
    <t>Yeti Town</t>
  </si>
  <si>
    <t>Buy coins &amp; stuff - Perfect</t>
  </si>
  <si>
    <t>Hamad</t>
  </si>
  <si>
    <t>YoFilm</t>
  </si>
  <si>
    <t>Youda Survivor</t>
  </si>
  <si>
    <t>Free →  Full</t>
  </si>
  <si>
    <t>Yslandia</t>
  </si>
  <si>
    <t>Doesn't get anything when buying gem</t>
  </si>
  <si>
    <t>Zap2It What's On? (TV listings)</t>
  </si>
  <si>
    <t>Make account, tap a remove ad subscription</t>
  </si>
  <si>
    <t>zaTelnet</t>
  </si>
  <si>
    <t>Requires password. Use at own risk.</t>
  </si>
  <si>
    <t>Zen of Snow HD</t>
  </si>
  <si>
    <t>Purchases Rabbit Food perfectly</t>
  </si>
  <si>
    <t>Zen Pinball</t>
  </si>
  <si>
    <t>me</t>
  </si>
  <si>
    <t>Zen Warrior</t>
  </si>
  <si>
    <t>You can buy a coins.</t>
  </si>
  <si>
    <t>Sir SkinowZ</t>
  </si>
  <si>
    <t>Zenonia 2</t>
  </si>
  <si>
    <t>Can Purchase all</t>
  </si>
  <si>
    <t>mytich, passarbye</t>
  </si>
  <si>
    <t>Zenonia 3 (Both Versions)</t>
  </si>
  <si>
    <t>Able to buy Zen</t>
  </si>
  <si>
    <t>Zenonia 4</t>
  </si>
  <si>
    <t>Signe, Stryder, Keo,
ThePreserver,[Ars]Giang</t>
  </si>
  <si>
    <t xml:space="preserve">Zenonia 4
</t>
  </si>
  <si>
    <t>Nope Dosen't Work!</t>
  </si>
  <si>
    <t>Zinio</t>
  </si>
  <si>
    <t>Zippo Lighter</t>
  </si>
  <si>
    <t>Zombie Battle</t>
  </si>
  <si>
    <t>"Purchase Failed" and hanged</t>
  </si>
  <si>
    <t>Zombie Cafe</t>
  </si>
  <si>
    <t>Mik</t>
  </si>
  <si>
    <t>Zombie Carnival</t>
  </si>
  <si>
    <t>Works on everything, hearts, zombills and the swipe enemies in invading battles</t>
  </si>
  <si>
    <t>Zombie Crisis 2</t>
  </si>
  <si>
    <t>Works for unlocked inf ammo for all guns</t>
  </si>
  <si>
    <t>Zombie Crisis 3D</t>
  </si>
  <si>
    <t>Gets you inf ammo for machinegun and shotgun</t>
  </si>
  <si>
    <t>Zombie Farm</t>
  </si>
  <si>
    <t>Can buy brains. Mmmmm, brains.</t>
  </si>
  <si>
    <t>Nukie</t>
  </si>
  <si>
    <t>Zombie Gunship</t>
  </si>
  <si>
    <t>coins</t>
  </si>
  <si>
    <t>Zombie Highway</t>
  </si>
  <si>
    <t>Gun Shop</t>
  </si>
  <si>
    <t>Zombie HQ</t>
  </si>
  <si>
    <t>Zombie Lane</t>
  </si>
  <si>
    <t>works like charm!</t>
  </si>
  <si>
    <t>Zombie Life</t>
  </si>
  <si>
    <t>Works perfectly good!!</t>
  </si>
  <si>
    <t>Zombie Panic in Wonderland</t>
  </si>
  <si>
    <t>DuDu</t>
  </si>
  <si>
    <t>Zombie Revolution</t>
  </si>
  <si>
    <t>Zombie Samurai</t>
  </si>
  <si>
    <t>Can purchase everything with coins</t>
  </si>
  <si>
    <t>Ryou</t>
  </si>
  <si>
    <t>Zombie Smash</t>
  </si>
  <si>
    <t>buy all the addons</t>
  </si>
  <si>
    <t>epictoxic</t>
  </si>
  <si>
    <t>Zombie Sweeper</t>
  </si>
  <si>
    <t>Purchase Gems</t>
  </si>
  <si>
    <t>noache</t>
  </si>
  <si>
    <t>Zombie Takeover</t>
  </si>
  <si>
    <t>Zombie vs Ninja</t>
  </si>
  <si>
    <t>Loads when you try to buy, but nothing happens</t>
  </si>
  <si>
    <t>Zombie Wonderland 2: Outta Time!</t>
  </si>
  <si>
    <t>Everything</t>
  </si>
  <si>
    <t>ZombieLife</t>
  </si>
  <si>
    <t>It buys coins/diamonds great!</t>
  </si>
  <si>
    <t>TomRBify</t>
  </si>
  <si>
    <t>Zoo Story 2</t>
  </si>
  <si>
    <t>brandon</t>
  </si>
  <si>
    <t>Zynga poker</t>
  </si>
  <si>
    <t>Press it you get the loading sign and then it crashes</t>
  </si>
  <si>
    <t xml:space="preserve">        TUBBY_5000</t>
  </si>
  <si>
    <t>1434 Apps &amp; Games Tested with iAP Cracker
Last Update: May 15, 2012 (rctgamer3)
Want to contribute new apps and submit changes? Feel free to add them to the "New Apps" sheet (click on the "New Apps" button below THIS sheet).
If you have contributed a lot of apps and find yourself worthy, you can request edit permission by clicking the "Share" button. Requests without a valid sheet nickname will NOT be processed.</t>
  </si>
  <si>
    <t>Timestamp</t>
  </si>
  <si>
    <t>App name</t>
  </si>
  <si>
    <t>App version</t>
  </si>
  <si>
    <t>Notes / comments</t>
  </si>
  <si>
    <t>Date checked</t>
  </si>
  <si>
    <t>Example</t>
  </si>
  <si>
    <t>Notes here</t>
  </si>
  <si>
    <t>Nickname here</t>
  </si>
  <si>
    <t>Kono</t>
  </si>
  <si>
    <t>Purchase premium user works</t>
  </si>
  <si>
    <t>Quizkampen</t>
  </si>
  <si>
    <t>Premium user works</t>
  </si>
  <si>
    <t>Quiz Battle</t>
  </si>
  <si>
    <t>Subway surfer</t>
  </si>
  <si>
    <t>World Conqueror 2</t>
  </si>
  <si>
    <t>Happy Street</t>
  </si>
  <si>
    <t>Can buy stones/coins</t>
  </si>
  <si>
    <t>Gamer</t>
  </si>
  <si>
    <t>Batman: The Dark Knight Rises</t>
  </si>
  <si>
    <t xml:space="preserve">When trying the purchase "Tech Credits," the app shows no internet connection. </t>
  </si>
  <si>
    <t>Snapeee</t>
  </si>
  <si>
    <t>Purchase all but with POINT COLLECTION</t>
  </si>
  <si>
    <t>AZH</t>
  </si>
  <si>
    <t>Casino by: Big Fish</t>
  </si>
  <si>
    <t>Purchased but it won't add any GOLD and CHIPS</t>
  </si>
  <si>
    <t>Castle Age HD</t>
  </si>
  <si>
    <t>1.2.8</t>
  </si>
  <si>
    <t>PURCHASE HERO PACK</t>
  </si>
  <si>
    <t>Grow Away!</t>
  </si>
  <si>
    <t>PURCHASE GEM</t>
  </si>
  <si>
    <t>Bad Piggies</t>
  </si>
  <si>
    <t>All TOP IN APP PURCHASE</t>
  </si>
  <si>
    <t>Big win</t>
  </si>
  <si>
    <t>Purchase Didn't go through</t>
  </si>
  <si>
    <t xml:space="preserve">Soul Keeper </t>
  </si>
  <si>
    <t>Catoon Wars Blades</t>
  </si>
  <si>
    <t>1.10.1</t>
  </si>
  <si>
    <t>the app crashes when you go to purchase any gems or coins.
please find a fix ASAP.  thanks</t>
  </si>
  <si>
    <t>Pocket Guide</t>
  </si>
  <si>
    <t>V 5.8</t>
  </si>
  <si>
    <t>The app is free but you can purchase extra for free</t>
  </si>
  <si>
    <t>juki</t>
  </si>
  <si>
    <t>Learn Spanish</t>
  </si>
  <si>
    <t>V 4.2</t>
  </si>
  <si>
    <t>free purchase of all classes.</t>
  </si>
  <si>
    <t>NFS Shift</t>
  </si>
  <si>
    <t>when you purchased cars packaged, the popup message says "null"
but you can still add dlc from idwaneo.org/repo</t>
  </si>
  <si>
    <t>ennokresno</t>
  </si>
  <si>
    <t>Eternity warrior 2</t>
  </si>
  <si>
    <t>Can purchase all.. Like on version 1.0.0</t>
  </si>
  <si>
    <t>Yan</t>
  </si>
  <si>
    <t>Armed Heroes</t>
  </si>
  <si>
    <t xml:space="preserve">1.04.01 </t>
  </si>
  <si>
    <t>Just crashes the game</t>
  </si>
  <si>
    <t>fearlesskiller</t>
  </si>
  <si>
    <t>Scarface</t>
  </si>
  <si>
    <t>able to purchase gold and cocaine</t>
  </si>
  <si>
    <t>PDC902</t>
  </si>
  <si>
    <t>Private Photo Vault</t>
  </si>
  <si>
    <t>Upgrade to PRO</t>
  </si>
  <si>
    <t>Soul Keeper</t>
  </si>
  <si>
    <t>Stuff Magazine</t>
  </si>
  <si>
    <t>1.1.2</t>
  </si>
  <si>
    <t>Buy subscription to magazine</t>
  </si>
  <si>
    <t>Aquakev</t>
  </si>
  <si>
    <t>Symphonica</t>
  </si>
  <si>
    <t>The app crashes when trying to purchase extra chapters</t>
  </si>
  <si>
    <t>Fruit Ninja</t>
  </si>
  <si>
    <t>1.8.2</t>
  </si>
  <si>
    <t>Works for Starfruit...</t>
  </si>
  <si>
    <t>cakeeg312</t>
  </si>
  <si>
    <t>Rage Of Bahamut</t>
  </si>
  <si>
    <t>1.6.0</t>
  </si>
  <si>
    <t>Error: We have charged for the coins, but the transaction has failed. We will try to add the credits upon the next app run.
After about 30mins of waiting nothing has happened so it doesnt work.</t>
  </si>
  <si>
    <t>Tippinator</t>
  </si>
  <si>
    <t>Dragon Island Blue</t>
  </si>
  <si>
    <t>N/A</t>
  </si>
  <si>
    <t>Can buy everything that uses real money, even when offline!</t>
  </si>
  <si>
    <t>Doodle Jump</t>
  </si>
  <si>
    <t>Can buy coins.</t>
  </si>
  <si>
    <t>SloPro</t>
  </si>
  <si>
    <t>Unlock Pro version correctly</t>
  </si>
  <si>
    <t>30/30</t>
  </si>
  <si>
    <t>can't buy icon pack, any ideas?</t>
  </si>
  <si>
    <t>chid</t>
  </si>
  <si>
    <t>23-10-2012</t>
  </si>
  <si>
    <t>Wall Street Story</t>
  </si>
  <si>
    <t>Kiwi</t>
  </si>
  <si>
    <t>Galaxy On Fire 2</t>
  </si>
  <si>
    <t>1.1.8</t>
  </si>
  <si>
    <t>Crashes the app</t>
  </si>
  <si>
    <t>31/10/12</t>
  </si>
  <si>
    <t>Iap error</t>
  </si>
  <si>
    <t>Duplexraid</t>
  </si>
  <si>
    <t>Jubeat plus</t>
  </si>
  <si>
    <t>Yes -&gt; No</t>
  </si>
  <si>
    <t>After 3.0.0 update, failed purchase musicpack</t>
  </si>
  <si>
    <t>Angry Birds:Bad Piggies</t>
  </si>
  <si>
    <t>You can easily buy building guide</t>
  </si>
  <si>
    <t>foxandrew</t>
  </si>
  <si>
    <t>Manga Rock 2</t>
  </si>
  <si>
    <t>App crashes,when you buy stars</t>
  </si>
  <si>
    <t>Sweety</t>
  </si>
  <si>
    <t>04.11.2012</t>
  </si>
  <si>
    <t>Subway Surfers</t>
  </si>
  <si>
    <t>1.4.0</t>
  </si>
  <si>
    <t>can purchase gold to purchase upgrade and unlock other character</t>
  </si>
  <si>
    <t>Christyle</t>
  </si>
  <si>
    <t>Ogame</t>
  </si>
  <si>
    <t>Angry Gran Run</t>
  </si>
  <si>
    <t>1.0.0.0</t>
  </si>
  <si>
    <t>When purchasing coins, it pops up a message saying that it detected unauthorized purchase using jailbroken phone.</t>
  </si>
  <si>
    <t>KunalAggarwal</t>
  </si>
  <si>
    <t>Pocket Climber</t>
  </si>
  <si>
    <t>Works Perfectly Fine.</t>
  </si>
  <si>
    <t>Electric Tentacle</t>
  </si>
  <si>
    <t>1.1.5</t>
  </si>
  <si>
    <t>Woking Perfectly!</t>
  </si>
  <si>
    <t>Angry Birds Star Wars</t>
  </si>
  <si>
    <t>Was able to buy Path of the Jedi and Falcons</t>
  </si>
  <si>
    <t>Goku3101</t>
  </si>
  <si>
    <t>1.3.1</t>
  </si>
  <si>
    <t>Need For Speed - Most Wanted</t>
  </si>
  <si>
    <t>Sorry date error</t>
  </si>
  <si>
    <t>14-011-2012</t>
  </si>
  <si>
    <t>a</t>
  </si>
  <si>
    <t>Zombie Tsunami</t>
  </si>
  <si>
    <t>Say "Please wait" for a few seconds, after that the app crashes</t>
  </si>
  <si>
    <t>Catapult King</t>
  </si>
  <si>
    <t>neohtm</t>
  </si>
  <si>
    <t>Shoot the Zombirds</t>
  </si>
  <si>
    <t>Can buy gold coins</t>
  </si>
  <si>
    <t>Rhspooky</t>
  </si>
  <si>
    <t>World at Arms</t>
  </si>
  <si>
    <t>Kang</t>
  </si>
  <si>
    <t>Battle Bears Royale</t>
  </si>
  <si>
    <t>0.8-1</t>
  </si>
  <si>
    <t>Says "Unable to purchase". This is a server-side game so IAP will never work on it. Sorry guys.</t>
  </si>
  <si>
    <t>meno</t>
  </si>
  <si>
    <t>iSpending</t>
  </si>
  <si>
    <t>Upgrade to Pro</t>
  </si>
  <si>
    <t>19-11-2012</t>
  </si>
  <si>
    <t>I Am Serj</t>
  </si>
  <si>
    <t>Car town street</t>
  </si>
  <si>
    <t>Lets you buy and attains the coins and good but doesn't save.</t>
  </si>
  <si>
    <t>Ehdischris</t>
  </si>
  <si>
    <t>1.9.0</t>
  </si>
  <si>
    <t>Sam</t>
  </si>
  <si>
    <t>20-011-2012</t>
  </si>
  <si>
    <t>Zombie, Run!</t>
  </si>
  <si>
    <t xml:space="preserve">Able to purchase additional New Canton Race Mission </t>
  </si>
  <si>
    <t>kokepan</t>
  </si>
  <si>
    <t>rodrigoZAPE123</t>
  </si>
  <si>
    <t>Legend of Heroes</t>
  </si>
  <si>
    <t>23/11/2012</t>
  </si>
  <si>
    <t>Bloons TD5</t>
  </si>
  <si>
    <t>It causes the app to crash when attempting a purchase</t>
  </si>
  <si>
    <t>24-11-2012</t>
  </si>
  <si>
    <t>Dragon Slayer</t>
  </si>
  <si>
    <t>it says PURCHASE FAIL 
YOUR PURCHASE CANNOT BE COMPLETED</t>
  </si>
  <si>
    <t>JohnCarter007</t>
  </si>
  <si>
    <t>24/11/2012</t>
  </si>
  <si>
    <t>Upgrade Soul</t>
  </si>
  <si>
    <t>AngryPanda</t>
  </si>
  <si>
    <t>25-11-2012</t>
  </si>
  <si>
    <t xml:space="preserve">Smurf's village </t>
  </si>
  <si>
    <t>1.2.9</t>
  </si>
  <si>
    <t>Meryam</t>
  </si>
  <si>
    <t>27-11-2012</t>
  </si>
  <si>
    <t>26-11-2012</t>
  </si>
  <si>
    <t>Server based game, as far as I know it has never worked.</t>
  </si>
  <si>
    <t>Puzzle &amp; Dragons</t>
  </si>
  <si>
    <t>Endless loading when attempting purchases.</t>
  </si>
  <si>
    <t>sumguy</t>
  </si>
  <si>
    <t>1.12.1</t>
  </si>
  <si>
    <t>This is the newest version as of Novemer 26, 2012</t>
  </si>
  <si>
    <t>1.3.000</t>
  </si>
  <si>
    <t>jesjosie</t>
  </si>
  <si>
    <t>2.0.9</t>
  </si>
  <si>
    <t>This app is Free on the app store with purchase of additional filters etc.
Just Buy and get the lot. iAPCracjer works.</t>
  </si>
  <si>
    <t>BernB</t>
  </si>
  <si>
    <t>I Am Beatbox</t>
  </si>
  <si>
    <t>This app is free on the App store with option to updrade to Pro. Just Upgrade and iAPCracker works fine.</t>
  </si>
  <si>
    <t>Agent dash</t>
  </si>
  <si>
    <t>Kim</t>
  </si>
  <si>
    <t>Purelove</t>
  </si>
  <si>
    <t>Working good</t>
  </si>
  <si>
    <t>Lyh</t>
  </si>
  <si>
    <t>Love Academy</t>
  </si>
  <si>
    <t>My Forged Wedding</t>
  </si>
  <si>
    <t>It will ask "Would you like to purchase?" and when you tap "Register" nothing will happen.</t>
  </si>
  <si>
    <t>KEITAI Guardian EN</t>
  </si>
  <si>
    <t>Working great!</t>
  </si>
  <si>
    <t>Candy Crush Saga</t>
  </si>
  <si>
    <t>Smurf Life</t>
  </si>
  <si>
    <t>Ged</t>
  </si>
  <si>
    <t>SpyPic</t>
  </si>
  <si>
    <t>Available now free on App store
Purchases 
Photo Storage Vault
Interactive Web Browser
Alibi Activity</t>
  </si>
  <si>
    <t>Blood Brothers</t>
  </si>
  <si>
    <t>it doesnt work i would like you to check it.</t>
  </si>
  <si>
    <t>janki04</t>
  </si>
  <si>
    <t>Theatrhythm Final Fantasy</t>
  </si>
  <si>
    <t>Video Star</t>
  </si>
  <si>
    <t>Main app is free to install.
Buy everything in the "store".
Heaps of effects and filters.</t>
  </si>
  <si>
    <t>BerbB</t>
  </si>
  <si>
    <t>Strumify</t>
  </si>
  <si>
    <t>App is free to install.
Upgrade to FULL</t>
  </si>
  <si>
    <t>Karaoke Christmas - sing along</t>
  </si>
  <si>
    <t>Icon for app is a mike with a santa hat. App is free.
Buy all additional songs.
Keep touching the $ sign to buy  2 to 3 times and it turns into a download icon. Press that and the songs download. Get 10 additional songs.</t>
  </si>
  <si>
    <t>Smurf's village</t>
  </si>
  <si>
    <t>Need testing</t>
  </si>
  <si>
    <t>15-12-2012</t>
  </si>
  <si>
    <t>PlayMobil : Pirates</t>
  </si>
  <si>
    <t>iAPFree 3.2.1</t>
  </si>
  <si>
    <t>EA Games - PlayMobil : Pireates
1) iAP Free Install
2) PlayMobil &gt; Gem Shop
3) looooooooading... loop</t>
  </si>
  <si>
    <t>EAGAME</t>
  </si>
  <si>
    <t>One Epic Knight</t>
  </si>
  <si>
    <t xml:space="preserve">Money, posions, trinkets, all works </t>
  </si>
  <si>
    <t>Leere45</t>
  </si>
  <si>
    <t>20-12-12</t>
  </si>
  <si>
    <t>The World Ends With You: Solo Remix</t>
  </si>
  <si>
    <t>Says: "Purchase Complete!" when in fact nothing gets added to my inventory (food, songs, etc.)</t>
  </si>
  <si>
    <t>Goetia</t>
  </si>
  <si>
    <t>Great Lightsaber</t>
  </si>
  <si>
    <t>TheChosenOne</t>
  </si>
  <si>
    <t>26/12/2012</t>
  </si>
  <si>
    <t>2.0.5</t>
  </si>
  <si>
    <t>When you ''purchase'' something, the app restarts but the item you bought is there.</t>
  </si>
  <si>
    <t>1.2.2/1.2.1</t>
  </si>
  <si>
    <t>Does not buy pinball tables</t>
  </si>
  <si>
    <t>Timtubemaster</t>
  </si>
  <si>
    <t>Real Cover+</t>
  </si>
  <si>
    <t>Purchase all premium content
Currently app is free in the store</t>
  </si>
  <si>
    <t>This app is free in the store.
Can purchase all premium situations/scenes/planes one by one.
When you purchase a blue message pops up - "Contacting the store..."
When it disappears the item is purchases although the screen now shows "processing purchase..."
Simply close the app completely [even from the task bar] and restart and the item is unlocked. Unfortunately you have to do this for each item purchased.</t>
  </si>
  <si>
    <t>Eye Chart Pro [ipad]</t>
  </si>
  <si>
    <t>All purchases work. Also if you use this get the free remote app.</t>
  </si>
  <si>
    <t>Kingdom overlords</t>
  </si>
  <si>
    <t>Version 1.0</t>
  </si>
  <si>
    <t>Subway surfers</t>
  </si>
  <si>
    <t>Ruzzle</t>
  </si>
  <si>
    <t>1.4.4</t>
  </si>
  <si>
    <t>1.0.9</t>
  </si>
  <si>
    <t>Buying from shop: "Fail."</t>
  </si>
  <si>
    <t>Beelzebub</t>
  </si>
  <si>
    <t>Gangnam Style City</t>
  </si>
  <si>
    <t>Spartan Wars</t>
  </si>
  <si>
    <t xml:space="preserve">Failed to purchase </t>
  </si>
  <si>
    <t>LOVEJOKER808</t>
  </si>
  <si>
    <t xml:space="preserve">Bubble Witch </t>
  </si>
  <si>
    <t>Everything is free!</t>
  </si>
  <si>
    <t>Candy Crush</t>
  </si>
  <si>
    <t>You can buy everything!</t>
  </si>
  <si>
    <t>Cuánto Falta</t>
  </si>
  <si>
    <t>1.7.1</t>
  </si>
  <si>
    <t>App designed for viewing the map of public transport from chile called "transantiago". iAPcracker allows "GPS stop bus search" and "no ads"</t>
  </si>
  <si>
    <t>penises_010</t>
  </si>
  <si>
    <t>Rhythmix</t>
  </si>
  <si>
    <t>13-Gen-2013</t>
  </si>
  <si>
    <t>Random Heroes</t>
  </si>
  <si>
    <t>Allows all coin packages to be bought</t>
  </si>
  <si>
    <t>The Cleeves</t>
  </si>
  <si>
    <t>Final fantasy all the bravest</t>
  </si>
  <si>
    <t>game crash and exit</t>
  </si>
  <si>
    <t>Chaotic_clown</t>
  </si>
  <si>
    <t>18-01-2013</t>
  </si>
  <si>
    <t>Temple run 2</t>
  </si>
  <si>
    <t>buy every think in store</t>
  </si>
  <si>
    <t>parsiak72</t>
  </si>
  <si>
    <t>Bloons TD 5</t>
  </si>
  <si>
    <t>It unlock`s all features</t>
  </si>
  <si>
    <t>KeanuRev</t>
  </si>
  <si>
    <t>27-01-2013</t>
  </si>
  <si>
    <t>Fortune Street</t>
  </si>
  <si>
    <t>Allows you to unlock full game and all DLCs.</t>
  </si>
  <si>
    <t>Joe Danger Touch</t>
  </si>
  <si>
    <t>Dirxcec</t>
  </si>
  <si>
    <t>TOS (Tower of Saviors)</t>
  </si>
  <si>
    <t>New app January 31, 2013</t>
  </si>
  <si>
    <t xml:space="preserve">Reynard </t>
  </si>
  <si>
    <t>03-002-2013</t>
  </si>
  <si>
    <t>Temple Run 2</t>
  </si>
  <si>
    <t>Skullzleet</t>
  </si>
  <si>
    <t>Soldiers Pocket Book</t>
  </si>
  <si>
    <t>PhantomGamerz</t>
  </si>
  <si>
    <t>Plague inc.</t>
  </si>
  <si>
    <t>Bingo run</t>
  </si>
  <si>
    <t>1.30.216</t>
  </si>
  <si>
    <t>Please add this and other bingo games</t>
  </si>
  <si>
    <t>Mathway</t>
  </si>
  <si>
    <t>Crashes after a certain amount of time....</t>
  </si>
  <si>
    <t>Nehemz</t>
  </si>
  <si>
    <t>Galaxy on fire 2 HD</t>
  </si>
  <si>
    <t>Crack is working. Can buy money and addons inApp</t>
  </si>
  <si>
    <t>xemercom</t>
  </si>
  <si>
    <t>1.1.4</t>
  </si>
  <si>
    <t>BMJ</t>
  </si>
  <si>
    <t>cma2013</t>
  </si>
  <si>
    <t>Pocket army</t>
  </si>
  <si>
    <t>Pichi5100</t>
  </si>
  <si>
    <t>Burner</t>
  </si>
  <si>
    <t>1.3.2</t>
  </si>
  <si>
    <t>Smaxber</t>
  </si>
  <si>
    <t>NFL All-Stars Collection</t>
  </si>
  <si>
    <t>Gave connection error popup and then purchase not successful popup</t>
  </si>
  <si>
    <t>johnnyallnight</t>
  </si>
  <si>
    <t>Legend of the Cryptids</t>
  </si>
  <si>
    <t>popup saying purchase unsuccessful</t>
  </si>
  <si>
    <t>2/14//13</t>
  </si>
  <si>
    <t>Galaxy Saga</t>
  </si>
  <si>
    <t>Handheld Culture 首尚文化</t>
  </si>
  <si>
    <t>Not working for &gt;1.1, I deleted 1.0, if you have copy, please email me.</t>
  </si>
  <si>
    <t>ng1012@hotmail.com</t>
  </si>
  <si>
    <t>My Little Pony</t>
  </si>
  <si>
    <t>If you going on the buy window if you wanna buy bits or gems it says No Internet connection available. Please make sure your device is connected to the Internet.</t>
  </si>
  <si>
    <t>1.0-1</t>
  </si>
  <si>
    <t>Tested with IOS 6.0.1. I could not but Gems. Message: (Fail. Domina(null) Code:0 (null))</t>
  </si>
  <si>
    <t>Xeroos</t>
  </si>
  <si>
    <t>15-02-2013</t>
  </si>
  <si>
    <t>Hay  Day</t>
  </si>
  <si>
    <t>1.6.43.18.538.18</t>
  </si>
  <si>
    <t>mahosh</t>
  </si>
  <si>
    <t>16-02-2013</t>
  </si>
  <si>
    <t>Tripletown</t>
  </si>
  <si>
    <t>version 1.86i</t>
  </si>
  <si>
    <t>You get purchase failed and the unlimited turns stays limited. Same applies when buying coins.</t>
  </si>
  <si>
    <t>flipstix</t>
  </si>
  <si>
    <t>Bub</t>
  </si>
  <si>
    <t>Todo Pro</t>
  </si>
  <si>
    <t>6.0.</t>
  </si>
  <si>
    <t>Crashes after pressing the monthly or yearly premium upgrade</t>
  </si>
  <si>
    <t>fraikonz</t>
  </si>
  <si>
    <t>6.0.4</t>
  </si>
  <si>
    <t>The Walking Dead</t>
  </si>
  <si>
    <t>Vectrex</t>
  </si>
  <si>
    <t>Free with one game (MineStorm) - Allows "purchase" of all available games.</t>
  </si>
  <si>
    <t>Scotty16</t>
  </si>
  <si>
    <t>27-02-2013</t>
  </si>
  <si>
    <t>100 Greatest Hits HD Lite</t>
  </si>
  <si>
    <t>ZX Spectrum emulator. Free with few games. Allows "buying" all 100 (including Jet Set Willy)</t>
  </si>
  <si>
    <t>4 Elements 2</t>
  </si>
  <si>
    <t>BikeRaceTFG</t>
  </si>
  <si>
    <t>1.9.6</t>
  </si>
  <si>
    <t>Warmmonkeyman</t>
  </si>
  <si>
    <t>Tesla wars</t>
  </si>
  <si>
    <t>3.1.0</t>
  </si>
  <si>
    <t>Says "User cancelled"</t>
  </si>
  <si>
    <t>Jerry</t>
  </si>
  <si>
    <t>Eternity warriors 2</t>
  </si>
  <si>
    <t>2.2.0</t>
  </si>
  <si>
    <t>Rich2go</t>
  </si>
  <si>
    <t>Spartan Wars : Elite Edition</t>
  </si>
  <si>
    <t>Server - Sided</t>
  </si>
  <si>
    <t>Arrow</t>
  </si>
  <si>
    <t>4.3.3</t>
  </si>
  <si>
    <t>Only works with with iAPFree, not iAPCracker</t>
  </si>
  <si>
    <t>jv_squez</t>
  </si>
  <si>
    <t>edjing</t>
  </si>
  <si>
    <t>ChineseNoodleBoy</t>
  </si>
  <si>
    <t>IGà</t>
  </si>
  <si>
    <t>All free</t>
  </si>
  <si>
    <t>Kevin</t>
  </si>
  <si>
    <t>8.8.8.8</t>
  </si>
  <si>
    <t>1.0.7</t>
  </si>
  <si>
    <t>Can "purchase" charms and extra moves</t>
  </si>
  <si>
    <t>honam1021</t>
  </si>
  <si>
    <t>17-03-2013</t>
  </si>
  <si>
    <t>Rivals at War</t>
  </si>
  <si>
    <t>After clicking on purchasing "bucks", it didn't add any "bucks" to my account.</t>
  </si>
  <si>
    <t>S</t>
  </si>
  <si>
    <t>Big Win Baseball</t>
  </si>
  <si>
    <t>1.7.2</t>
  </si>
  <si>
    <t>Mischa</t>
  </si>
  <si>
    <t>Big Win Football</t>
  </si>
  <si>
    <t>Your purchase of ___________ did not complete. Please try again.</t>
  </si>
  <si>
    <t>Dragon city</t>
  </si>
  <si>
    <t>Kateer</t>
  </si>
  <si>
    <t>SpeedTest.Net</t>
  </si>
  <si>
    <t>Able To Remove Ads</t>
  </si>
  <si>
    <t>sl33ksnypr</t>
  </si>
  <si>
    <t>App crashes when making purchases.</t>
  </si>
  <si>
    <t>den1s</t>
  </si>
  <si>
    <t>LINE Play</t>
  </si>
  <si>
    <t>27/03/2013</t>
  </si>
  <si>
    <t>Puzzle and Dragons</t>
  </si>
  <si>
    <t>Puts you into an endless loop which you can't get out of. Only option is to delete and reinstall the app. You lose all of your progress.</t>
  </si>
  <si>
    <t>3.30.2013</t>
  </si>
  <si>
    <t>Tiny War</t>
  </si>
  <si>
    <t>Boots from game</t>
  </si>
  <si>
    <t>Solitaire Blitz</t>
  </si>
  <si>
    <t>The app crashes when trying to purchase something.</t>
  </si>
  <si>
    <t>britainledzep</t>
  </si>
  <si>
    <t>Works perfect with every purchase.</t>
  </si>
  <si>
    <t>Doctor Who Adventures</t>
  </si>
  <si>
    <t>Yes, I can buy every issue and buy 3 months subscription.</t>
  </si>
  <si>
    <t>TehChosenOne</t>
  </si>
  <si>
    <t>I can buy anything without problems.</t>
  </si>
  <si>
    <t>Nimble Quest</t>
  </si>
  <si>
    <t>Yes, no problems.</t>
  </si>
  <si>
    <t>2.1.6</t>
  </si>
  <si>
    <t>Icon Pop Quiz</t>
  </si>
  <si>
    <t>Works great buying tokens and images.</t>
  </si>
  <si>
    <t>Icon Pop Brand</t>
  </si>
  <si>
    <t>Works great buying tokens.</t>
  </si>
  <si>
    <t>1.8.4</t>
  </si>
  <si>
    <t>Everything works great.</t>
  </si>
  <si>
    <t>Doesn't allow the purchase.</t>
  </si>
  <si>
    <t>WordOn HD</t>
  </si>
  <si>
    <t>1.1.9</t>
  </si>
  <si>
    <t>Virtuoso</t>
  </si>
  <si>
    <t>3.1.3</t>
  </si>
  <si>
    <t>I can disable ads, but cannot purchase any instruments.</t>
  </si>
  <si>
    <t>Amplitube</t>
  </si>
  <si>
    <t>2.8.0</t>
  </si>
  <si>
    <t>Works great with everything in the store.</t>
  </si>
  <si>
    <t>2.1.3.3358</t>
  </si>
  <si>
    <t>Works great purchasing anything in the store.</t>
  </si>
  <si>
    <t>Flick Kick Football</t>
  </si>
  <si>
    <t>Mirrorgram</t>
  </si>
  <si>
    <t>Works purchasing 2 of the 3 locked filters.</t>
  </si>
  <si>
    <t>Song Pop Free</t>
  </si>
  <si>
    <t>1.6.4</t>
  </si>
  <si>
    <t>When you purchase any pack of coins, it sounds like you really made it, but in the end it never adds the coins you just buy to your stock of coins.</t>
  </si>
  <si>
    <t>TinyLegends - Crazy Knight</t>
  </si>
  <si>
    <t>You can purchase crystals</t>
  </si>
  <si>
    <t>Profanity</t>
  </si>
  <si>
    <t>13-04-2013</t>
  </si>
  <si>
    <t>Injustice</t>
  </si>
  <si>
    <t>Newest</t>
  </si>
  <si>
    <t>Lol</t>
  </si>
  <si>
    <t>Cut the Rope</t>
  </si>
  <si>
    <t>Gets the "Error" message on attempt.</t>
  </si>
  <si>
    <t>Aimee</t>
  </si>
  <si>
    <t>The Sandbox</t>
  </si>
  <si>
    <t>iAPFree only works with the latest version (v1.150) so update it and it will work.</t>
  </si>
  <si>
    <t>welldamn</t>
  </si>
  <si>
    <t>21-04-2013</t>
  </si>
  <si>
    <t>fuk u bitch app</t>
  </si>
  <si>
    <t>v69</t>
  </si>
  <si>
    <t>noobs</t>
  </si>
  <si>
    <t>you need to be a bitch to use this app fakars</t>
  </si>
  <si>
    <t>fku</t>
  </si>
  <si>
    <t>18-Mar-1910138</t>
  </si>
  <si>
    <t>BiteSMS</t>
  </si>
  <si>
    <t>Great for free-smsing - free tokens via IAPfree!</t>
  </si>
  <si>
    <t>nahudkmynick</t>
  </si>
  <si>
    <t>When you try to purchase a booster pack, nothing happens and when you try to purchase credits, it freezes on that screen.</t>
  </si>
  <si>
    <t>Pnguin</t>
  </si>
  <si>
    <t>25-04-2013</t>
  </si>
  <si>
    <t>Injustice: Gods Among Us</t>
  </si>
  <si>
    <t>Peace and greetings, I hope this message reaches you in A1 health and spirit. IAPFree is an outstanding tweak, thank you! Currently I'm having issues where it will not work with Injustice: Gods Among Us, on an iPhone 4S 6.0.1 and iPad 2 6.0. Also Candy Crush was not on the compatibility list. I will make a seperate request for that. Thank you for your time and product, they are greatly appreciated. Peace.
Regards,
@GCease -- Ceaser305</t>
  </si>
  <si>
    <t>Ceaser305</t>
  </si>
  <si>
    <t>27APR2013</t>
  </si>
  <si>
    <t>Mousehunt</t>
  </si>
  <si>
    <t>0.7.5</t>
  </si>
  <si>
    <t>No, I got an account ban</t>
  </si>
  <si>
    <t>SomeH0w</t>
  </si>
  <si>
    <t>Iron Man 3</t>
  </si>
  <si>
    <t>Doesn't work, it says "no internet connection available."</t>
  </si>
  <si>
    <t>Adrian</t>
  </si>
  <si>
    <t>Hungry Shark Evolution</t>
  </si>
  <si>
    <t>Able to buy lots of coins and gems.</t>
  </si>
  <si>
    <t>Can buy any single issue. Not tried subscription.</t>
  </si>
  <si>
    <t>radiocaf</t>
  </si>
  <si>
    <t>Action Movie</t>
  </si>
  <si>
    <t>Can buy any pack with no problem.</t>
  </si>
  <si>
    <t>Can buy sandbox pack, no problem.</t>
  </si>
  <si>
    <t>Foldify</t>
  </si>
  <si>
    <t>Can buy any sticker pack with no error or problems.</t>
  </si>
  <si>
    <t>Playstation Official Magazine</t>
  </si>
  <si>
    <t>3.1.8</t>
  </si>
  <si>
    <t>Says error downloading, could not connect, please try later when trying to download an issue.</t>
  </si>
  <si>
    <t>Samurai vs zombies 2</t>
  </si>
  <si>
    <t>Clicking purchase then it says "Can not connect to internet, please try again", I already connected though.</t>
  </si>
  <si>
    <t>Mazelove</t>
  </si>
  <si>
    <t>Rail rush</t>
  </si>
  <si>
    <t>Click purchase, then the game crashes out to springboard.</t>
  </si>
  <si>
    <t>Air Tycoon 2 HD</t>
  </si>
  <si>
    <t>1.5.2</t>
  </si>
  <si>
    <t>karanbindal</t>
  </si>
  <si>
    <t xml:space="preserve">AirTycoon Online </t>
  </si>
  <si>
    <t>Does not work! App crashes or gives an error!</t>
  </si>
  <si>
    <t>Islands Magazine App</t>
  </si>
  <si>
    <t>All Magazines with Annual Subscription</t>
  </si>
  <si>
    <t xml:space="preserve">Airport Scanner </t>
  </si>
  <si>
    <t>All Airports, Xrays and other stuff for XRAY BUCKS</t>
  </si>
  <si>
    <t>Coin Dozer Pro for iPad</t>
  </si>
  <si>
    <t>Gives an error and the game crashes probably</t>
  </si>
  <si>
    <t>Used to work but not now :(</t>
  </si>
  <si>
    <t>National Geographic Magazine</t>
  </si>
  <si>
    <t>Angry Birds Friends</t>
  </si>
  <si>
    <t>It will not let you buy any Bird Coin packs no matter the denomination.</t>
  </si>
  <si>
    <t>DrewJohnston</t>
  </si>
  <si>
    <t>14/05/2013</t>
  </si>
  <si>
    <t>It works... Managed to get the starter pack.</t>
  </si>
  <si>
    <t>Emil</t>
  </si>
  <si>
    <t>Spuul</t>
  </si>
  <si>
    <t>1.2.7</t>
  </si>
  <si>
    <t>Ios6</t>
  </si>
  <si>
    <t>Use iapfree 4</t>
  </si>
  <si>
    <t>Yojoemamma</t>
  </si>
  <si>
    <t>Textplus</t>
  </si>
  <si>
    <t>5.2.1</t>
  </si>
  <si>
    <t>Use iapfree 6</t>
  </si>
  <si>
    <t>NGOc vi</t>
  </si>
  <si>
    <t>Vi</t>
  </si>
  <si>
    <t>Pu_luv_al0n3@yahoo.com</t>
  </si>
  <si>
    <t>27/7/1992</t>
  </si>
  <si>
    <t xml:space="preserve">Fast and furious 6 </t>
  </si>
  <si>
    <t>30/05/2013</t>
  </si>
  <si>
    <t>Touch Tanks 5 Online</t>
  </si>
  <si>
    <t>The game is not hackable,and a lot of comunity members like to request a hack.</t>
  </si>
  <si>
    <t>RedArmor</t>
  </si>
  <si>
    <t>10.06.2013.</t>
  </si>
  <si>
    <t>Respawnables</t>
  </si>
  <si>
    <t>Able to buy all items.</t>
  </si>
  <si>
    <t>nouveaux</t>
  </si>
  <si>
    <t>Inotia 4</t>
  </si>
  <si>
    <t>Spell Sword</t>
  </si>
  <si>
    <t>Despicable Me: Minion Rush</t>
  </si>
  <si>
    <t>Packs are not available and greyed out.</t>
  </si>
  <si>
    <t>VS. Racing 2</t>
  </si>
  <si>
    <t>Vs racing 2</t>
  </si>
  <si>
    <t>Keeps loading loading loading but doesn't work</t>
  </si>
  <si>
    <t>Albertstar</t>
  </si>
  <si>
    <t>Avengers Alliance</t>
  </si>
  <si>
    <t>Payback²: The Battle Sandbox</t>
  </si>
  <si>
    <t>Can buy everything for free (all maps, modes, vehicles, coins, and the unlimited coin option that's $49.99).</t>
  </si>
  <si>
    <t>Killa</t>
  </si>
  <si>
    <t>The Elder Scrolls V: Skyrim Official World Interactive Map</t>
  </si>
  <si>
    <t xml:space="preserve">Alternative tool for iAP cracker is LocalIAPStore
</t>
  </si>
  <si>
    <t>Robinson's Island</t>
  </si>
  <si>
    <t>1.88.2</t>
  </si>
  <si>
    <t>You must have LocalIAPStore installed on Cydia</t>
  </si>
  <si>
    <t>N.Y.Zombies 2</t>
  </si>
  <si>
    <t>Can buy weapons and other items</t>
  </si>
  <si>
    <t>The House of the Dead: Overkill</t>
  </si>
  <si>
    <t>can buy coins/money</t>
  </si>
  <si>
    <t>VIP Poker</t>
  </si>
  <si>
    <t>Rock The Vegas for iPhone</t>
  </si>
  <si>
    <t>1.1.21</t>
  </si>
  <si>
    <t>Unable to purchase items</t>
  </si>
  <si>
    <t>AA+</t>
  </si>
  <si>
    <t>Car Town Streets</t>
  </si>
  <si>
    <t>My Singing Monsters</t>
  </si>
  <si>
    <t>1.1.7</t>
  </si>
  <si>
    <t>3.7.1</t>
  </si>
  <si>
    <t>3.7.2</t>
  </si>
  <si>
    <t>Kingdom Age</t>
  </si>
  <si>
    <t>MONOPOLY Hotels</t>
  </si>
  <si>
    <t>1.0.54</t>
  </si>
  <si>
    <t>Only works with LocalIAPStore installed on Cydia</t>
  </si>
  <si>
    <t>2.2.1</t>
  </si>
  <si>
    <t>can buy anything</t>
  </si>
  <si>
    <t>Megapolis</t>
  </si>
  <si>
    <t>1.4.1262</t>
  </si>
  <si>
    <t>3.0.6</t>
  </si>
  <si>
    <t>Pet Shop Story</t>
  </si>
  <si>
    <t>anything by TeamLava is a "No"</t>
  </si>
  <si>
    <t>1.6.8</t>
  </si>
  <si>
    <t>Anything by TeamLava is a "No"</t>
  </si>
  <si>
    <t>Fashion Story</t>
  </si>
  <si>
    <t>1.5.3</t>
  </si>
  <si>
    <t>1.4.1.1</t>
  </si>
  <si>
    <t>Castle Story</t>
  </si>
  <si>
    <t>Fully Works</t>
  </si>
  <si>
    <t>1.4.80</t>
  </si>
  <si>
    <t>Unable to complete purchase</t>
  </si>
  <si>
    <t>City Story Metro</t>
  </si>
  <si>
    <t>Motor World: Car Factory</t>
  </si>
  <si>
    <t>The Oregon Trail: America Settler</t>
  </si>
  <si>
    <t>Kick the Buddy: Independence Day</t>
  </si>
  <si>
    <t>Can purchase weapons</t>
  </si>
  <si>
    <t>3.1.1</t>
  </si>
  <si>
    <t>My Country: Build your dream city HD</t>
  </si>
  <si>
    <t>CityVille Hometown</t>
  </si>
  <si>
    <t>Candy Slot Machine Casino</t>
  </si>
  <si>
    <t>Hello Kitty Carnival</t>
  </si>
  <si>
    <t>*Failed to complete purchase*</t>
  </si>
  <si>
    <t>virtual families 2</t>
  </si>
  <si>
    <t>ko carck dc mua do ko dc</t>
  </si>
  <si>
    <t>Marvel: War of Heroes</t>
  </si>
  <si>
    <t>Its a mobage game that needs mobocoins for in app purchases. When I go to purchase coins it says delivery error and no coins are added. Can we find a way around this?</t>
  </si>
  <si>
    <t>Maverick</t>
  </si>
  <si>
    <t>/jurrasic Park Builder</t>
  </si>
  <si>
    <t>ia0.8-1</t>
  </si>
  <si>
    <t>works just fine</t>
  </si>
  <si>
    <t>nickname</t>
  </si>
  <si>
    <t>Groove Coaster Zero</t>
  </si>
  <si>
    <t>1.5.7</t>
  </si>
  <si>
    <t>connection error</t>
  </si>
  <si>
    <t>Paradise Cove</t>
  </si>
  <si>
    <t>It throw a error but not crash</t>
  </si>
  <si>
    <t>Slameskater</t>
  </si>
  <si>
    <t>Cartoon war: Gunner+</t>
  </si>
  <si>
    <t>Hack really fast no delay or lagging.</t>
  </si>
  <si>
    <t>Asphalt 8</t>
  </si>
  <si>
    <t>Lord_P</t>
  </si>
  <si>
    <t>2.2.7</t>
  </si>
  <si>
    <t>when i buy/subscribe it will load for a while and nothing happens</t>
  </si>
  <si>
    <t>cRaNk</t>
  </si>
  <si>
    <t>26-08-2013</t>
  </si>
  <si>
    <t>Pleco</t>
  </si>
  <si>
    <t>2.2.14</t>
  </si>
  <si>
    <t>Says "invalid reciept"</t>
  </si>
  <si>
    <t>ilovepie10</t>
  </si>
  <si>
    <t>Hardest Game Ever 2</t>
  </si>
  <si>
    <t>Everything work</t>
  </si>
  <si>
    <t>Thunderspace</t>
  </si>
  <si>
    <t>The app will allow you to purchase the sounds, but then it won't let you download them.</t>
  </si>
  <si>
    <t>rossual</t>
  </si>
  <si>
    <t>2909/2013</t>
  </si>
  <si>
    <t>Pocket Trains</t>
  </si>
  <si>
    <t>not sure</t>
  </si>
  <si>
    <t>Able to buy crates of all kinds, bucks without having to use a log in</t>
  </si>
  <si>
    <t>isilud121</t>
  </si>
  <si>
    <t>Final Fantasy All The Bravest</t>
  </si>
  <si>
    <t>Game freezes upon attempt of purchasing anything. game still works, just can't purchase anything</t>
  </si>
  <si>
    <t xml:space="preserve">Delete my last statement, it works completely fine with Pocket Trains. no problem at all yet. </t>
  </si>
  <si>
    <t>Turbo</t>
  </si>
  <si>
    <t>Fercho</t>
  </si>
  <si>
    <t>Secret passages</t>
  </si>
  <si>
    <t>Hill climb</t>
  </si>
  <si>
    <t>RAW: 2084</t>
  </si>
  <si>
    <t>1.2 CL160874</t>
  </si>
  <si>
    <t>Cxctus</t>
  </si>
  <si>
    <t>1.2.3</t>
  </si>
  <si>
    <t>Clumsy Ninja</t>
  </si>
  <si>
    <t>Works on gems, coins, and special items.(The one that contains jetpack n circus stuffs).</t>
  </si>
  <si>
    <t>DaedricMage</t>
  </si>
  <si>
    <t>17-02-2014</t>
  </si>
  <si>
    <t>Baldío</t>
  </si>
  <si>
    <t>John</t>
  </si>
  <si>
    <t>15-2-2014</t>
  </si>
  <si>
    <t>Bloons Td 5</t>
  </si>
  <si>
    <t>2.3.1</t>
  </si>
  <si>
    <t>The game is crashing when trying to buy</t>
  </si>
  <si>
    <t>ChopStick</t>
  </si>
  <si>
    <t>23-02-2014</t>
  </si>
  <si>
    <t>Appaddict</t>
  </si>
  <si>
    <t>27.02.2014</t>
  </si>
  <si>
    <t>Disco Zoo</t>
  </si>
  <si>
    <t>Crashes immediately once you select a iap package.</t>
  </si>
  <si>
    <t>Krauzza</t>
  </si>
  <si>
    <t>Zuko Monsters</t>
  </si>
  <si>
    <t>4.6.1</t>
  </si>
  <si>
    <t>Either an error message pops up, or the game crashes.</t>
  </si>
  <si>
    <t>Battle Camp</t>
  </si>
  <si>
    <t>Error message</t>
  </si>
  <si>
    <t>Team Monster</t>
  </si>
  <si>
    <t>Either loads for a little, then nothing happens or an error message appears</t>
  </si>
  <si>
    <t>Guncrafter</t>
  </si>
  <si>
    <t>SushiLover</t>
  </si>
  <si>
    <t>million arthur</t>
  </si>
  <si>
    <t>it does not work entirely</t>
  </si>
  <si>
    <t>ARIES124</t>
  </si>
  <si>
    <t>Brave Frontier</t>
  </si>
  <si>
    <t>4.3.1</t>
  </si>
  <si>
    <t>The game just freezes and then crashes when you try to buy gems.</t>
  </si>
  <si>
    <t>jarylgoh</t>
  </si>
  <si>
    <t>30-04-2014</t>
  </si>
  <si>
    <t>0.0.0</t>
  </si>
  <si>
    <t>ASDFMOVIE</t>
  </si>
  <si>
    <t>everybody do the flop</t>
  </si>
  <si>
    <t>fuck</t>
  </si>
  <si>
    <t>adsfmovie</t>
  </si>
  <si>
    <t>asdf</t>
  </si>
  <si>
    <t>adsf</t>
  </si>
  <si>
    <t>Throne Rush</t>
  </si>
  <si>
    <t>pliniojapa</t>
  </si>
  <si>
    <t>Clash of Lords 2</t>
  </si>
  <si>
    <t>Racing Rivals</t>
  </si>
  <si>
    <t>It says transaction failed</t>
  </si>
  <si>
    <t>08.07.2014</t>
  </si>
  <si>
    <t>Fantasty warlock</t>
  </si>
  <si>
    <t>7.0.4</t>
  </si>
  <si>
    <t>Guy Spy</t>
  </si>
  <si>
    <t>3.7.5.0</t>
  </si>
  <si>
    <t>8 Ball pool</t>
  </si>
  <si>
    <t>2.6.0</t>
  </si>
  <si>
    <t>it Say's payment sucsessful but dosent work.</t>
  </si>
  <si>
    <t>Hassan</t>
  </si>
  <si>
    <t>follow4follow - Get More Followers Fast For Free</t>
  </si>
  <si>
    <t>1.3.5</t>
  </si>
  <si>
    <t>Bingo bash</t>
  </si>
  <si>
    <t>Speedyelmo</t>
  </si>
  <si>
    <t>13/10/2014</t>
  </si>
  <si>
    <t>IAPCrazyCracker</t>
  </si>
  <si>
    <t>IAPFreeCracker</t>
  </si>
  <si>
    <t>Help me</t>
  </si>
  <si>
    <t>Boom Beach</t>
  </si>
  <si>
    <t>20.45.1</t>
  </si>
  <si>
    <t>Don't do anything</t>
  </si>
  <si>
    <t>mooxou</t>
  </si>
  <si>
    <t>Glory of Generals</t>
  </si>
  <si>
    <t>Medals Purchase failed</t>
  </si>
  <si>
    <t>Wehrmacht</t>
  </si>
  <si>
    <t>New star soccer</t>
  </si>
  <si>
    <t>Abdul99</t>
  </si>
  <si>
    <t>Fxguru</t>
  </si>
  <si>
    <t>The App does'nt work for unlock premium fx</t>
  </si>
  <si>
    <t>Hagen</t>
  </si>
  <si>
    <t>18-06-2015</t>
  </si>
  <si>
    <t>Samurai vs Zombies defense 1 &amp; 2</t>
  </si>
  <si>
    <t>All as of 7/10/2015</t>
  </si>
  <si>
    <t>Can purchase all</t>
  </si>
  <si>
    <t>Chanden</t>
  </si>
  <si>
    <t xml:space="preserve">Money tree </t>
  </si>
  <si>
    <t>Adventure Time: Card Wars</t>
  </si>
  <si>
    <t xml:space="preserve">Zombiesdefense </t>
  </si>
  <si>
    <t xml:space="preserve">Chanden </t>
  </si>
  <si>
    <t>Virtual Beggar</t>
  </si>
  <si>
    <t xml:space="preserve">PickCrafter </t>
  </si>
  <si>
    <t>Office Story</t>
  </si>
  <si>
    <t>Magic Touch</t>
  </si>
  <si>
    <t>Angry Birds Fight</t>
  </si>
  <si>
    <t xml:space="preserve">None </t>
  </si>
  <si>
    <t xml:space="preserve">Brim </t>
  </si>
  <si>
    <t xml:space="preserve">In my experience doesnt save </t>
  </si>
  <si>
    <t xml:space="preserve">Good </t>
  </si>
  <si>
    <t xml:space="preserve">Thai poker boya </t>
  </si>
  <si>
    <t>Jay</t>
  </si>
  <si>
    <t>20-10-1986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</si>
</sst>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numFmt numFmtId="165" formatCode="m/d/yyyy h:mm:ss"/>
    <numFmt numFmtId="166" formatCode="MMMM d, yyyy"/>
    <numFmt numFmtId="167" formatCode="d-MMM-yyyy"/>
    <numFmt numFmtId="168" formatCode="#,##0.00000"/>
  </numFmts>
  <fonts count="13">
    <font>
      <sz val="10.0"/>
      <color rgb="FF000000"/>
      <name val="Arial"/>
    </font>
    <font>
      <i/>
      <sz val="11.0"/>
      <color rgb="FF000000"/>
    </font>
    <font>
      <b/>
      <u/>
      <sz val="9.0"/>
      <color rgb="FF0000FF"/>
    </font>
    <font>
      <b/>
      <sz val="10.0"/>
      <color rgb="FFFFFFFF"/>
    </font>
    <font/>
    <font>
      <sz val="10.0"/>
      <color rgb="FF000000"/>
    </font>
    <font>
      <u/>
      <sz val="10.0"/>
      <color rgb="FF0000FF"/>
    </font>
    <font>
      <sz val="11.0"/>
      <color rgb="FF000000"/>
    </font>
    <font>
      <u/>
      <sz val="10.0"/>
      <color rgb="FF0000FF"/>
    </font>
    <font>
      <u/>
      <color rgb="FF0000FF"/>
    </font>
    <font>
      <u/>
      <sz val="10.0"/>
      <color rgb="FF0000FF"/>
    </font>
    <font>
      <u/>
      <color rgb="FF0000FF"/>
    </font>
    <font>
      <u/>
      <color rgb="FF0000FF"/>
    </font>
  </fonts>
  <fills count="11">
    <fill>
      <patternFill patternType="none"/>
    </fill>
    <fill>
      <patternFill patternType="lightGray"/>
    </fill>
    <fill>
      <patternFill patternType="solid">
        <fgColor rgb="FFFFFF00"/>
        <bgColor rgb="FFFFFF00"/>
      </patternFill>
    </fill>
    <fill>
      <patternFill patternType="solid">
        <fgColor rgb="FF000000"/>
        <bgColor rgb="FF000000"/>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E06666"/>
        <bgColor rgb="FFE06666"/>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164" xfId="0" applyAlignment="1" applyFont="1" applyNumberFormat="1">
      <alignment horizontal="center" readingOrder="0" shrinkToFit="0" vertical="center" wrapText="0"/>
    </xf>
    <xf borderId="0" fillId="2" fontId="2" numFmtId="0" xfId="0" applyAlignment="1" applyFill="1" applyFont="1">
      <alignment horizontal="center" shrinkToFit="0" vertical="center" wrapText="1"/>
    </xf>
    <xf borderId="0" fillId="3" fontId="3" numFmtId="0" xfId="0" applyAlignment="1" applyFill="1" applyFont="1">
      <alignment horizontal="center" readingOrder="0" shrinkToFit="0" vertical="center" wrapText="1"/>
    </xf>
    <xf borderId="0" fillId="3" fontId="3" numFmtId="165" xfId="0" applyAlignment="1" applyFont="1" applyNumberFormat="1">
      <alignment horizontal="center" readingOrder="0" shrinkToFit="0" vertical="center" wrapText="1"/>
    </xf>
    <xf borderId="0" fillId="0" fontId="4" numFmtId="0" xfId="0" applyAlignment="1" applyFont="1">
      <alignment readingOrder="0" shrinkToFit="0" wrapText="1"/>
    </xf>
    <xf borderId="0" fillId="0"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bottom" wrapText="1"/>
    </xf>
    <xf borderId="0" fillId="0" fontId="4" numFmtId="166" xfId="0" applyAlignment="1" applyFont="1" applyNumberFormat="1">
      <alignment horizontal="center" readingOrder="0" shrinkToFit="0" vertical="bottom" wrapText="1"/>
    </xf>
    <xf borderId="0" fillId="0" fontId="5"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5" numFmtId="166" xfId="0" applyAlignment="1" applyFont="1" applyNumberFormat="1">
      <alignment horizontal="center" readingOrder="0" shrinkToFit="0" vertical="center" wrapText="1"/>
    </xf>
    <xf borderId="0" fillId="4" fontId="5" numFmtId="0" xfId="0" applyAlignment="1" applyFont="1">
      <alignment horizontal="center" readingOrder="0" shrinkToFit="0" vertical="center" wrapText="1"/>
    </xf>
    <xf borderId="0" fillId="0" fontId="4" numFmtId="0" xfId="0" applyAlignment="1" applyFont="1">
      <alignment horizontal="center" shrinkToFit="0" vertical="bottom" wrapText="1"/>
    </xf>
    <xf borderId="0" fillId="5" fontId="5" numFmtId="0" xfId="0" applyAlignment="1" applyFill="1" applyFont="1">
      <alignment horizontal="center" readingOrder="0" shrinkToFit="0" vertical="center" wrapText="1"/>
    </xf>
    <xf borderId="0" fillId="0" fontId="6" numFmtId="0" xfId="0" applyAlignment="1" applyFont="1">
      <alignment horizontal="left" shrinkToFit="0" vertical="center" wrapText="1"/>
    </xf>
    <xf borderId="0" fillId="0" fontId="4" numFmtId="165" xfId="0" applyAlignment="1" applyFont="1" applyNumberFormat="1">
      <alignment horizontal="center" shrinkToFit="0" vertical="bottom" wrapText="1"/>
    </xf>
    <xf borderId="0" fillId="0" fontId="5" numFmtId="0" xfId="0" applyAlignment="1" applyFont="1">
      <alignment readingOrder="0" shrinkToFit="0" wrapText="1"/>
    </xf>
    <xf borderId="0" fillId="0" fontId="5" numFmtId="166" xfId="0" applyAlignment="1" applyFont="1" applyNumberFormat="1">
      <alignment horizontal="center" readingOrder="0" shrinkToFit="0" vertical="bottom" wrapText="1"/>
    </xf>
    <xf borderId="0" fillId="0" fontId="4" numFmtId="167" xfId="0" applyAlignment="1" applyFont="1" applyNumberFormat="1">
      <alignment horizontal="center" readingOrder="0" shrinkToFit="0" vertical="bottom" wrapText="1"/>
    </xf>
    <xf borderId="0" fillId="0" fontId="4" numFmtId="167" xfId="0" applyAlignment="1" applyFont="1" applyNumberFormat="1">
      <alignment horizontal="center" readingOrder="0" shrinkToFit="0" vertical="center" wrapText="1"/>
    </xf>
    <xf borderId="0" fillId="6" fontId="5" numFmtId="0" xfId="0" applyAlignment="1" applyFill="1" applyFont="1">
      <alignment horizontal="center" readingOrder="0" shrinkToFit="0" vertical="center" wrapText="1"/>
    </xf>
    <xf borderId="0" fillId="0" fontId="5" numFmtId="168" xfId="0" applyAlignment="1" applyFont="1" applyNumberFormat="1">
      <alignment horizontal="center" readingOrder="0" shrinkToFit="0" vertical="center" wrapText="1"/>
    </xf>
    <xf borderId="0" fillId="5" fontId="4" numFmtId="0" xfId="0" applyAlignment="1" applyFont="1">
      <alignment horizontal="center" readingOrder="0" shrinkToFit="0" vertical="center" wrapText="1"/>
    </xf>
    <xf borderId="0" fillId="0" fontId="4" numFmtId="166" xfId="0" applyAlignment="1" applyFont="1" applyNumberFormat="1">
      <alignment horizontal="center" readingOrder="0" shrinkToFit="0" vertical="center" wrapText="1"/>
    </xf>
    <xf borderId="0" fillId="0" fontId="4" numFmtId="0" xfId="0" applyAlignment="1" applyFont="1">
      <alignment readingOrder="0" shrinkToFit="0" vertical="center" wrapText="1"/>
    </xf>
    <xf borderId="0" fillId="7" fontId="7" numFmtId="0" xfId="0" applyAlignment="1" applyFill="1" applyFont="1">
      <alignment readingOrder="0" shrinkToFit="0" vertical="center" wrapText="0"/>
    </xf>
    <xf borderId="0" fillId="7" fontId="7" numFmtId="0" xfId="0" applyAlignment="1" applyFont="1">
      <alignment horizontal="center" readingOrder="0" shrinkToFit="0" vertical="center" wrapText="0"/>
    </xf>
    <xf borderId="0" fillId="7" fontId="7" numFmtId="0" xfId="0" applyAlignment="1" applyFont="1">
      <alignment horizontal="left" readingOrder="0" shrinkToFit="0" vertical="center" wrapText="0"/>
    </xf>
    <xf borderId="0" fillId="7" fontId="7" numFmtId="166" xfId="0" applyAlignment="1" applyFont="1" applyNumberFormat="1">
      <alignment horizontal="center" readingOrder="0" shrinkToFit="0" vertical="center" wrapText="0"/>
    </xf>
    <xf borderId="0" fillId="0" fontId="4" numFmtId="166" xfId="0" applyAlignment="1" applyFont="1" applyNumberFormat="1">
      <alignment horizontal="center" readingOrder="0" shrinkToFit="0" vertical="center" wrapText="0"/>
    </xf>
    <xf borderId="0" fillId="0" fontId="4" numFmtId="164" xfId="0" applyAlignment="1" applyFont="1" applyNumberFormat="1">
      <alignment readingOrder="0" shrinkToFit="0" wrapText="1"/>
    </xf>
    <xf borderId="0" fillId="4" fontId="4" numFmtId="164" xfId="0" applyAlignment="1" applyFont="1" applyNumberFormat="1">
      <alignment horizontal="center" readingOrder="0" shrinkToFit="0" vertical="center" wrapText="1"/>
    </xf>
    <xf borderId="0" fillId="0" fontId="5" numFmtId="0" xfId="0" applyAlignment="1" applyFont="1">
      <alignment horizontal="center" shrinkToFit="0" vertical="center" wrapText="1"/>
    </xf>
    <xf borderId="0" fillId="0" fontId="5" numFmtId="165" xfId="0" applyAlignment="1" applyFont="1" applyNumberFormat="1">
      <alignment horizontal="center" readingOrder="0" shrinkToFit="0" vertical="center" wrapText="1"/>
    </xf>
    <xf borderId="0" fillId="0" fontId="4" numFmtId="165" xfId="0" applyAlignment="1" applyFont="1" applyNumberFormat="1">
      <alignment horizontal="center" shrinkToFit="0" vertical="center" wrapText="1"/>
    </xf>
    <xf borderId="0" fillId="5" fontId="4" numFmtId="164" xfId="0" applyAlignment="1" applyFont="1" applyNumberFormat="1">
      <alignment horizontal="center" readingOrder="0" shrinkToFit="0" vertical="center" wrapText="1"/>
    </xf>
    <xf borderId="0" fillId="0" fontId="5" numFmtId="165" xfId="0" applyAlignment="1" applyFont="1" applyNumberFormat="1">
      <alignment horizontal="center" shrinkToFit="0" vertical="center" wrapText="1"/>
    </xf>
    <xf quotePrefix="1" borderId="0" fillId="0" fontId="4" numFmtId="0" xfId="0" applyAlignment="1" applyFont="1">
      <alignment horizontal="center" readingOrder="0" shrinkToFit="0" vertical="center" wrapText="1"/>
    </xf>
    <xf borderId="0" fillId="8" fontId="5" numFmtId="0" xfId="0" applyAlignment="1" applyFill="1" applyFont="1">
      <alignment horizontal="center" readingOrder="0" shrinkToFit="0" vertical="center" wrapText="1"/>
    </xf>
    <xf borderId="0" fillId="0" fontId="4" numFmtId="49" xfId="0" applyAlignment="1" applyFont="1" applyNumberFormat="1">
      <alignment horizontal="center" readingOrder="0" shrinkToFit="0" vertical="center" wrapText="1"/>
    </xf>
    <xf borderId="0" fillId="0" fontId="4" numFmtId="165" xfId="0" applyAlignment="1" applyFont="1" applyNumberFormat="1">
      <alignment horizontal="center" readingOrder="0" shrinkToFit="0" vertical="center" wrapText="1"/>
    </xf>
    <xf borderId="0" fillId="4" fontId="5" numFmtId="0" xfId="0" applyAlignment="1" applyFont="1">
      <alignment horizontal="center" shrinkToFit="0" vertical="center" wrapText="1"/>
    </xf>
    <xf borderId="0" fillId="0" fontId="4" numFmtId="165" xfId="0" applyAlignment="1" applyFont="1" applyNumberFormat="1">
      <alignment horizontal="center" readingOrder="0" shrinkToFit="0" vertical="bottom" wrapText="1"/>
    </xf>
    <xf borderId="0" fillId="0" fontId="4" numFmtId="165" xfId="0" applyAlignment="1" applyFont="1" applyNumberFormat="1">
      <alignment shrinkToFit="0" wrapText="1"/>
    </xf>
    <xf borderId="0" fillId="0" fontId="5" numFmtId="166" xfId="0" applyAlignment="1" applyFont="1" applyNumberFormat="1">
      <alignment horizontal="center" readingOrder="0" shrinkToFit="0" vertical="center" wrapText="0"/>
    </xf>
    <xf borderId="0" fillId="0" fontId="8" numFmtId="0" xfId="0" applyAlignment="1" applyFont="1">
      <alignment readingOrder="0" shrinkToFit="0" wrapText="1"/>
    </xf>
    <xf borderId="0" fillId="0" fontId="5" numFmtId="164" xfId="0" applyAlignment="1" applyFont="1" applyNumberFormat="1">
      <alignment horizontal="left" readingOrder="0" shrinkToFit="0" vertical="center" wrapText="1"/>
    </xf>
    <xf borderId="0" fillId="0" fontId="9" numFmtId="0" xfId="0" applyAlignment="1" applyFont="1">
      <alignment readingOrder="0" shrinkToFit="0" wrapText="1"/>
    </xf>
    <xf borderId="0" fillId="9" fontId="5" numFmtId="0" xfId="0" applyAlignment="1" applyFill="1" applyFont="1">
      <alignment horizontal="center" readingOrder="0" shrinkToFit="0" vertical="center" wrapText="1"/>
    </xf>
    <xf borderId="0" fillId="10" fontId="5" numFmtId="0" xfId="0" applyAlignment="1" applyFill="1" applyFont="1">
      <alignment horizontal="center" readingOrder="0" shrinkToFit="0" vertical="center" wrapText="1"/>
    </xf>
    <xf borderId="0" fillId="0" fontId="5" numFmtId="4" xfId="0" applyAlignment="1" applyFont="1" applyNumberFormat="1">
      <alignment horizontal="center" readingOrder="0" shrinkToFit="0" vertical="center" wrapText="1"/>
    </xf>
    <xf borderId="0" fillId="0" fontId="10" numFmtId="0" xfId="0" applyAlignment="1" applyFont="1">
      <alignment horizontal="left" readingOrder="0" shrinkToFit="0" vertical="center" wrapText="1"/>
    </xf>
    <xf borderId="0" fillId="0" fontId="5" numFmtId="49" xfId="0" applyAlignment="1" applyFont="1" applyNumberFormat="1">
      <alignment horizontal="center" readingOrder="0" shrinkToFit="0" vertical="center" wrapText="1"/>
    </xf>
    <xf borderId="0" fillId="5" fontId="4" numFmtId="0" xfId="0" applyAlignment="1" applyFont="1">
      <alignment horizontal="center" shrinkToFit="0" vertical="center" wrapText="1"/>
    </xf>
    <xf borderId="0" fillId="0" fontId="5" numFmtId="0" xfId="0" applyAlignment="1" applyFont="1">
      <alignment horizontal="left"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0" fillId="0" fontId="4" numFmtId="0" xfId="0" applyAlignment="1" applyFont="1">
      <alignment horizontal="left" shrinkToFit="0" vertical="bottom" wrapText="1"/>
    </xf>
    <xf borderId="0" fillId="0" fontId="5" numFmtId="167" xfId="0" applyAlignment="1" applyFont="1" applyNumberFormat="1">
      <alignment horizontal="center" shrinkToFit="0" vertical="center" wrapText="1"/>
    </xf>
    <xf borderId="0" fillId="0" fontId="11" numFmtId="0" xfId="0" applyAlignment="1" applyFont="1">
      <alignment horizontal="left" shrinkToFit="0" vertical="bottom" wrapText="1"/>
    </xf>
    <xf borderId="0" fillId="0" fontId="5" numFmtId="165" xfId="0" applyAlignment="1" applyFont="1" applyNumberFormat="1">
      <alignment horizontal="center" readingOrder="0" shrinkToFit="0" vertical="bottom" wrapText="1"/>
    </xf>
    <xf borderId="0" fillId="0" fontId="5" numFmtId="164" xfId="0" applyAlignment="1" applyFont="1" applyNumberFormat="1">
      <alignment horizontal="center" readingOrder="0" shrinkToFit="0" vertical="center" wrapText="0"/>
    </xf>
    <xf borderId="0" fillId="0" fontId="5" numFmtId="164" xfId="0" applyAlignment="1" applyFont="1" applyNumberFormat="1">
      <alignment horizontal="center" readingOrder="0" shrinkToFit="0" vertical="center" wrapText="1"/>
    </xf>
    <xf borderId="0" fillId="0" fontId="5" numFmtId="167" xfId="0" applyAlignment="1" applyFont="1" applyNumberFormat="1">
      <alignment horizontal="center" readingOrder="0" shrinkToFit="0" vertical="center" wrapText="1"/>
    </xf>
    <xf borderId="0" fillId="0" fontId="4" numFmtId="165" xfId="0" applyAlignment="1" applyFont="1" applyNumberFormat="1">
      <alignment readingOrder="0" shrinkToFit="0" wrapText="1"/>
    </xf>
    <xf borderId="0" fillId="0" fontId="12" numFmtId="0" xfId="0" applyAlignment="1" applyFont="1">
      <alignment horizontal="center" readingOrder="0" shrinkToFit="0" vertical="center" wrapText="1"/>
    </xf>
  </cellXfs>
  <cellStyles count="1">
    <cellStyle xfId="0" name="Normal" builtinId="0"/>
  </cellStyles>
  <dxfs count="6">
    <dxf>
      <font>
        <color rgb="FF000000"/>
      </font>
      <fill>
        <patternFill patternType="solid">
          <fgColor rgb="FFFFFF00"/>
          <bgColor rgb="FFFFFF00"/>
        </patternFill>
      </fill>
      <border/>
    </dxf>
    <dxf>
      <font/>
      <fill>
        <patternFill patternType="solid">
          <fgColor rgb="FFFF0000"/>
          <bgColor rgb="FFFF0000"/>
        </patternFill>
      </fill>
      <border/>
    </dxf>
    <dxf>
      <font/>
      <fill>
        <patternFill patternType="solid">
          <fgColor rgb="FF00FF00"/>
          <bgColor rgb="FF00FF00"/>
        </patternFill>
      </fill>
      <border/>
    </dxf>
    <dxf>
      <font>
        <color rgb="FF000000"/>
      </font>
      <fill>
        <patternFill patternType="solid">
          <fgColor rgb="FF00FF00"/>
          <bgColor rgb="FF00FF00"/>
        </patternFill>
      </fill>
      <border/>
    </dxf>
    <dxf>
      <font>
        <color rgb="FF000000"/>
      </font>
      <fill>
        <patternFill patternType="solid">
          <fgColor rgb="FFFF0000"/>
          <bgColor rgb="FFFF0000"/>
        </patternFill>
      </fill>
      <border/>
    </dxf>
    <dxf>
      <font>
        <color rgb="FF000000"/>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gzine.nu" TargetMode="External"/><Relationship Id="rId3" Type="http://schemas.openxmlformats.org/officeDocument/2006/relationships/hyperlink" Target="http://nba.tv" TargetMode="External"/><Relationship Id="rId4" Type="http://schemas.openxmlformats.org/officeDocument/2006/relationships/hyperlink" Target="http://tijdschrift.nl" TargetMode="External"/><Relationship Id="rId5" Type="http://schemas.openxmlformats.org/officeDocument/2006/relationships/hyperlink" Target="http://tvgids.tv"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xsellize.com/topic/178704-req-elf-defense-eng-v-101/" TargetMode="External"/><Relationship Id="rId2" Type="http://schemas.openxmlformats.org/officeDocument/2006/relationships/hyperlink" Target="http://nba.tv"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nba.tv" TargetMode="External"/><Relationship Id="rId2" Type="http://schemas.openxmlformats.org/officeDocument/2006/relationships/hyperlink" Target="http://xsellize.com/topic/178704-req-elf-defense-eng-v-101/"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eedtest.ne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35.86"/>
    <col customWidth="1" min="2" max="2" width="13.71"/>
    <col customWidth="1" min="3" max="3" width="17.29"/>
    <col customWidth="1" min="4" max="4" width="57.29"/>
    <col customWidth="1" min="5" max="5" width="21.57"/>
    <col customWidth="1" min="6" max="6" width="27.29"/>
  </cols>
  <sheetData>
    <row r="1" ht="15.0" customHeight="1">
      <c r="A1" s="1" t="s">
        <v>0</v>
      </c>
    </row>
    <row r="2">
      <c r="A2" s="2" t="str">
        <f>HYPERLINK("http://bit.ly/iapfreesheet","Please keep ALL iAPFree apps in the iAPFree Compatibility list, which can be found by clicking here.")</f>
        <v>Please keep ALL iAPFree apps in the iAPFree Compatibility list, which can be found by clicking here.</v>
      </c>
    </row>
    <row r="3">
      <c r="A3" s="3" t="s">
        <v>1</v>
      </c>
      <c r="B3" s="3" t="s">
        <v>2</v>
      </c>
      <c r="C3" s="3" t="s">
        <v>3</v>
      </c>
      <c r="D3" s="3" t="s">
        <v>4</v>
      </c>
      <c r="E3" s="3" t="s">
        <v>5</v>
      </c>
      <c r="F3" s="4" t="s">
        <v>6</v>
      </c>
    </row>
    <row r="4">
      <c r="A4" s="5" t="s">
        <v>7</v>
      </c>
      <c r="B4" s="6" t="s">
        <v>8</v>
      </c>
      <c r="C4" s="7" t="s">
        <v>9</v>
      </c>
      <c r="D4" s="8" t="s">
        <v>10</v>
      </c>
      <c r="E4" s="9" t="s">
        <v>11</v>
      </c>
      <c r="F4" s="10">
        <v>41106.0</v>
      </c>
    </row>
    <row r="5">
      <c r="A5" s="11" t="s">
        <v>12</v>
      </c>
      <c r="B5" s="12"/>
      <c r="C5" s="13" t="s">
        <v>9</v>
      </c>
      <c r="D5" s="14"/>
      <c r="E5" s="13" t="s">
        <v>13</v>
      </c>
      <c r="F5" s="15">
        <v>40928.0</v>
      </c>
    </row>
    <row r="6">
      <c r="A6" s="11" t="s">
        <v>14</v>
      </c>
      <c r="B6" s="12"/>
      <c r="C6" s="13" t="s">
        <v>9</v>
      </c>
      <c r="D6" s="14"/>
      <c r="E6" s="13" t="s">
        <v>15</v>
      </c>
      <c r="F6" s="15">
        <v>40890.0</v>
      </c>
    </row>
    <row r="7">
      <c r="A7" s="11" t="s">
        <v>16</v>
      </c>
      <c r="B7" s="12"/>
      <c r="C7" s="16" t="s">
        <v>9</v>
      </c>
      <c r="D7" s="14"/>
      <c r="E7" s="13" t="s">
        <v>17</v>
      </c>
      <c r="F7" s="15">
        <v>40828.0</v>
      </c>
    </row>
    <row r="8">
      <c r="A8" s="11" t="s">
        <v>18</v>
      </c>
      <c r="B8" s="12"/>
      <c r="C8" s="13" t="s">
        <v>19</v>
      </c>
      <c r="D8" s="11" t="s">
        <v>20</v>
      </c>
      <c r="E8" s="17"/>
      <c r="F8" s="15">
        <v>40918.0</v>
      </c>
    </row>
    <row r="9">
      <c r="A9" s="11" t="s">
        <v>21</v>
      </c>
      <c r="B9" s="12"/>
      <c r="C9" s="16" t="s">
        <v>9</v>
      </c>
      <c r="D9" s="11" t="s">
        <v>22</v>
      </c>
      <c r="E9" s="13" t="s">
        <v>23</v>
      </c>
      <c r="F9" s="15">
        <v>40926.0</v>
      </c>
    </row>
    <row r="10">
      <c r="A10" s="11" t="s">
        <v>24</v>
      </c>
      <c r="B10" s="12"/>
      <c r="C10" s="13" t="s">
        <v>9</v>
      </c>
      <c r="D10" s="11" t="s">
        <v>25</v>
      </c>
      <c r="E10" s="13" t="s">
        <v>26</v>
      </c>
      <c r="F10" s="15">
        <v>40916.0</v>
      </c>
    </row>
    <row r="11">
      <c r="A11" s="11" t="s">
        <v>27</v>
      </c>
      <c r="B11" s="12"/>
      <c r="C11" s="13" t="s">
        <v>9</v>
      </c>
      <c r="D11" s="14"/>
      <c r="E11" s="13" t="s">
        <v>28</v>
      </c>
      <c r="F11" s="15">
        <v>40891.0</v>
      </c>
    </row>
    <row r="12">
      <c r="A12" s="11" t="s">
        <v>29</v>
      </c>
      <c r="B12" s="12"/>
      <c r="C12" s="13" t="s">
        <v>9</v>
      </c>
      <c r="D12" s="11" t="s">
        <v>30</v>
      </c>
      <c r="E12" s="13" t="s">
        <v>31</v>
      </c>
      <c r="F12" s="15">
        <v>40950.0</v>
      </c>
    </row>
    <row r="13">
      <c r="A13" s="11" t="s">
        <v>32</v>
      </c>
      <c r="B13" s="12"/>
      <c r="C13" s="16" t="s">
        <v>19</v>
      </c>
      <c r="D13" s="11" t="s">
        <v>33</v>
      </c>
      <c r="E13" s="13" t="s">
        <v>34</v>
      </c>
      <c r="F13" s="15">
        <v>40932.0</v>
      </c>
    </row>
    <row r="14">
      <c r="A14" s="11" t="s">
        <v>35</v>
      </c>
      <c r="B14" s="12"/>
      <c r="C14" s="13" t="s">
        <v>9</v>
      </c>
      <c r="D14" s="11" t="s">
        <v>36</v>
      </c>
      <c r="E14" s="17"/>
      <c r="F14" s="15">
        <v>40955.0</v>
      </c>
    </row>
    <row r="15">
      <c r="A15" s="11" t="s">
        <v>37</v>
      </c>
      <c r="B15" s="12"/>
      <c r="C15" s="18" t="s">
        <v>19</v>
      </c>
      <c r="D15" s="19" t="str">
        <f>HYPERLINK("http://xsellize.com/topic/177569-9-innings-pro-baseball-successfully-hacked/","Hack Here (Click for details)")</f>
        <v>Hack Here (Click for details)</v>
      </c>
      <c r="E15" s="17"/>
      <c r="F15" s="20"/>
    </row>
    <row r="16">
      <c r="A16" s="11" t="s">
        <v>38</v>
      </c>
      <c r="B16" s="12"/>
      <c r="C16" s="13" t="s">
        <v>9</v>
      </c>
      <c r="D16" s="11" t="s">
        <v>39</v>
      </c>
      <c r="E16" s="13" t="s">
        <v>40</v>
      </c>
      <c r="F16" s="20"/>
    </row>
    <row r="17">
      <c r="A17" s="21" t="s">
        <v>41</v>
      </c>
      <c r="B17" s="13">
        <v>3.1</v>
      </c>
      <c r="C17" s="16" t="s">
        <v>9</v>
      </c>
      <c r="D17" s="11" t="s">
        <v>42</v>
      </c>
      <c r="E17" s="13" t="s">
        <v>43</v>
      </c>
      <c r="F17" s="22">
        <v>40964.0</v>
      </c>
    </row>
    <row r="18">
      <c r="A18" s="11" t="s">
        <v>44</v>
      </c>
      <c r="B18" s="12"/>
      <c r="C18" s="13" t="s">
        <v>9</v>
      </c>
      <c r="D18" s="11" t="s">
        <v>45</v>
      </c>
      <c r="E18" s="13" t="s">
        <v>46</v>
      </c>
      <c r="F18" s="15">
        <v>40915.0</v>
      </c>
    </row>
    <row r="19">
      <c r="A19" s="11" t="s">
        <v>47</v>
      </c>
      <c r="B19" s="12"/>
      <c r="C19" s="18" t="s">
        <v>19</v>
      </c>
      <c r="D19" s="11" t="s">
        <v>48</v>
      </c>
      <c r="E19" s="13" t="s">
        <v>23</v>
      </c>
      <c r="F19" s="15">
        <v>40926.0</v>
      </c>
    </row>
    <row r="20">
      <c r="A20" s="11" t="s">
        <v>49</v>
      </c>
      <c r="B20" s="12"/>
      <c r="C20" s="16" t="s">
        <v>9</v>
      </c>
      <c r="D20" s="14"/>
      <c r="E20" s="13" t="s">
        <v>50</v>
      </c>
      <c r="F20" s="15">
        <v>40899.0</v>
      </c>
    </row>
    <row r="21">
      <c r="A21" s="11" t="s">
        <v>51</v>
      </c>
      <c r="B21" s="12"/>
      <c r="C21" s="16" t="s">
        <v>9</v>
      </c>
      <c r="D21" s="14"/>
      <c r="E21" s="13" t="s">
        <v>50</v>
      </c>
      <c r="F21" s="15">
        <v>40900.0</v>
      </c>
    </row>
    <row r="22">
      <c r="A22" s="11" t="s">
        <v>52</v>
      </c>
      <c r="B22" s="12"/>
      <c r="C22" s="13" t="s">
        <v>9</v>
      </c>
      <c r="D22" s="11" t="s">
        <v>53</v>
      </c>
      <c r="E22" s="13" t="s">
        <v>54</v>
      </c>
      <c r="F22" s="15">
        <v>40932.0</v>
      </c>
    </row>
    <row r="23">
      <c r="A23" s="11" t="s">
        <v>55</v>
      </c>
      <c r="B23" s="12"/>
      <c r="C23" s="16" t="s">
        <v>9</v>
      </c>
      <c r="D23" s="14"/>
      <c r="E23" s="13" t="s">
        <v>56</v>
      </c>
      <c r="F23" s="15">
        <v>40908.0</v>
      </c>
    </row>
    <row r="24">
      <c r="A24" s="21" t="s">
        <v>57</v>
      </c>
      <c r="B24" s="13">
        <v>4.0</v>
      </c>
      <c r="C24" s="16" t="s">
        <v>9</v>
      </c>
      <c r="D24" s="11" t="s">
        <v>58</v>
      </c>
      <c r="E24" s="13" t="s">
        <v>43</v>
      </c>
      <c r="F24" s="22">
        <v>40964.0</v>
      </c>
    </row>
    <row r="25">
      <c r="A25" s="11" t="s">
        <v>59</v>
      </c>
      <c r="B25" s="12"/>
      <c r="C25" s="18" t="s">
        <v>19</v>
      </c>
      <c r="D25" s="11" t="s">
        <v>60</v>
      </c>
      <c r="E25" s="13" t="s">
        <v>15</v>
      </c>
      <c r="F25" s="15">
        <v>40890.0</v>
      </c>
    </row>
    <row r="26">
      <c r="A26" s="11" t="s">
        <v>61</v>
      </c>
      <c r="B26" s="12"/>
      <c r="C26" s="13" t="s">
        <v>9</v>
      </c>
      <c r="D26" s="11" t="s">
        <v>62</v>
      </c>
      <c r="E26" s="13" t="s">
        <v>63</v>
      </c>
      <c r="F26" s="20"/>
    </row>
    <row r="27">
      <c r="A27" s="11" t="s">
        <v>64</v>
      </c>
      <c r="B27" s="12"/>
      <c r="C27" s="16" t="s">
        <v>9</v>
      </c>
      <c r="D27" s="11" t="s">
        <v>65</v>
      </c>
      <c r="E27" s="13" t="s">
        <v>66</v>
      </c>
      <c r="F27" s="15">
        <v>40914.0</v>
      </c>
    </row>
    <row r="28">
      <c r="A28" s="11" t="s">
        <v>67</v>
      </c>
      <c r="B28" s="12"/>
      <c r="C28" s="16" t="s">
        <v>9</v>
      </c>
      <c r="D28" s="14"/>
      <c r="E28" s="17"/>
      <c r="F28" s="15">
        <v>40922.0</v>
      </c>
    </row>
    <row r="29">
      <c r="A29" s="11" t="s">
        <v>68</v>
      </c>
      <c r="B29" s="12"/>
      <c r="C29" s="18" t="s">
        <v>19</v>
      </c>
      <c r="D29" s="11" t="s">
        <v>69</v>
      </c>
      <c r="E29" s="13" t="s">
        <v>66</v>
      </c>
      <c r="F29" s="15">
        <v>40883.0</v>
      </c>
    </row>
    <row r="30">
      <c r="A30" s="11" t="s">
        <v>70</v>
      </c>
      <c r="B30" s="12"/>
      <c r="C30" s="13" t="s">
        <v>9</v>
      </c>
      <c r="D30" s="11" t="s">
        <v>71</v>
      </c>
      <c r="E30" s="13" t="s">
        <v>72</v>
      </c>
      <c r="F30" s="15">
        <v>40922.0</v>
      </c>
    </row>
    <row r="31">
      <c r="A31" s="11" t="s">
        <v>73</v>
      </c>
      <c r="B31" s="12"/>
      <c r="C31" s="16" t="s">
        <v>9</v>
      </c>
      <c r="D31" s="14"/>
      <c r="E31" s="13" t="s">
        <v>66</v>
      </c>
      <c r="F31" s="15">
        <v>40881.0</v>
      </c>
    </row>
    <row r="32">
      <c r="A32" s="11" t="s">
        <v>74</v>
      </c>
      <c r="B32" s="12"/>
      <c r="C32" s="16" t="s">
        <v>9</v>
      </c>
      <c r="D32" s="11" t="s">
        <v>75</v>
      </c>
      <c r="E32" s="13" t="s">
        <v>76</v>
      </c>
      <c r="F32" s="15">
        <v>40891.0</v>
      </c>
    </row>
    <row r="33">
      <c r="A33" s="11" t="s">
        <v>77</v>
      </c>
      <c r="B33" s="6">
        <v>1.1</v>
      </c>
      <c r="C33" s="13" t="s">
        <v>9</v>
      </c>
      <c r="D33" s="11" t="s">
        <v>78</v>
      </c>
      <c r="E33" s="9" t="s">
        <v>79</v>
      </c>
      <c r="F33" s="15">
        <v>41041.0</v>
      </c>
    </row>
    <row r="34">
      <c r="A34" s="11" t="s">
        <v>80</v>
      </c>
      <c r="B34" s="12"/>
      <c r="C34" s="13" t="s">
        <v>19</v>
      </c>
      <c r="D34" s="11" t="s">
        <v>81</v>
      </c>
      <c r="E34" s="17"/>
      <c r="F34" s="20"/>
    </row>
    <row r="35">
      <c r="A35" s="11" t="s">
        <v>82</v>
      </c>
      <c r="B35" s="13">
        <v>2.1</v>
      </c>
      <c r="C35" s="16" t="s">
        <v>9</v>
      </c>
      <c r="D35" s="11" t="s">
        <v>83</v>
      </c>
      <c r="E35" s="13" t="s">
        <v>84</v>
      </c>
      <c r="F35" s="15">
        <v>40939.0</v>
      </c>
    </row>
    <row r="36">
      <c r="A36" s="11" t="s">
        <v>85</v>
      </c>
      <c r="B36" s="12"/>
      <c r="C36" s="18" t="s">
        <v>9</v>
      </c>
      <c r="D36" s="14"/>
      <c r="E36" s="13" t="s">
        <v>50</v>
      </c>
      <c r="F36" s="15">
        <v>40900.0</v>
      </c>
    </row>
    <row r="37">
      <c r="A37" s="11" t="s">
        <v>86</v>
      </c>
      <c r="B37" s="12"/>
      <c r="C37" s="16" t="s">
        <v>9</v>
      </c>
      <c r="D37" s="14"/>
      <c r="E37" s="13" t="s">
        <v>87</v>
      </c>
      <c r="F37" s="15">
        <v>40895.0</v>
      </c>
    </row>
    <row r="38">
      <c r="A38" s="11" t="s">
        <v>88</v>
      </c>
      <c r="B38" s="12"/>
      <c r="C38" s="16" t="s">
        <v>9</v>
      </c>
      <c r="D38" s="11" t="s">
        <v>89</v>
      </c>
      <c r="E38" s="13" t="s">
        <v>90</v>
      </c>
      <c r="F38" s="15">
        <v>40882.0</v>
      </c>
    </row>
    <row r="39">
      <c r="A39" s="5" t="s">
        <v>91</v>
      </c>
      <c r="B39" s="12"/>
      <c r="C39" s="6" t="s">
        <v>9</v>
      </c>
      <c r="D39" s="8" t="s">
        <v>92</v>
      </c>
      <c r="E39" s="9" t="s">
        <v>93</v>
      </c>
      <c r="F39" s="23">
        <v>41161.0</v>
      </c>
    </row>
    <row r="40">
      <c r="A40" s="11" t="s">
        <v>94</v>
      </c>
      <c r="B40" s="12"/>
      <c r="C40" s="16" t="s">
        <v>9</v>
      </c>
      <c r="D40" s="11" t="s">
        <v>95</v>
      </c>
      <c r="E40" s="13" t="s">
        <v>96</v>
      </c>
      <c r="F40" s="15">
        <v>40871.0</v>
      </c>
    </row>
    <row r="41">
      <c r="A41" s="11" t="s">
        <v>97</v>
      </c>
      <c r="B41" s="12"/>
      <c r="C41" s="16" t="s">
        <v>9</v>
      </c>
      <c r="D41" s="14"/>
      <c r="E41" s="17"/>
      <c r="F41" s="20"/>
    </row>
    <row r="42">
      <c r="A42" s="11" t="s">
        <v>98</v>
      </c>
      <c r="B42" s="12"/>
      <c r="C42" s="18" t="s">
        <v>19</v>
      </c>
      <c r="D42" s="11" t="s">
        <v>99</v>
      </c>
      <c r="E42" s="13" t="s">
        <v>100</v>
      </c>
      <c r="F42" s="15">
        <v>40874.0</v>
      </c>
    </row>
    <row r="43">
      <c r="A43" s="11" t="s">
        <v>101</v>
      </c>
      <c r="B43" s="12"/>
      <c r="C43" s="16" t="s">
        <v>9</v>
      </c>
      <c r="D43" s="11" t="s">
        <v>102</v>
      </c>
      <c r="E43" s="13" t="s">
        <v>103</v>
      </c>
      <c r="F43" s="15">
        <v>40928.0</v>
      </c>
    </row>
    <row r="44">
      <c r="A44" s="11" t="s">
        <v>104</v>
      </c>
      <c r="B44" s="12"/>
      <c r="C44" s="16" t="s">
        <v>9</v>
      </c>
      <c r="D44" s="11" t="s">
        <v>105</v>
      </c>
      <c r="E44" s="13" t="s">
        <v>106</v>
      </c>
      <c r="F44" s="15">
        <v>40923.0</v>
      </c>
    </row>
    <row r="45">
      <c r="A45" s="5" t="s">
        <v>107</v>
      </c>
      <c r="B45" s="12"/>
      <c r="C45" s="7" t="s">
        <v>9</v>
      </c>
      <c r="D45" s="8" t="s">
        <v>108</v>
      </c>
      <c r="E45" s="9" t="s">
        <v>109</v>
      </c>
      <c r="F45" s="23">
        <v>41178.0</v>
      </c>
    </row>
    <row r="46">
      <c r="A46" s="11" t="s">
        <v>110</v>
      </c>
      <c r="B46" s="12"/>
      <c r="C46" s="13" t="s">
        <v>9</v>
      </c>
      <c r="D46" s="14"/>
      <c r="E46" s="17"/>
      <c r="F46" s="15">
        <v>40901.0</v>
      </c>
    </row>
    <row r="47">
      <c r="A47" s="11" t="s">
        <v>111</v>
      </c>
      <c r="B47" s="12"/>
      <c r="C47" s="13" t="s">
        <v>9</v>
      </c>
      <c r="D47" s="11" t="s">
        <v>112</v>
      </c>
      <c r="E47" s="13" t="s">
        <v>72</v>
      </c>
      <c r="F47" s="15">
        <v>40934.0</v>
      </c>
    </row>
    <row r="48">
      <c r="A48" s="11" t="s">
        <v>113</v>
      </c>
      <c r="B48" s="12"/>
      <c r="C48" s="16" t="s">
        <v>9</v>
      </c>
      <c r="D48" s="11" t="s">
        <v>114</v>
      </c>
      <c r="E48" s="13" t="s">
        <v>115</v>
      </c>
      <c r="F48" s="15">
        <v>40935.0</v>
      </c>
    </row>
    <row r="49">
      <c r="A49" s="8" t="s">
        <v>116</v>
      </c>
      <c r="B49" s="12"/>
      <c r="C49" s="18" t="s">
        <v>19</v>
      </c>
      <c r="D49" s="8" t="s">
        <v>117</v>
      </c>
      <c r="E49" s="6" t="s">
        <v>118</v>
      </c>
      <c r="F49" s="24">
        <v>41178.0</v>
      </c>
    </row>
    <row r="50">
      <c r="A50" s="11" t="s">
        <v>119</v>
      </c>
      <c r="B50" s="12"/>
      <c r="C50" s="25" t="s">
        <v>120</v>
      </c>
      <c r="D50" s="11" t="s">
        <v>121</v>
      </c>
      <c r="E50" s="17"/>
      <c r="F50" s="20"/>
    </row>
    <row r="51">
      <c r="A51" s="11" t="s">
        <v>122</v>
      </c>
      <c r="B51" s="12"/>
      <c r="C51" s="16" t="s">
        <v>9</v>
      </c>
      <c r="D51" s="11" t="s">
        <v>123</v>
      </c>
      <c r="E51" s="13" t="s">
        <v>124</v>
      </c>
      <c r="F51" s="15">
        <v>40929.0</v>
      </c>
    </row>
    <row r="52">
      <c r="A52" s="11" t="s">
        <v>125</v>
      </c>
      <c r="B52" s="12"/>
      <c r="C52" s="13" t="s">
        <v>9</v>
      </c>
      <c r="D52" s="11" t="s">
        <v>126</v>
      </c>
      <c r="E52" s="13" t="s">
        <v>127</v>
      </c>
      <c r="F52" s="15">
        <v>40918.0</v>
      </c>
    </row>
    <row r="53">
      <c r="A53" s="11" t="s">
        <v>128</v>
      </c>
      <c r="B53" s="12"/>
      <c r="C53" s="16" t="s">
        <v>9</v>
      </c>
      <c r="D53" s="14"/>
      <c r="E53" s="13" t="s">
        <v>129</v>
      </c>
      <c r="F53" s="15">
        <v>40882.0</v>
      </c>
    </row>
    <row r="54">
      <c r="A54" s="11" t="s">
        <v>130</v>
      </c>
      <c r="B54" s="12"/>
      <c r="C54" s="16" t="s">
        <v>9</v>
      </c>
      <c r="D54" s="11" t="s">
        <v>131</v>
      </c>
      <c r="E54" s="17"/>
      <c r="F54" s="20"/>
    </row>
    <row r="55">
      <c r="A55" s="11" t="s">
        <v>132</v>
      </c>
      <c r="B55" s="12"/>
      <c r="C55" s="13" t="s">
        <v>9</v>
      </c>
      <c r="D55" s="14"/>
      <c r="E55" s="13" t="s">
        <v>133</v>
      </c>
      <c r="F55" s="15">
        <v>40931.0</v>
      </c>
    </row>
    <row r="56">
      <c r="A56" s="11" t="s">
        <v>134</v>
      </c>
      <c r="B56" s="12"/>
      <c r="C56" s="16" t="s">
        <v>9</v>
      </c>
      <c r="D56" s="14"/>
      <c r="E56" s="17"/>
      <c r="F56" s="20"/>
    </row>
    <row r="57">
      <c r="A57" s="11" t="s">
        <v>135</v>
      </c>
      <c r="B57" s="12"/>
      <c r="C57" s="16" t="s">
        <v>9</v>
      </c>
      <c r="D57" s="14"/>
      <c r="E57" s="13" t="s">
        <v>136</v>
      </c>
      <c r="F57" s="15">
        <v>40793.7604166667</v>
      </c>
    </row>
    <row r="58">
      <c r="A58" s="11" t="s">
        <v>137</v>
      </c>
      <c r="B58" s="12"/>
      <c r="C58" s="16" t="s">
        <v>9</v>
      </c>
      <c r="D58" s="11" t="s">
        <v>138</v>
      </c>
      <c r="E58" s="17"/>
      <c r="F58" s="20"/>
    </row>
    <row r="59">
      <c r="A59" s="11" t="s">
        <v>139</v>
      </c>
      <c r="B59" s="12"/>
      <c r="C59" s="13" t="s">
        <v>9</v>
      </c>
      <c r="D59" s="11" t="s">
        <v>140</v>
      </c>
      <c r="E59" s="13" t="s">
        <v>50</v>
      </c>
      <c r="F59" s="15">
        <v>40902.0</v>
      </c>
    </row>
    <row r="60">
      <c r="A60" s="5" t="s">
        <v>141</v>
      </c>
      <c r="B60" s="6" t="s">
        <v>142</v>
      </c>
      <c r="C60" s="7" t="s">
        <v>9</v>
      </c>
      <c r="D60" s="8" t="s">
        <v>143</v>
      </c>
      <c r="E60" s="9" t="s">
        <v>144</v>
      </c>
      <c r="F60" s="23">
        <v>41161.0</v>
      </c>
    </row>
    <row r="61">
      <c r="A61" s="11" t="s">
        <v>145</v>
      </c>
      <c r="B61" s="12"/>
      <c r="C61" s="13" t="s">
        <v>9</v>
      </c>
      <c r="D61" s="14"/>
      <c r="E61" s="13" t="s">
        <v>50</v>
      </c>
      <c r="F61" s="15">
        <v>40902.0</v>
      </c>
    </row>
    <row r="62">
      <c r="A62" s="11" t="s">
        <v>146</v>
      </c>
      <c r="B62" s="12"/>
      <c r="C62" s="25" t="s">
        <v>147</v>
      </c>
      <c r="D62" s="19" t="str">
        <f>HYPERLINK("http://store.heaveniphone.com/2011/10/angerofstick2.html","Old version works, buy gold, then update (no save lost).")</f>
        <v>Old version works, buy gold, then update (no save lost).</v>
      </c>
      <c r="E62" s="13" t="s">
        <v>148</v>
      </c>
      <c r="F62" s="15">
        <v>40929.0</v>
      </c>
    </row>
    <row r="63">
      <c r="A63" s="11" t="s">
        <v>149</v>
      </c>
      <c r="B63" s="12"/>
      <c r="C63" s="13" t="s">
        <v>9</v>
      </c>
      <c r="D63" s="14"/>
      <c r="E63" s="13" t="s">
        <v>50</v>
      </c>
      <c r="F63" s="15">
        <v>40902.0</v>
      </c>
    </row>
    <row r="64">
      <c r="A64" s="11" t="s">
        <v>150</v>
      </c>
      <c r="B64" s="12"/>
      <c r="C64" s="16" t="s">
        <v>9</v>
      </c>
      <c r="D64" s="11" t="s">
        <v>151</v>
      </c>
      <c r="E64" s="13" t="s">
        <v>96</v>
      </c>
      <c r="F64" s="15">
        <v>40886.0</v>
      </c>
    </row>
    <row r="65">
      <c r="A65" s="11" t="s">
        <v>152</v>
      </c>
      <c r="B65" s="12"/>
      <c r="C65" s="18" t="s">
        <v>9</v>
      </c>
      <c r="D65" s="8" t="s">
        <v>153</v>
      </c>
      <c r="E65" s="13" t="s">
        <v>154</v>
      </c>
      <c r="F65" s="15">
        <v>41009.0</v>
      </c>
    </row>
    <row r="66">
      <c r="A66" s="11" t="s">
        <v>155</v>
      </c>
      <c r="B66" s="12"/>
      <c r="C66" s="13" t="s">
        <v>9</v>
      </c>
      <c r="D66" s="14"/>
      <c r="E66" s="13" t="s">
        <v>156</v>
      </c>
      <c r="F66" s="15">
        <v>40901.0</v>
      </c>
    </row>
    <row r="67">
      <c r="A67" s="21" t="s">
        <v>157</v>
      </c>
      <c r="B67" s="26" t="s">
        <v>158</v>
      </c>
      <c r="C67" s="13" t="s">
        <v>9</v>
      </c>
      <c r="D67" s="11" t="s">
        <v>159</v>
      </c>
      <c r="E67" s="13" t="s">
        <v>160</v>
      </c>
      <c r="F67" s="22">
        <v>40963.0</v>
      </c>
    </row>
    <row r="68">
      <c r="A68" s="11" t="s">
        <v>161</v>
      </c>
      <c r="B68" s="12"/>
      <c r="C68" s="16" t="s">
        <v>9</v>
      </c>
      <c r="D68" s="11" t="s">
        <v>162</v>
      </c>
      <c r="E68" s="13" t="s">
        <v>136</v>
      </c>
      <c r="F68" s="15">
        <v>40793.0</v>
      </c>
    </row>
    <row r="69">
      <c r="A69" s="11" t="s">
        <v>163</v>
      </c>
      <c r="B69" s="12"/>
      <c r="C69" s="16" t="s">
        <v>9</v>
      </c>
      <c r="D69" s="14"/>
      <c r="E69" s="17"/>
      <c r="F69" s="20"/>
    </row>
    <row r="70">
      <c r="A70" s="11" t="s">
        <v>164</v>
      </c>
      <c r="B70" s="12"/>
      <c r="C70" s="16" t="s">
        <v>9</v>
      </c>
      <c r="D70" s="11" t="s">
        <v>165</v>
      </c>
      <c r="E70" s="13" t="s">
        <v>23</v>
      </c>
      <c r="F70" s="15">
        <v>40926.0</v>
      </c>
    </row>
    <row r="71">
      <c r="A71" s="11" t="s">
        <v>166</v>
      </c>
      <c r="B71" s="12"/>
      <c r="C71" s="16" t="s">
        <v>9</v>
      </c>
      <c r="D71" s="14"/>
      <c r="E71" s="13" t="s">
        <v>72</v>
      </c>
      <c r="F71" s="15">
        <v>40913.0</v>
      </c>
    </row>
    <row r="72">
      <c r="A72" s="11" t="s">
        <v>167</v>
      </c>
      <c r="B72" s="12"/>
      <c r="C72" s="16" t="s">
        <v>9</v>
      </c>
      <c r="D72" s="11" t="s">
        <v>168</v>
      </c>
      <c r="E72" s="13" t="s">
        <v>54</v>
      </c>
      <c r="F72" s="15">
        <v>40950.0</v>
      </c>
    </row>
    <row r="73">
      <c r="A73" s="11" t="s">
        <v>169</v>
      </c>
      <c r="B73" s="12"/>
      <c r="C73" s="16" t="s">
        <v>9</v>
      </c>
      <c r="D73" s="14"/>
      <c r="E73" s="13" t="s">
        <v>170</v>
      </c>
      <c r="F73" s="15">
        <v>40912.0</v>
      </c>
    </row>
    <row r="74">
      <c r="A74" s="11" t="s">
        <v>171</v>
      </c>
      <c r="B74" s="12"/>
      <c r="C74" s="16" t="s">
        <v>9</v>
      </c>
      <c r="D74" s="11" t="s">
        <v>172</v>
      </c>
      <c r="E74" s="13" t="s">
        <v>173</v>
      </c>
      <c r="F74" s="15">
        <v>40929.0</v>
      </c>
    </row>
    <row r="75">
      <c r="A75" s="11" t="s">
        <v>174</v>
      </c>
      <c r="B75" s="12"/>
      <c r="C75" s="16" t="s">
        <v>9</v>
      </c>
      <c r="D75" s="14"/>
      <c r="E75" s="13" t="s">
        <v>175</v>
      </c>
      <c r="F75" s="15">
        <v>40793.9138888889</v>
      </c>
    </row>
    <row r="76">
      <c r="A76" s="11" t="s">
        <v>176</v>
      </c>
      <c r="B76" s="12"/>
      <c r="C76" s="18" t="s">
        <v>19</v>
      </c>
      <c r="D76" s="14"/>
      <c r="E76" s="13" t="s">
        <v>175</v>
      </c>
      <c r="F76" s="15">
        <v>40793.9138888889</v>
      </c>
    </row>
    <row r="77">
      <c r="A77" s="11" t="s">
        <v>177</v>
      </c>
      <c r="B77" s="12"/>
      <c r="C77" s="13" t="s">
        <v>9</v>
      </c>
      <c r="D77" s="11" t="s">
        <v>178</v>
      </c>
      <c r="E77" s="13" t="s">
        <v>179</v>
      </c>
      <c r="F77" s="15">
        <v>40891.0</v>
      </c>
    </row>
    <row r="78">
      <c r="A78" s="11" t="s">
        <v>180</v>
      </c>
      <c r="B78" s="12"/>
      <c r="C78" s="13" t="s">
        <v>9</v>
      </c>
      <c r="D78" s="11" t="s">
        <v>181</v>
      </c>
      <c r="E78" s="13" t="s">
        <v>87</v>
      </c>
      <c r="F78" s="15">
        <v>40897.0</v>
      </c>
    </row>
    <row r="79">
      <c r="A79" s="11" t="s">
        <v>182</v>
      </c>
      <c r="B79" s="12"/>
      <c r="C79" s="13" t="s">
        <v>9</v>
      </c>
      <c r="D79" s="11" t="s">
        <v>183</v>
      </c>
      <c r="E79" s="13" t="s">
        <v>184</v>
      </c>
      <c r="F79" s="15">
        <v>40914.0</v>
      </c>
    </row>
    <row r="80">
      <c r="A80" s="11" t="s">
        <v>185</v>
      </c>
      <c r="B80" s="12"/>
      <c r="C80" s="13" t="s">
        <v>19</v>
      </c>
      <c r="D80" s="8" t="s">
        <v>186</v>
      </c>
      <c r="E80" s="13" t="s">
        <v>187</v>
      </c>
      <c r="F80" s="15">
        <v>41067.0</v>
      </c>
    </row>
    <row r="81">
      <c r="A81" s="11" t="s">
        <v>188</v>
      </c>
      <c r="B81" s="12"/>
      <c r="C81" s="25" t="s">
        <v>120</v>
      </c>
      <c r="D81" s="11" t="s">
        <v>183</v>
      </c>
      <c r="E81" s="13" t="s">
        <v>189</v>
      </c>
      <c r="F81" s="15">
        <v>40793.0</v>
      </c>
    </row>
    <row r="82">
      <c r="A82" s="11" t="s">
        <v>188</v>
      </c>
      <c r="B82" s="12"/>
      <c r="C82" s="16" t="s">
        <v>9</v>
      </c>
      <c r="D82" s="11" t="s">
        <v>183</v>
      </c>
      <c r="E82" s="13" t="s">
        <v>50</v>
      </c>
      <c r="F82" s="15">
        <v>40898.0</v>
      </c>
    </row>
    <row r="83">
      <c r="A83" s="11" t="s">
        <v>188</v>
      </c>
      <c r="B83" s="12"/>
      <c r="C83" s="13" t="s">
        <v>190</v>
      </c>
      <c r="D83" s="14"/>
      <c r="E83" s="17"/>
      <c r="F83" s="20"/>
    </row>
    <row r="84">
      <c r="A84" s="11" t="s">
        <v>191</v>
      </c>
      <c r="B84" s="12"/>
      <c r="C84" s="13" t="s">
        <v>9</v>
      </c>
      <c r="D84" s="11" t="s">
        <v>192</v>
      </c>
      <c r="E84" s="13" t="s">
        <v>23</v>
      </c>
      <c r="F84" s="15">
        <v>40926.0</v>
      </c>
    </row>
    <row r="85">
      <c r="A85" s="11" t="s">
        <v>193</v>
      </c>
      <c r="B85" s="6">
        <v>1.0</v>
      </c>
      <c r="C85" s="18" t="s">
        <v>194</v>
      </c>
      <c r="D85" s="8" t="s">
        <v>195</v>
      </c>
      <c r="E85" s="13" t="s">
        <v>196</v>
      </c>
      <c r="F85" s="15">
        <v>41009.0</v>
      </c>
    </row>
    <row r="86">
      <c r="A86" s="21" t="s">
        <v>197</v>
      </c>
      <c r="B86" s="13">
        <v>1.4</v>
      </c>
      <c r="C86" s="13" t="s">
        <v>9</v>
      </c>
      <c r="D86" s="11" t="s">
        <v>198</v>
      </c>
      <c r="E86" s="13" t="s">
        <v>199</v>
      </c>
      <c r="F86" s="15">
        <v>40971.0</v>
      </c>
    </row>
    <row r="87">
      <c r="A87" s="11" t="s">
        <v>200</v>
      </c>
      <c r="B87" s="13" t="s">
        <v>201</v>
      </c>
      <c r="C87" s="13" t="s">
        <v>19</v>
      </c>
      <c r="D87" s="11" t="s">
        <v>202</v>
      </c>
      <c r="E87" s="13" t="s">
        <v>203</v>
      </c>
      <c r="F87" s="15">
        <v>40924.0</v>
      </c>
    </row>
    <row r="88">
      <c r="A88" s="11" t="s">
        <v>204</v>
      </c>
      <c r="B88" s="12"/>
      <c r="C88" s="16" t="s">
        <v>9</v>
      </c>
      <c r="D88" s="14"/>
      <c r="E88" s="13" t="s">
        <v>205</v>
      </c>
      <c r="F88" s="15">
        <v>40793.4569444444</v>
      </c>
    </row>
    <row r="89">
      <c r="A89" s="11" t="s">
        <v>206</v>
      </c>
      <c r="B89" s="13" t="s">
        <v>207</v>
      </c>
      <c r="C89" s="16" t="s">
        <v>9</v>
      </c>
      <c r="D89" s="11" t="s">
        <v>208</v>
      </c>
      <c r="E89" s="13">
        <v>6102.0</v>
      </c>
      <c r="F89" s="15">
        <v>40883.0</v>
      </c>
    </row>
    <row r="90">
      <c r="A90" s="11" t="s">
        <v>209</v>
      </c>
      <c r="B90" s="12"/>
      <c r="C90" s="16" t="s">
        <v>9</v>
      </c>
      <c r="D90" s="14"/>
      <c r="E90" s="13" t="s">
        <v>175</v>
      </c>
      <c r="F90" s="15">
        <v>40793.9138888889</v>
      </c>
    </row>
    <row r="91">
      <c r="A91" s="11" t="s">
        <v>210</v>
      </c>
      <c r="B91" s="12"/>
      <c r="C91" s="13" t="s">
        <v>9</v>
      </c>
      <c r="D91" s="11" t="s">
        <v>211</v>
      </c>
      <c r="E91" s="13" t="s">
        <v>212</v>
      </c>
      <c r="F91" s="15">
        <v>40916.0</v>
      </c>
    </row>
    <row r="92">
      <c r="A92" s="21" t="s">
        <v>213</v>
      </c>
      <c r="B92" s="13" t="s">
        <v>214</v>
      </c>
      <c r="C92" s="13" t="s">
        <v>9</v>
      </c>
      <c r="D92" s="11" t="s">
        <v>215</v>
      </c>
      <c r="E92" s="13" t="s">
        <v>13</v>
      </c>
      <c r="F92" s="15">
        <v>40968.0</v>
      </c>
    </row>
    <row r="93">
      <c r="A93" s="11" t="s">
        <v>216</v>
      </c>
      <c r="B93" s="12"/>
      <c r="C93" s="16" t="s">
        <v>9</v>
      </c>
      <c r="D93" s="14"/>
      <c r="E93" s="13" t="s">
        <v>72</v>
      </c>
      <c r="F93" s="15">
        <v>40922.0</v>
      </c>
    </row>
    <row r="94">
      <c r="A94" s="11" t="s">
        <v>217</v>
      </c>
      <c r="B94" s="12"/>
      <c r="C94" s="16" t="s">
        <v>9</v>
      </c>
      <c r="D94" s="14"/>
      <c r="E94" s="13" t="s">
        <v>72</v>
      </c>
      <c r="F94" s="15">
        <v>40918.0</v>
      </c>
    </row>
    <row r="95">
      <c r="A95" s="11" t="s">
        <v>218</v>
      </c>
      <c r="B95" s="12"/>
      <c r="C95" s="16" t="s">
        <v>9</v>
      </c>
      <c r="D95" s="11" t="s">
        <v>219</v>
      </c>
      <c r="E95" s="13" t="s">
        <v>220</v>
      </c>
      <c r="F95" s="15">
        <v>40920.0</v>
      </c>
    </row>
    <row r="96">
      <c r="A96" s="11" t="s">
        <v>221</v>
      </c>
      <c r="B96" s="13" t="s">
        <v>222</v>
      </c>
      <c r="C96" s="18" t="s">
        <v>19</v>
      </c>
      <c r="D96" s="19" t="str">
        <f>HYPERLINK("http://www.icheats.org/forum/index.php?/topic/5124-diy-asphalt-6-v133-stars-money-upgrades-decals-sponsors-hack/","Tut to get all stars, money, upgrades here.")</f>
        <v>Tut to get all stars, money, upgrades here.</v>
      </c>
      <c r="E96" s="13" t="s">
        <v>223</v>
      </c>
      <c r="F96" s="15">
        <v>40913.0</v>
      </c>
    </row>
    <row r="97">
      <c r="A97" s="5" t="s">
        <v>224</v>
      </c>
      <c r="B97" s="6" t="s">
        <v>8</v>
      </c>
      <c r="C97" s="27" t="s">
        <v>19</v>
      </c>
      <c r="D97" s="8" t="s">
        <v>225</v>
      </c>
      <c r="E97" s="9" t="s">
        <v>226</v>
      </c>
      <c r="F97" s="28">
        <v>41101.0</v>
      </c>
    </row>
    <row r="98">
      <c r="A98" s="11" t="s">
        <v>227</v>
      </c>
      <c r="B98" s="12"/>
      <c r="C98" s="16" t="s">
        <v>9</v>
      </c>
      <c r="D98" s="14"/>
      <c r="E98" s="13" t="s">
        <v>50</v>
      </c>
      <c r="F98" s="15">
        <v>40898.0</v>
      </c>
    </row>
    <row r="99">
      <c r="A99" s="11" t="s">
        <v>228</v>
      </c>
      <c r="B99" s="12"/>
      <c r="C99" s="18" t="s">
        <v>19</v>
      </c>
      <c r="D99" s="11" t="s">
        <v>229</v>
      </c>
      <c r="E99" s="13" t="s">
        <v>66</v>
      </c>
      <c r="F99" s="15">
        <v>40890.0</v>
      </c>
    </row>
    <row r="100">
      <c r="A100" s="21" t="s">
        <v>230</v>
      </c>
      <c r="B100" s="13" t="s">
        <v>231</v>
      </c>
      <c r="C100" s="13" t="s">
        <v>19</v>
      </c>
      <c r="D100" s="14"/>
      <c r="E100" s="13" t="s">
        <v>232</v>
      </c>
      <c r="F100" s="15">
        <v>40969.0</v>
      </c>
    </row>
    <row r="101">
      <c r="A101" s="11" t="s">
        <v>233</v>
      </c>
      <c r="B101" s="12"/>
      <c r="C101" s="13" t="s">
        <v>9</v>
      </c>
      <c r="D101" s="11" t="s">
        <v>234</v>
      </c>
      <c r="E101" s="13" t="s">
        <v>15</v>
      </c>
      <c r="F101" s="15">
        <v>40890.0</v>
      </c>
    </row>
    <row r="102">
      <c r="A102" s="11" t="s">
        <v>235</v>
      </c>
      <c r="B102" s="12"/>
      <c r="C102" s="18" t="s">
        <v>19</v>
      </c>
      <c r="D102" s="11" t="s">
        <v>236</v>
      </c>
      <c r="E102" s="17"/>
      <c r="F102" s="15">
        <v>40886.0</v>
      </c>
    </row>
    <row r="103">
      <c r="A103" s="11" t="s">
        <v>237</v>
      </c>
      <c r="B103" s="12"/>
      <c r="C103" s="18" t="s">
        <v>19</v>
      </c>
      <c r="D103" s="14"/>
      <c r="E103" s="17"/>
      <c r="F103" s="20"/>
    </row>
    <row r="104">
      <c r="A104" s="11" t="s">
        <v>238</v>
      </c>
      <c r="B104" s="12"/>
      <c r="C104" s="16" t="s">
        <v>9</v>
      </c>
      <c r="D104" s="11" t="s">
        <v>239</v>
      </c>
      <c r="E104" s="13" t="s">
        <v>240</v>
      </c>
      <c r="F104" s="15">
        <v>40906.0</v>
      </c>
    </row>
    <row r="105">
      <c r="A105" s="11" t="s">
        <v>241</v>
      </c>
      <c r="B105" s="12"/>
      <c r="C105" s="13" t="s">
        <v>9</v>
      </c>
      <c r="D105" s="11" t="s">
        <v>242</v>
      </c>
      <c r="E105" s="13" t="s">
        <v>243</v>
      </c>
      <c r="F105" s="15">
        <v>40925.0</v>
      </c>
    </row>
    <row r="106">
      <c r="A106" s="21" t="s">
        <v>241</v>
      </c>
      <c r="B106" s="13" t="s">
        <v>244</v>
      </c>
      <c r="C106" s="13" t="s">
        <v>19</v>
      </c>
      <c r="D106" s="11" t="s">
        <v>245</v>
      </c>
      <c r="E106" s="17"/>
      <c r="F106" s="15">
        <v>40972.0</v>
      </c>
    </row>
    <row r="107">
      <c r="A107" s="11" t="s">
        <v>246</v>
      </c>
      <c r="B107" s="13" t="s">
        <v>247</v>
      </c>
      <c r="C107" s="16" t="s">
        <v>9</v>
      </c>
      <c r="D107" s="11" t="s">
        <v>248</v>
      </c>
      <c r="E107" s="13" t="s">
        <v>249</v>
      </c>
      <c r="F107" s="15">
        <v>40793.0</v>
      </c>
    </row>
    <row r="108">
      <c r="A108" s="5" t="s">
        <v>250</v>
      </c>
      <c r="B108" s="12"/>
      <c r="C108" s="13" t="s">
        <v>9</v>
      </c>
      <c r="D108" s="8" t="s">
        <v>251</v>
      </c>
      <c r="E108" s="9" t="s">
        <v>252</v>
      </c>
      <c r="F108" s="10">
        <v>41042.0</v>
      </c>
    </row>
    <row r="109">
      <c r="A109" s="29" t="s">
        <v>253</v>
      </c>
      <c r="B109" s="6" t="s">
        <v>254</v>
      </c>
      <c r="C109" s="13" t="s">
        <v>9</v>
      </c>
      <c r="D109" s="8" t="s">
        <v>255</v>
      </c>
      <c r="E109" s="6" t="s">
        <v>256</v>
      </c>
      <c r="F109" s="28">
        <v>41004.0</v>
      </c>
    </row>
    <row r="110">
      <c r="A110" s="11" t="s">
        <v>257</v>
      </c>
      <c r="B110" s="12"/>
      <c r="C110" s="13" t="s">
        <v>19</v>
      </c>
      <c r="D110" s="14"/>
      <c r="E110" s="13" t="s">
        <v>258</v>
      </c>
      <c r="F110" s="15">
        <v>40954.0</v>
      </c>
    </row>
    <row r="111">
      <c r="A111" s="11" t="s">
        <v>259</v>
      </c>
      <c r="B111" s="12"/>
      <c r="C111" s="16" t="s">
        <v>19</v>
      </c>
      <c r="D111" s="11" t="s">
        <v>260</v>
      </c>
      <c r="E111" s="13" t="s">
        <v>261</v>
      </c>
      <c r="F111" s="15">
        <v>40928.0</v>
      </c>
    </row>
    <row r="112">
      <c r="A112" s="11" t="s">
        <v>262</v>
      </c>
      <c r="B112" s="12"/>
      <c r="C112" s="13" t="s">
        <v>9</v>
      </c>
      <c r="D112" s="11" t="s">
        <v>263</v>
      </c>
      <c r="E112" s="13" t="s">
        <v>264</v>
      </c>
      <c r="F112" s="15">
        <v>40887.0</v>
      </c>
    </row>
    <row r="113">
      <c r="A113" s="11" t="s">
        <v>265</v>
      </c>
      <c r="B113" s="12"/>
      <c r="C113" s="16" t="s">
        <v>9</v>
      </c>
      <c r="D113" s="14"/>
      <c r="E113" s="17"/>
      <c r="F113" s="20"/>
    </row>
    <row r="114">
      <c r="A114" s="8" t="s">
        <v>266</v>
      </c>
      <c r="B114" s="12"/>
      <c r="C114" s="7" t="s">
        <v>9</v>
      </c>
      <c r="D114" s="8" t="s">
        <v>267</v>
      </c>
      <c r="E114" s="6" t="s">
        <v>118</v>
      </c>
      <c r="F114" s="24">
        <v>41178.0</v>
      </c>
    </row>
    <row r="115">
      <c r="A115" s="11" t="s">
        <v>268</v>
      </c>
      <c r="B115" s="12"/>
      <c r="C115" s="16" t="s">
        <v>19</v>
      </c>
      <c r="D115" s="11" t="s">
        <v>269</v>
      </c>
      <c r="E115" s="13" t="s">
        <v>54</v>
      </c>
      <c r="F115" s="15">
        <v>40946.0</v>
      </c>
    </row>
    <row r="116">
      <c r="A116" s="11" t="s">
        <v>270</v>
      </c>
      <c r="B116" s="12"/>
      <c r="C116" s="18" t="s">
        <v>19</v>
      </c>
      <c r="D116" s="14"/>
      <c r="E116" s="13" t="s">
        <v>271</v>
      </c>
      <c r="F116" s="15">
        <v>40793.7888888889</v>
      </c>
    </row>
    <row r="117">
      <c r="A117" s="29" t="s">
        <v>272</v>
      </c>
      <c r="B117" s="12"/>
      <c r="C117" s="27" t="s">
        <v>19</v>
      </c>
      <c r="D117" s="8" t="s">
        <v>273</v>
      </c>
      <c r="E117" s="6" t="s">
        <v>274</v>
      </c>
      <c r="F117" s="28">
        <v>41010.0</v>
      </c>
    </row>
    <row r="118">
      <c r="A118" s="5" t="s">
        <v>272</v>
      </c>
      <c r="B118" s="12"/>
      <c r="C118" s="18" t="s">
        <v>19</v>
      </c>
      <c r="D118" s="8" t="s">
        <v>275</v>
      </c>
      <c r="E118" s="9" t="s">
        <v>276</v>
      </c>
      <c r="F118" s="23">
        <v>41178.0</v>
      </c>
    </row>
    <row r="119">
      <c r="A119" s="11" t="s">
        <v>277</v>
      </c>
      <c r="B119" s="12"/>
      <c r="C119" s="18" t="s">
        <v>120</v>
      </c>
      <c r="D119" s="11" t="s">
        <v>278</v>
      </c>
      <c r="E119" s="13" t="s">
        <v>279</v>
      </c>
      <c r="F119" s="15">
        <v>40811.0</v>
      </c>
    </row>
    <row r="120">
      <c r="A120" s="11" t="s">
        <v>280</v>
      </c>
      <c r="B120" s="12"/>
      <c r="C120" s="13" t="s">
        <v>9</v>
      </c>
      <c r="D120" s="11" t="s">
        <v>281</v>
      </c>
      <c r="E120" s="13" t="s">
        <v>26</v>
      </c>
      <c r="F120" s="15">
        <v>40903.0</v>
      </c>
    </row>
    <row r="121">
      <c r="A121" s="5" t="s">
        <v>282</v>
      </c>
      <c r="B121" s="6" t="s">
        <v>247</v>
      </c>
      <c r="C121" s="7" t="s">
        <v>9</v>
      </c>
      <c r="D121" s="8" t="s">
        <v>283</v>
      </c>
      <c r="E121" s="9" t="s">
        <v>284</v>
      </c>
      <c r="F121" s="28">
        <v>41159.0</v>
      </c>
    </row>
    <row r="122">
      <c r="A122" s="11" t="s">
        <v>285</v>
      </c>
      <c r="B122" s="13" t="s">
        <v>286</v>
      </c>
      <c r="C122" s="13" t="s">
        <v>19</v>
      </c>
      <c r="D122" s="19" t="str">
        <f>HYPERLINK("http://xsellize.com/topic/178262-baseball-superstars-2012-v101/","200000 G hack is here.")</f>
        <v>200000 G hack is here.</v>
      </c>
      <c r="E122" s="13" t="s">
        <v>287</v>
      </c>
      <c r="F122" s="15">
        <v>40944.0</v>
      </c>
    </row>
    <row r="123">
      <c r="A123" s="11" t="s">
        <v>288</v>
      </c>
      <c r="B123" s="13">
        <v>1.1</v>
      </c>
      <c r="C123" s="16" t="s">
        <v>9</v>
      </c>
      <c r="D123" s="11" t="s">
        <v>289</v>
      </c>
      <c r="E123" s="17"/>
      <c r="F123" s="20"/>
    </row>
    <row r="124">
      <c r="A124" s="29" t="s">
        <v>288</v>
      </c>
      <c r="B124" s="6">
        <v>1.3</v>
      </c>
      <c r="C124" s="27" t="s">
        <v>19</v>
      </c>
      <c r="D124" s="14"/>
      <c r="E124" s="6" t="s">
        <v>274</v>
      </c>
      <c r="F124" s="28">
        <v>41007.0</v>
      </c>
    </row>
    <row r="125">
      <c r="A125" s="30" t="s">
        <v>288</v>
      </c>
      <c r="B125" s="31">
        <v>1.3</v>
      </c>
      <c r="C125" s="13" t="s">
        <v>19</v>
      </c>
      <c r="D125" s="32" t="s">
        <v>290</v>
      </c>
      <c r="E125" s="6" t="s">
        <v>274</v>
      </c>
      <c r="F125" s="33">
        <v>41015.0</v>
      </c>
    </row>
    <row r="126">
      <c r="A126" s="11" t="s">
        <v>288</v>
      </c>
      <c r="B126" s="6">
        <v>1.3</v>
      </c>
      <c r="C126" s="18" t="s">
        <v>19</v>
      </c>
      <c r="D126" s="14"/>
      <c r="E126" s="13" t="s">
        <v>291</v>
      </c>
      <c r="F126" s="15">
        <v>41007.0</v>
      </c>
    </row>
    <row r="127">
      <c r="A127" s="11" t="s">
        <v>292</v>
      </c>
      <c r="B127" s="13" t="s">
        <v>293</v>
      </c>
      <c r="C127" s="16" t="s">
        <v>9</v>
      </c>
      <c r="D127" s="11" t="s">
        <v>294</v>
      </c>
      <c r="E127" s="13" t="s">
        <v>295</v>
      </c>
      <c r="F127" s="15">
        <v>40947.0</v>
      </c>
    </row>
    <row r="128">
      <c r="A128" s="11" t="s">
        <v>296</v>
      </c>
      <c r="B128" s="12"/>
      <c r="C128" s="13" t="s">
        <v>9</v>
      </c>
      <c r="D128" s="11" t="s">
        <v>297</v>
      </c>
      <c r="E128" s="13" t="s">
        <v>50</v>
      </c>
      <c r="F128" s="15">
        <v>40901.0</v>
      </c>
    </row>
    <row r="129">
      <c r="A129" s="21" t="s">
        <v>298</v>
      </c>
      <c r="B129" s="12"/>
      <c r="C129" s="13" t="s">
        <v>9</v>
      </c>
      <c r="D129" s="11" t="s">
        <v>299</v>
      </c>
      <c r="E129" s="13" t="s">
        <v>300</v>
      </c>
      <c r="F129" s="22">
        <v>40961.0</v>
      </c>
    </row>
    <row r="130">
      <c r="A130" s="21" t="s">
        <v>301</v>
      </c>
      <c r="B130" s="13">
        <v>1.6</v>
      </c>
      <c r="C130" s="16" t="s">
        <v>9</v>
      </c>
      <c r="D130" s="11" t="s">
        <v>302</v>
      </c>
      <c r="E130" s="13" t="s">
        <v>303</v>
      </c>
      <c r="F130" s="22">
        <v>40966.0</v>
      </c>
    </row>
    <row r="131">
      <c r="A131" s="11" t="s">
        <v>304</v>
      </c>
      <c r="B131" s="12"/>
      <c r="C131" s="18" t="s">
        <v>19</v>
      </c>
      <c r="D131" s="11" t="s">
        <v>305</v>
      </c>
      <c r="E131" s="13" t="s">
        <v>306</v>
      </c>
      <c r="F131" s="15">
        <v>40889.0</v>
      </c>
    </row>
    <row r="132">
      <c r="A132" s="11" t="s">
        <v>307</v>
      </c>
      <c r="B132" s="12"/>
      <c r="C132" s="16" t="s">
        <v>9</v>
      </c>
      <c r="D132" s="14"/>
      <c r="E132" s="17"/>
      <c r="F132" s="20"/>
    </row>
    <row r="133">
      <c r="A133" s="11" t="s">
        <v>308</v>
      </c>
      <c r="B133" s="12"/>
      <c r="C133" s="13" t="s">
        <v>19</v>
      </c>
      <c r="D133" s="11" t="s">
        <v>309</v>
      </c>
      <c r="E133" s="13">
        <v>9.000009E7</v>
      </c>
      <c r="F133" s="15">
        <v>40929.0</v>
      </c>
    </row>
    <row r="134">
      <c r="A134" s="5" t="s">
        <v>310</v>
      </c>
      <c r="B134" s="6" t="s">
        <v>247</v>
      </c>
      <c r="C134" s="7" t="s">
        <v>9</v>
      </c>
      <c r="D134" s="8" t="s">
        <v>311</v>
      </c>
      <c r="E134" s="9" t="s">
        <v>312</v>
      </c>
      <c r="F134" s="28">
        <v>41099.0</v>
      </c>
    </row>
    <row r="135">
      <c r="A135" s="11" t="s">
        <v>313</v>
      </c>
      <c r="B135" s="12"/>
      <c r="C135" s="18" t="s">
        <v>19</v>
      </c>
      <c r="D135" s="11" t="s">
        <v>314</v>
      </c>
      <c r="E135" s="13" t="s">
        <v>315</v>
      </c>
      <c r="F135" s="15">
        <v>40907.0</v>
      </c>
    </row>
    <row r="136">
      <c r="A136" s="21" t="s">
        <v>316</v>
      </c>
      <c r="B136" s="13" t="s">
        <v>317</v>
      </c>
      <c r="C136" s="18" t="s">
        <v>19</v>
      </c>
      <c r="D136" s="11" t="s">
        <v>318</v>
      </c>
      <c r="E136" s="13" t="s">
        <v>319</v>
      </c>
      <c r="F136" s="22">
        <v>40964.0</v>
      </c>
    </row>
    <row r="137">
      <c r="A137" s="11" t="s">
        <v>320</v>
      </c>
      <c r="B137" s="12"/>
      <c r="C137" s="13" t="s">
        <v>9</v>
      </c>
      <c r="D137" s="14"/>
      <c r="E137" s="13" t="s">
        <v>321</v>
      </c>
      <c r="F137" s="15">
        <v>40952.0</v>
      </c>
    </row>
    <row r="138">
      <c r="A138" s="11" t="s">
        <v>322</v>
      </c>
      <c r="B138" s="12"/>
      <c r="C138" s="16" t="s">
        <v>9</v>
      </c>
      <c r="D138" s="11" t="s">
        <v>323</v>
      </c>
      <c r="E138" s="13" t="s">
        <v>324</v>
      </c>
      <c r="F138" s="15">
        <v>40947.0</v>
      </c>
    </row>
    <row r="139">
      <c r="A139" s="21" t="s">
        <v>325</v>
      </c>
      <c r="B139" s="13">
        <v>1.1</v>
      </c>
      <c r="C139" s="13" t="s">
        <v>19</v>
      </c>
      <c r="D139" s="11" t="s">
        <v>326</v>
      </c>
      <c r="E139" s="13" t="s">
        <v>327</v>
      </c>
      <c r="F139" s="15">
        <v>40973.0</v>
      </c>
    </row>
    <row r="140">
      <c r="A140" s="11" t="s">
        <v>328</v>
      </c>
      <c r="B140" s="12"/>
      <c r="C140" s="16" t="s">
        <v>9</v>
      </c>
      <c r="D140" s="14"/>
      <c r="E140" s="13" t="s">
        <v>329</v>
      </c>
      <c r="F140" s="15">
        <v>40905.0</v>
      </c>
    </row>
    <row r="141">
      <c r="A141" s="11" t="s">
        <v>330</v>
      </c>
      <c r="B141" s="12"/>
      <c r="C141" s="16" t="s">
        <v>9</v>
      </c>
      <c r="D141" s="14"/>
      <c r="E141" s="13" t="s">
        <v>331</v>
      </c>
      <c r="F141" s="15">
        <v>40792.0</v>
      </c>
    </row>
    <row r="142">
      <c r="A142" s="11" t="s">
        <v>332</v>
      </c>
      <c r="B142" s="12"/>
      <c r="C142" s="18" t="s">
        <v>19</v>
      </c>
      <c r="D142" s="11" t="s">
        <v>333</v>
      </c>
      <c r="E142" s="17"/>
      <c r="F142" s="15">
        <v>40890.0</v>
      </c>
    </row>
    <row r="143">
      <c r="A143" s="11" t="s">
        <v>334</v>
      </c>
      <c r="B143" s="12"/>
      <c r="C143" s="13" t="s">
        <v>9</v>
      </c>
      <c r="D143" s="14"/>
      <c r="E143" s="13" t="s">
        <v>335</v>
      </c>
      <c r="F143" s="15">
        <v>40923.0</v>
      </c>
    </row>
    <row r="144">
      <c r="A144" s="29" t="s">
        <v>336</v>
      </c>
      <c r="B144" s="6">
        <v>1.3</v>
      </c>
      <c r="C144" s="27" t="s">
        <v>19</v>
      </c>
      <c r="D144" s="8" t="s">
        <v>337</v>
      </c>
      <c r="E144" s="6" t="s">
        <v>274</v>
      </c>
      <c r="F144" s="28">
        <v>41012.0</v>
      </c>
    </row>
    <row r="145">
      <c r="A145" s="11" t="s">
        <v>338</v>
      </c>
      <c r="B145" s="12"/>
      <c r="C145" s="16" t="s">
        <v>9</v>
      </c>
      <c r="D145" s="14"/>
      <c r="E145" s="13" t="s">
        <v>54</v>
      </c>
      <c r="F145" s="15">
        <v>40946.0</v>
      </c>
    </row>
    <row r="146">
      <c r="A146" s="11" t="s">
        <v>339</v>
      </c>
      <c r="B146" s="12"/>
      <c r="C146" s="16" t="s">
        <v>9</v>
      </c>
      <c r="D146" s="14"/>
      <c r="E146" s="13" t="s">
        <v>287</v>
      </c>
      <c r="F146" s="15">
        <v>40946.0</v>
      </c>
    </row>
    <row r="147">
      <c r="A147" s="11" t="s">
        <v>340</v>
      </c>
      <c r="B147" s="12"/>
      <c r="C147" s="16" t="s">
        <v>9</v>
      </c>
      <c r="D147" s="14"/>
      <c r="E147" s="13" t="s">
        <v>287</v>
      </c>
      <c r="F147" s="15">
        <v>40946.0</v>
      </c>
    </row>
    <row r="148">
      <c r="A148" s="11" t="s">
        <v>341</v>
      </c>
      <c r="B148" s="12"/>
      <c r="C148" s="16" t="s">
        <v>9</v>
      </c>
      <c r="D148" s="14"/>
      <c r="E148" s="13" t="s">
        <v>287</v>
      </c>
      <c r="F148" s="15">
        <v>40946.0</v>
      </c>
    </row>
    <row r="149">
      <c r="A149" s="11" t="s">
        <v>342</v>
      </c>
      <c r="B149" s="12"/>
      <c r="C149" s="16" t="s">
        <v>9</v>
      </c>
      <c r="D149" s="11" t="s">
        <v>343</v>
      </c>
      <c r="E149" s="13" t="s">
        <v>66</v>
      </c>
      <c r="F149" s="15">
        <v>40881.0</v>
      </c>
    </row>
    <row r="150">
      <c r="A150" s="11" t="s">
        <v>344</v>
      </c>
      <c r="B150" s="12"/>
      <c r="C150" s="13" t="s">
        <v>9</v>
      </c>
      <c r="D150" s="11" t="s">
        <v>345</v>
      </c>
      <c r="E150" s="13" t="s">
        <v>261</v>
      </c>
      <c r="F150" s="15">
        <v>40928.0</v>
      </c>
    </row>
    <row r="151">
      <c r="A151" s="21" t="s">
        <v>346</v>
      </c>
      <c r="B151" s="12"/>
      <c r="C151" s="13" t="s">
        <v>19</v>
      </c>
      <c r="D151" s="11" t="s">
        <v>347</v>
      </c>
      <c r="E151" s="13" t="s">
        <v>348</v>
      </c>
      <c r="F151" s="15">
        <v>40973.0</v>
      </c>
    </row>
    <row r="152">
      <c r="A152" s="11" t="s">
        <v>349</v>
      </c>
      <c r="B152" s="12"/>
      <c r="C152" s="13" t="s">
        <v>9</v>
      </c>
      <c r="D152" s="11" t="s">
        <v>350</v>
      </c>
      <c r="E152" s="13" t="s">
        <v>351</v>
      </c>
      <c r="F152" s="15">
        <v>40946.0</v>
      </c>
    </row>
    <row r="153">
      <c r="A153" s="11" t="s">
        <v>352</v>
      </c>
      <c r="B153" s="12"/>
      <c r="C153" s="16" t="s">
        <v>9</v>
      </c>
      <c r="D153" s="11" t="s">
        <v>353</v>
      </c>
      <c r="E153" s="13" t="s">
        <v>354</v>
      </c>
      <c r="F153" s="15">
        <v>40912.0</v>
      </c>
    </row>
    <row r="154">
      <c r="A154" s="11" t="s">
        <v>355</v>
      </c>
      <c r="B154" s="12"/>
      <c r="C154" s="18" t="s">
        <v>19</v>
      </c>
      <c r="D154" s="19" t="str">
        <f>HYPERLINK("http://www.icheats.org/forum/index.php?/topic/5186-sav-bird-hunting-mania-v10-hack-cheat/","Save, hack here")</f>
        <v>Save, hack here</v>
      </c>
      <c r="E154" s="13" t="s">
        <v>356</v>
      </c>
      <c r="F154" s="15">
        <v>40917.0</v>
      </c>
    </row>
    <row r="155">
      <c r="A155" s="11" t="s">
        <v>357</v>
      </c>
      <c r="B155" s="12"/>
      <c r="C155" s="16" t="s">
        <v>9</v>
      </c>
      <c r="D155" s="11" t="s">
        <v>358</v>
      </c>
      <c r="E155" s="17"/>
      <c r="F155" s="20"/>
    </row>
    <row r="156">
      <c r="A156" s="11" t="s">
        <v>359</v>
      </c>
      <c r="B156" s="12"/>
      <c r="C156" s="13" t="s">
        <v>9</v>
      </c>
      <c r="D156" s="11" t="s">
        <v>360</v>
      </c>
      <c r="E156" s="13" t="s">
        <v>361</v>
      </c>
      <c r="F156" s="15">
        <v>40927.0</v>
      </c>
    </row>
    <row r="157">
      <c r="A157" s="11" t="s">
        <v>362</v>
      </c>
      <c r="B157" s="12"/>
      <c r="C157" s="13" t="s">
        <v>9</v>
      </c>
      <c r="D157" s="14"/>
      <c r="E157" s="13" t="s">
        <v>363</v>
      </c>
      <c r="F157" s="15">
        <v>40918.0</v>
      </c>
    </row>
    <row r="158">
      <c r="A158" s="11" t="s">
        <v>364</v>
      </c>
      <c r="B158" s="12"/>
      <c r="C158" s="16" t="s">
        <v>9</v>
      </c>
      <c r="D158" s="14"/>
      <c r="E158" s="13" t="s">
        <v>72</v>
      </c>
      <c r="F158" s="20"/>
    </row>
    <row r="159">
      <c r="A159" s="11" t="s">
        <v>365</v>
      </c>
      <c r="B159" s="12"/>
      <c r="C159" s="16" t="s">
        <v>9</v>
      </c>
      <c r="D159" s="11" t="s">
        <v>366</v>
      </c>
      <c r="E159" s="17"/>
      <c r="F159" s="15">
        <v>40899.0</v>
      </c>
    </row>
    <row r="160">
      <c r="A160" s="11" t="s">
        <v>367</v>
      </c>
      <c r="B160" s="13" t="s">
        <v>207</v>
      </c>
      <c r="C160" s="18" t="s">
        <v>9</v>
      </c>
      <c r="D160" s="11" t="s">
        <v>368</v>
      </c>
      <c r="E160" s="13" t="s">
        <v>369</v>
      </c>
      <c r="F160" s="22">
        <v>40960.0</v>
      </c>
    </row>
    <row r="161">
      <c r="A161" s="11" t="s">
        <v>370</v>
      </c>
      <c r="B161" s="12"/>
      <c r="C161" s="16" t="s">
        <v>9</v>
      </c>
      <c r="D161" s="11" t="s">
        <v>371</v>
      </c>
      <c r="E161" s="13" t="s">
        <v>15</v>
      </c>
      <c r="F161" s="15">
        <v>40894.0</v>
      </c>
    </row>
    <row r="162">
      <c r="A162" s="11" t="s">
        <v>372</v>
      </c>
      <c r="B162" s="12"/>
      <c r="C162" s="16" t="s">
        <v>9</v>
      </c>
      <c r="D162" s="11" t="s">
        <v>373</v>
      </c>
      <c r="E162" s="13" t="s">
        <v>374</v>
      </c>
      <c r="F162" s="15">
        <v>40897.0</v>
      </c>
    </row>
    <row r="163">
      <c r="A163" s="21" t="s">
        <v>372</v>
      </c>
      <c r="B163" s="13">
        <v>2.9</v>
      </c>
      <c r="C163" s="16" t="s">
        <v>9</v>
      </c>
      <c r="D163" s="11" t="s">
        <v>375</v>
      </c>
      <c r="E163" s="13" t="s">
        <v>348</v>
      </c>
      <c r="F163" s="22">
        <v>40967.0</v>
      </c>
    </row>
    <row r="164">
      <c r="A164" s="11" t="s">
        <v>376</v>
      </c>
      <c r="B164" s="12"/>
      <c r="C164" s="16" t="s">
        <v>9</v>
      </c>
      <c r="D164" s="14"/>
      <c r="E164" s="13" t="s">
        <v>66</v>
      </c>
      <c r="F164" s="15">
        <v>40881.0</v>
      </c>
    </row>
    <row r="165">
      <c r="A165" s="11" t="s">
        <v>377</v>
      </c>
      <c r="B165" s="12"/>
      <c r="C165" s="16" t="s">
        <v>9</v>
      </c>
      <c r="D165" s="11" t="s">
        <v>378</v>
      </c>
      <c r="E165" s="13" t="s">
        <v>379</v>
      </c>
      <c r="F165" s="15">
        <v>40894.0</v>
      </c>
    </row>
    <row r="166">
      <c r="A166" s="11" t="s">
        <v>380</v>
      </c>
      <c r="B166" s="12"/>
      <c r="C166" s="13" t="s">
        <v>19</v>
      </c>
      <c r="D166" s="11" t="s">
        <v>381</v>
      </c>
      <c r="E166" s="13" t="s">
        <v>382</v>
      </c>
      <c r="F166" s="15">
        <v>40900.0</v>
      </c>
    </row>
    <row r="167">
      <c r="A167" s="11" t="s">
        <v>383</v>
      </c>
      <c r="B167" s="12"/>
      <c r="C167" s="13" t="s">
        <v>19</v>
      </c>
      <c r="D167" s="11" t="s">
        <v>384</v>
      </c>
      <c r="E167" s="13" t="s">
        <v>66</v>
      </c>
      <c r="F167" s="15">
        <v>40905.0</v>
      </c>
    </row>
    <row r="168">
      <c r="A168" s="11" t="s">
        <v>385</v>
      </c>
      <c r="B168" s="12"/>
      <c r="C168" s="16" t="s">
        <v>9</v>
      </c>
      <c r="D168" s="11" t="s">
        <v>386</v>
      </c>
      <c r="E168" s="13" t="s">
        <v>387</v>
      </c>
      <c r="F168" s="15">
        <v>40896.0</v>
      </c>
    </row>
    <row r="169">
      <c r="A169" s="11" t="s">
        <v>388</v>
      </c>
      <c r="B169" s="12"/>
      <c r="C169" s="13" t="s">
        <v>9</v>
      </c>
      <c r="D169" s="11" t="s">
        <v>389</v>
      </c>
      <c r="E169" s="13" t="s">
        <v>23</v>
      </c>
      <c r="F169" s="15">
        <v>40926.0</v>
      </c>
    </row>
    <row r="170">
      <c r="A170" s="11" t="s">
        <v>390</v>
      </c>
      <c r="B170" s="12"/>
      <c r="C170" s="13" t="s">
        <v>9</v>
      </c>
      <c r="D170" s="11" t="s">
        <v>391</v>
      </c>
      <c r="E170" s="13" t="s">
        <v>392</v>
      </c>
      <c r="F170" s="15">
        <v>40937.0</v>
      </c>
    </row>
    <row r="171">
      <c r="A171" s="11" t="s">
        <v>393</v>
      </c>
      <c r="B171" s="12"/>
      <c r="C171" s="13" t="s">
        <v>9</v>
      </c>
      <c r="D171" s="11" t="s">
        <v>394</v>
      </c>
      <c r="E171" s="13" t="s">
        <v>54</v>
      </c>
      <c r="F171" s="15">
        <v>40951.0</v>
      </c>
    </row>
    <row r="172">
      <c r="A172" s="11" t="s">
        <v>395</v>
      </c>
      <c r="B172" s="12"/>
      <c r="C172" s="16" t="s">
        <v>9</v>
      </c>
      <c r="D172" s="11" t="s">
        <v>396</v>
      </c>
      <c r="E172" s="17"/>
      <c r="F172" s="20"/>
    </row>
    <row r="173">
      <c r="A173" s="11" t="s">
        <v>397</v>
      </c>
      <c r="B173" s="12"/>
      <c r="C173" s="16" t="s">
        <v>9</v>
      </c>
      <c r="D173" s="14"/>
      <c r="E173" s="13" t="s">
        <v>203</v>
      </c>
      <c r="F173" s="15">
        <v>40915.0</v>
      </c>
    </row>
    <row r="174">
      <c r="A174" s="11" t="s">
        <v>398</v>
      </c>
      <c r="B174" s="12"/>
      <c r="C174" s="16" t="s">
        <v>9</v>
      </c>
      <c r="D174" s="11" t="s">
        <v>399</v>
      </c>
      <c r="E174" s="13" t="s">
        <v>400</v>
      </c>
      <c r="F174" s="15">
        <v>40898.0</v>
      </c>
    </row>
    <row r="175">
      <c r="A175" s="11" t="s">
        <v>401</v>
      </c>
      <c r="B175" s="12"/>
      <c r="C175" s="16" t="s">
        <v>9</v>
      </c>
      <c r="D175" s="11" t="s">
        <v>402</v>
      </c>
      <c r="E175" s="13" t="s">
        <v>403</v>
      </c>
      <c r="F175" s="15">
        <v>40925.0</v>
      </c>
    </row>
    <row r="176">
      <c r="A176" s="11" t="s">
        <v>404</v>
      </c>
      <c r="B176" s="12"/>
      <c r="C176" s="16" t="s">
        <v>9</v>
      </c>
      <c r="D176" s="11" t="s">
        <v>405</v>
      </c>
      <c r="E176" s="13" t="s">
        <v>406</v>
      </c>
      <c r="F176" s="15">
        <v>40828.0</v>
      </c>
    </row>
    <row r="177">
      <c r="A177" s="21" t="s">
        <v>407</v>
      </c>
      <c r="B177" s="13" t="s">
        <v>286</v>
      </c>
      <c r="C177" s="18" t="s">
        <v>19</v>
      </c>
      <c r="D177" s="11" t="s">
        <v>408</v>
      </c>
      <c r="E177" s="13" t="s">
        <v>409</v>
      </c>
      <c r="F177" s="22">
        <v>40965.0</v>
      </c>
    </row>
    <row r="178">
      <c r="A178" s="5" t="s">
        <v>410</v>
      </c>
      <c r="B178" s="12"/>
      <c r="C178" s="7" t="s">
        <v>9</v>
      </c>
      <c r="D178" s="8" t="s">
        <v>411</v>
      </c>
      <c r="E178" s="9" t="s">
        <v>109</v>
      </c>
      <c r="F178" s="23">
        <v>41178.0</v>
      </c>
    </row>
    <row r="179">
      <c r="A179" s="11" t="s">
        <v>412</v>
      </c>
      <c r="B179" s="12"/>
      <c r="C179" s="16" t="s">
        <v>9</v>
      </c>
      <c r="D179" s="11" t="s">
        <v>413</v>
      </c>
      <c r="E179" s="13" t="s">
        <v>414</v>
      </c>
      <c r="F179" s="15">
        <v>40920.0</v>
      </c>
    </row>
    <row r="180">
      <c r="A180" s="11" t="s">
        <v>415</v>
      </c>
      <c r="B180" s="12"/>
      <c r="C180" s="13" t="s">
        <v>120</v>
      </c>
      <c r="D180" s="11" t="s">
        <v>416</v>
      </c>
      <c r="E180" s="13" t="s">
        <v>417</v>
      </c>
      <c r="F180" s="15">
        <v>40928.0</v>
      </c>
    </row>
    <row r="181">
      <c r="A181" s="11" t="s">
        <v>418</v>
      </c>
      <c r="B181" s="26" t="s">
        <v>419</v>
      </c>
      <c r="C181" s="18" t="s">
        <v>19</v>
      </c>
      <c r="D181" s="19" t="str">
        <f>HYPERLINK("http://idwaneo.org/repo","Open Cydia and add source http://idwaneo.org/repo, then search and install Bug Heroes Quest DLC.")</f>
        <v>Open Cydia and add source http://idwaneo.org/repo, then search and install Bug Heroes Quest DLC.</v>
      </c>
      <c r="E181" s="13" t="s">
        <v>335</v>
      </c>
      <c r="F181" s="22">
        <v>40961.0</v>
      </c>
    </row>
    <row r="182">
      <c r="A182" s="11" t="s">
        <v>420</v>
      </c>
      <c r="B182" s="12"/>
      <c r="C182" s="16" t="s">
        <v>9</v>
      </c>
      <c r="D182" s="11" t="s">
        <v>350</v>
      </c>
      <c r="E182" s="13" t="s">
        <v>34</v>
      </c>
      <c r="F182" s="15">
        <v>40945.0</v>
      </c>
    </row>
    <row r="183">
      <c r="A183" s="11" t="s">
        <v>421</v>
      </c>
      <c r="B183" s="12"/>
      <c r="C183" s="16" t="s">
        <v>9</v>
      </c>
      <c r="D183" s="14"/>
      <c r="E183" s="17"/>
      <c r="F183" s="15">
        <v>40884.0</v>
      </c>
    </row>
    <row r="184">
      <c r="A184" s="11" t="s">
        <v>422</v>
      </c>
      <c r="B184" s="12"/>
      <c r="C184" s="16" t="s">
        <v>9</v>
      </c>
      <c r="D184" s="14"/>
      <c r="E184" s="13" t="s">
        <v>156</v>
      </c>
      <c r="F184" s="15">
        <v>40923.0</v>
      </c>
    </row>
    <row r="185">
      <c r="A185" s="11" t="s">
        <v>423</v>
      </c>
      <c r="B185" s="12"/>
      <c r="C185" s="16" t="s">
        <v>9</v>
      </c>
      <c r="D185" s="14"/>
      <c r="E185" s="13" t="s">
        <v>264</v>
      </c>
      <c r="F185" s="15">
        <v>40888.0</v>
      </c>
    </row>
    <row r="186">
      <c r="A186" s="11" t="s">
        <v>424</v>
      </c>
      <c r="B186" s="12"/>
      <c r="C186" s="16" t="s">
        <v>9</v>
      </c>
      <c r="D186" s="11" t="s">
        <v>425</v>
      </c>
      <c r="E186" s="13" t="s">
        <v>426</v>
      </c>
      <c r="F186" s="15">
        <v>40913.0</v>
      </c>
    </row>
    <row r="187">
      <c r="A187" s="11" t="s">
        <v>427</v>
      </c>
      <c r="B187" s="12"/>
      <c r="C187" s="13" t="s">
        <v>9</v>
      </c>
      <c r="D187" s="11" t="s">
        <v>428</v>
      </c>
      <c r="E187" s="13" t="s">
        <v>429</v>
      </c>
      <c r="F187" s="15">
        <v>40935.0</v>
      </c>
    </row>
    <row r="188">
      <c r="A188" s="11" t="s">
        <v>430</v>
      </c>
      <c r="B188" s="12"/>
      <c r="C188" s="18" t="s">
        <v>19</v>
      </c>
      <c r="D188" s="11" t="s">
        <v>431</v>
      </c>
      <c r="E188" s="13" t="s">
        <v>432</v>
      </c>
      <c r="F188" s="15">
        <v>40931.0</v>
      </c>
    </row>
    <row r="189">
      <c r="A189" s="11" t="s">
        <v>433</v>
      </c>
      <c r="B189" s="12"/>
      <c r="C189" s="18" t="s">
        <v>19</v>
      </c>
      <c r="D189" s="11" t="s">
        <v>434</v>
      </c>
      <c r="E189" s="13" t="s">
        <v>435</v>
      </c>
      <c r="F189" s="15">
        <v>40885.0</v>
      </c>
    </row>
    <row r="190">
      <c r="A190" s="11" t="s">
        <v>436</v>
      </c>
      <c r="B190" s="12"/>
      <c r="C190" s="18" t="s">
        <v>19</v>
      </c>
      <c r="D190" s="11" t="s">
        <v>437</v>
      </c>
      <c r="E190" s="13" t="s">
        <v>438</v>
      </c>
      <c r="F190" s="15">
        <v>40938.0</v>
      </c>
    </row>
    <row r="191">
      <c r="A191" s="11" t="s">
        <v>439</v>
      </c>
      <c r="B191" s="12"/>
      <c r="C191" s="13" t="s">
        <v>9</v>
      </c>
      <c r="D191" s="11" t="s">
        <v>25</v>
      </c>
      <c r="E191" s="13" t="s">
        <v>26</v>
      </c>
      <c r="F191" s="15">
        <v>40914.0</v>
      </c>
    </row>
    <row r="192">
      <c r="A192" s="11" t="s">
        <v>440</v>
      </c>
      <c r="B192" s="12"/>
      <c r="C192" s="13" t="s">
        <v>19</v>
      </c>
      <c r="D192" s="14"/>
      <c r="E192" s="13" t="s">
        <v>414</v>
      </c>
      <c r="F192" s="15">
        <v>40923.0</v>
      </c>
    </row>
    <row r="193">
      <c r="A193" s="11" t="s">
        <v>441</v>
      </c>
      <c r="B193" s="12"/>
      <c r="C193" s="16" t="s">
        <v>9</v>
      </c>
      <c r="D193" s="11" t="s">
        <v>442</v>
      </c>
      <c r="E193" s="17"/>
      <c r="F193" s="15">
        <v>40912.0</v>
      </c>
    </row>
    <row r="194">
      <c r="A194" s="11" t="s">
        <v>443</v>
      </c>
      <c r="B194" s="12"/>
      <c r="C194" s="13" t="s">
        <v>9</v>
      </c>
      <c r="D194" s="11" t="s">
        <v>444</v>
      </c>
      <c r="E194" s="13" t="s">
        <v>50</v>
      </c>
      <c r="F194" s="15">
        <v>40902.0</v>
      </c>
    </row>
    <row r="195">
      <c r="A195" s="5" t="s">
        <v>445</v>
      </c>
      <c r="B195" s="6">
        <v>1.1</v>
      </c>
      <c r="C195" s="27" t="s">
        <v>19</v>
      </c>
      <c r="D195" s="14"/>
      <c r="E195" s="6" t="s">
        <v>446</v>
      </c>
      <c r="F195" s="34">
        <v>41041.0</v>
      </c>
    </row>
    <row r="196">
      <c r="A196" s="11" t="s">
        <v>447</v>
      </c>
      <c r="B196" s="12"/>
      <c r="C196" s="16" t="s">
        <v>9</v>
      </c>
      <c r="D196" s="14"/>
      <c r="E196" s="17"/>
      <c r="F196" s="15">
        <v>40871.0</v>
      </c>
    </row>
    <row r="197">
      <c r="A197" s="11" t="s">
        <v>448</v>
      </c>
      <c r="B197" s="12"/>
      <c r="C197" s="16" t="s">
        <v>9</v>
      </c>
      <c r="D197" s="11" t="s">
        <v>449</v>
      </c>
      <c r="E197" s="13" t="s">
        <v>450</v>
      </c>
      <c r="F197" s="15">
        <v>40925.0</v>
      </c>
    </row>
    <row r="198">
      <c r="A198" s="11" t="s">
        <v>451</v>
      </c>
      <c r="B198" s="12"/>
      <c r="C198" s="16" t="s">
        <v>9</v>
      </c>
      <c r="D198" s="11" t="s">
        <v>452</v>
      </c>
      <c r="E198" s="13" t="s">
        <v>453</v>
      </c>
      <c r="F198" s="15">
        <v>40894.0</v>
      </c>
    </row>
    <row r="199">
      <c r="A199" s="11" t="s">
        <v>454</v>
      </c>
      <c r="B199" s="12"/>
      <c r="C199" s="16" t="s">
        <v>9</v>
      </c>
      <c r="D199" s="14"/>
      <c r="E199" s="13" t="s">
        <v>72</v>
      </c>
      <c r="F199" s="15">
        <v>40922.0</v>
      </c>
    </row>
    <row r="200">
      <c r="A200" s="11" t="s">
        <v>455</v>
      </c>
      <c r="B200" s="12"/>
      <c r="C200" s="16" t="s">
        <v>9</v>
      </c>
      <c r="D200" s="11" t="s">
        <v>456</v>
      </c>
      <c r="E200" s="13" t="s">
        <v>457</v>
      </c>
      <c r="F200" s="15">
        <v>40908.0</v>
      </c>
    </row>
    <row r="201">
      <c r="A201" s="11" t="s">
        <v>458</v>
      </c>
      <c r="B201" s="12"/>
      <c r="C201" s="16" t="s">
        <v>9</v>
      </c>
      <c r="D201" s="11" t="s">
        <v>459</v>
      </c>
      <c r="E201" s="13" t="s">
        <v>129</v>
      </c>
      <c r="F201" s="15">
        <v>40953.0</v>
      </c>
    </row>
    <row r="202">
      <c r="A202" s="11" t="s">
        <v>460</v>
      </c>
      <c r="B202" s="12"/>
      <c r="C202" s="13" t="s">
        <v>9</v>
      </c>
      <c r="D202" s="11" t="s">
        <v>350</v>
      </c>
      <c r="E202" s="13" t="s">
        <v>461</v>
      </c>
      <c r="F202" s="15">
        <v>40946.0</v>
      </c>
    </row>
    <row r="203">
      <c r="A203" s="11" t="s">
        <v>462</v>
      </c>
      <c r="B203" s="13">
        <v>8.01</v>
      </c>
      <c r="C203" s="13" t="s">
        <v>9</v>
      </c>
      <c r="D203" s="11" t="s">
        <v>463</v>
      </c>
      <c r="E203" s="13" t="s">
        <v>464</v>
      </c>
      <c r="F203" s="22">
        <v>40959.0</v>
      </c>
    </row>
    <row r="204">
      <c r="A204" s="11" t="s">
        <v>465</v>
      </c>
      <c r="B204" s="12"/>
      <c r="C204" s="16" t="s">
        <v>9</v>
      </c>
      <c r="D204" s="14"/>
      <c r="E204" s="13" t="s">
        <v>466</v>
      </c>
      <c r="F204" s="15">
        <v>40952.0</v>
      </c>
    </row>
    <row r="205">
      <c r="A205" s="11" t="s">
        <v>467</v>
      </c>
      <c r="B205" s="12"/>
      <c r="C205" s="16" t="s">
        <v>9</v>
      </c>
      <c r="D205" s="11" t="s">
        <v>468</v>
      </c>
      <c r="E205" s="13">
        <v>4004.0</v>
      </c>
      <c r="F205" s="15">
        <v>40920.0</v>
      </c>
    </row>
    <row r="206">
      <c r="A206" s="11" t="s">
        <v>469</v>
      </c>
      <c r="B206" s="12"/>
      <c r="C206" s="13" t="s">
        <v>9</v>
      </c>
      <c r="D206" s="11" t="s">
        <v>470</v>
      </c>
      <c r="E206" s="13" t="s">
        <v>471</v>
      </c>
      <c r="F206" s="15">
        <v>40897.0</v>
      </c>
    </row>
    <row r="207">
      <c r="A207" s="11" t="s">
        <v>472</v>
      </c>
      <c r="B207" s="12"/>
      <c r="C207" s="16" t="s">
        <v>19</v>
      </c>
      <c r="D207" s="14"/>
      <c r="E207" s="13" t="s">
        <v>66</v>
      </c>
      <c r="F207" s="15">
        <v>40917.0</v>
      </c>
    </row>
    <row r="208">
      <c r="A208" s="11" t="s">
        <v>473</v>
      </c>
      <c r="B208" s="12"/>
      <c r="C208" s="13" t="s">
        <v>9</v>
      </c>
      <c r="D208" s="14"/>
      <c r="E208" s="13" t="s">
        <v>474</v>
      </c>
      <c r="F208" s="15">
        <v>40916.0</v>
      </c>
    </row>
    <row r="209">
      <c r="A209" s="5" t="s">
        <v>475</v>
      </c>
      <c r="B209" s="6" t="s">
        <v>142</v>
      </c>
      <c r="C209" s="7" t="s">
        <v>9</v>
      </c>
      <c r="D209" s="8" t="s">
        <v>476</v>
      </c>
      <c r="E209" s="9" t="s">
        <v>144</v>
      </c>
      <c r="F209" s="23">
        <v>41161.0</v>
      </c>
    </row>
    <row r="210">
      <c r="A210" s="11" t="s">
        <v>477</v>
      </c>
      <c r="B210" s="12"/>
      <c r="C210" s="16" t="s">
        <v>9</v>
      </c>
      <c r="D210" s="11" t="s">
        <v>478</v>
      </c>
      <c r="E210" s="13" t="s">
        <v>479</v>
      </c>
      <c r="F210" s="15">
        <v>40918.0</v>
      </c>
    </row>
    <row r="211">
      <c r="A211" s="35" t="s">
        <v>480</v>
      </c>
      <c r="B211" s="6" t="s">
        <v>481</v>
      </c>
      <c r="C211" s="36" t="s">
        <v>9</v>
      </c>
      <c r="D211" s="8" t="s">
        <v>476</v>
      </c>
      <c r="E211" s="9" t="s">
        <v>144</v>
      </c>
      <c r="F211" s="23">
        <v>41161.0</v>
      </c>
    </row>
    <row r="212">
      <c r="A212" s="11" t="s">
        <v>482</v>
      </c>
      <c r="B212" s="12"/>
      <c r="C212" s="13" t="s">
        <v>19</v>
      </c>
      <c r="D212" s="19" t="str">
        <f>HYPERLINK("http://apptrackr.org/?act=viewapp&amp;appid=396837225","Download old version here, use iap cracker, then update the game to the latest version.")</f>
        <v>Download old version here, use iap cracker, then update the game to the latest version.</v>
      </c>
      <c r="E212" s="13" t="s">
        <v>483</v>
      </c>
      <c r="F212" s="15">
        <v>40945.0</v>
      </c>
    </row>
    <row r="213">
      <c r="A213" s="11" t="s">
        <v>484</v>
      </c>
      <c r="B213" s="12"/>
      <c r="C213" s="16" t="s">
        <v>9</v>
      </c>
      <c r="D213" s="11" t="s">
        <v>485</v>
      </c>
      <c r="E213" s="13" t="s">
        <v>66</v>
      </c>
      <c r="F213" s="15">
        <v>40885.0</v>
      </c>
    </row>
    <row r="214">
      <c r="A214" s="11" t="s">
        <v>486</v>
      </c>
      <c r="B214" s="12"/>
      <c r="C214" s="18" t="s">
        <v>19</v>
      </c>
      <c r="D214" s="11" t="s">
        <v>487</v>
      </c>
      <c r="E214" s="13" t="s">
        <v>488</v>
      </c>
      <c r="F214" s="15">
        <v>40877.0</v>
      </c>
    </row>
    <row r="215">
      <c r="A215" s="11" t="s">
        <v>489</v>
      </c>
      <c r="B215" s="12"/>
      <c r="C215" s="18" t="s">
        <v>19</v>
      </c>
      <c r="D215" s="11" t="s">
        <v>490</v>
      </c>
      <c r="E215" s="13" t="s">
        <v>491</v>
      </c>
      <c r="F215" s="15">
        <v>40890.0</v>
      </c>
    </row>
    <row r="216">
      <c r="A216" s="11" t="s">
        <v>492</v>
      </c>
      <c r="B216" s="12"/>
      <c r="C216" s="18" t="s">
        <v>19</v>
      </c>
      <c r="D216" s="19" t="str">
        <f>HYPERLINK("http://xsellize.com/topic/178143-castle-kingdom-hacks/","Castle Kingdom Hacks are Here.")</f>
        <v>Castle Kingdom Hacks are Here.</v>
      </c>
      <c r="E216" s="13" t="s">
        <v>335</v>
      </c>
      <c r="F216" s="15">
        <v>40939.0</v>
      </c>
    </row>
    <row r="217">
      <c r="A217" s="11" t="s">
        <v>493</v>
      </c>
      <c r="B217" s="13" t="s">
        <v>494</v>
      </c>
      <c r="C217" s="16" t="s">
        <v>9</v>
      </c>
      <c r="D217" s="11" t="s">
        <v>495</v>
      </c>
      <c r="E217" s="13" t="s">
        <v>496</v>
      </c>
      <c r="F217" s="22">
        <v>40959.0</v>
      </c>
    </row>
    <row r="218">
      <c r="A218" s="11" t="s">
        <v>497</v>
      </c>
      <c r="B218" s="12"/>
      <c r="C218" s="13" t="s">
        <v>9</v>
      </c>
      <c r="D218" s="11" t="s">
        <v>498</v>
      </c>
      <c r="E218" s="13" t="s">
        <v>72</v>
      </c>
      <c r="F218" s="15">
        <v>40922.0</v>
      </c>
    </row>
    <row r="219">
      <c r="A219" s="11" t="s">
        <v>499</v>
      </c>
      <c r="B219" s="13" t="s">
        <v>500</v>
      </c>
      <c r="C219" s="16" t="s">
        <v>19</v>
      </c>
      <c r="D219" s="14"/>
      <c r="E219" s="13" t="s">
        <v>279</v>
      </c>
      <c r="F219" s="15">
        <v>40946.0</v>
      </c>
    </row>
    <row r="220">
      <c r="A220" s="11" t="s">
        <v>501</v>
      </c>
      <c r="B220" s="12"/>
      <c r="C220" s="18" t="s">
        <v>19</v>
      </c>
      <c r="D220" s="11" t="s">
        <v>502</v>
      </c>
      <c r="E220" s="17"/>
      <c r="F220" s="15">
        <v>40936.0</v>
      </c>
    </row>
    <row r="221">
      <c r="A221" s="11" t="s">
        <v>503</v>
      </c>
      <c r="B221" s="12"/>
      <c r="C221" s="13" t="s">
        <v>9</v>
      </c>
      <c r="D221" s="14"/>
      <c r="E221" s="13" t="s">
        <v>287</v>
      </c>
      <c r="F221" s="20"/>
    </row>
    <row r="222">
      <c r="A222" s="11" t="s">
        <v>504</v>
      </c>
      <c r="B222" s="12"/>
      <c r="C222" s="18" t="s">
        <v>19</v>
      </c>
      <c r="D222" s="11" t="s">
        <v>505</v>
      </c>
      <c r="E222" s="17"/>
      <c r="F222" s="15">
        <v>40880.0</v>
      </c>
    </row>
    <row r="223">
      <c r="A223" s="11" t="s">
        <v>506</v>
      </c>
      <c r="B223" s="12"/>
      <c r="C223" s="13" t="s">
        <v>19</v>
      </c>
      <c r="D223" s="19" t="str">
        <f>HYPERLINK("http://www.icheats.org/forum/index.php?/forum/85-post-your-own-modcheat/","Coins Hack here. ")</f>
        <v>Coins Hack here. </v>
      </c>
      <c r="E223" s="13" t="s">
        <v>414</v>
      </c>
      <c r="F223" s="15">
        <v>40921.0</v>
      </c>
    </row>
    <row r="224">
      <c r="A224" s="29" t="s">
        <v>507</v>
      </c>
      <c r="B224" s="12"/>
      <c r="C224" s="27" t="s">
        <v>19</v>
      </c>
      <c r="D224" s="8" t="s">
        <v>508</v>
      </c>
      <c r="E224" s="6" t="s">
        <v>509</v>
      </c>
      <c r="F224" s="28">
        <v>41005.0</v>
      </c>
    </row>
    <row r="225">
      <c r="A225" s="29" t="s">
        <v>507</v>
      </c>
      <c r="B225" s="12"/>
      <c r="C225" s="27" t="s">
        <v>19</v>
      </c>
      <c r="D225" s="8" t="s">
        <v>508</v>
      </c>
      <c r="E225" s="6" t="s">
        <v>274</v>
      </c>
      <c r="F225" s="28">
        <v>41005.0</v>
      </c>
    </row>
    <row r="226">
      <c r="A226" s="11" t="s">
        <v>507</v>
      </c>
      <c r="B226" s="12"/>
      <c r="C226" s="18" t="s">
        <v>19</v>
      </c>
      <c r="D226" s="8" t="s">
        <v>508</v>
      </c>
      <c r="E226" s="13" t="s">
        <v>510</v>
      </c>
      <c r="F226" s="15">
        <v>41005.0</v>
      </c>
    </row>
    <row r="227">
      <c r="A227" s="5" t="s">
        <v>511</v>
      </c>
      <c r="B227" s="6" t="s">
        <v>286</v>
      </c>
      <c r="C227" s="7" t="s">
        <v>9</v>
      </c>
      <c r="D227" s="8" t="s">
        <v>512</v>
      </c>
      <c r="E227" s="17"/>
      <c r="F227" s="28">
        <v>41104.0</v>
      </c>
    </row>
    <row r="228">
      <c r="A228" s="5" t="s">
        <v>513</v>
      </c>
      <c r="B228" s="6">
        <v>1.6</v>
      </c>
      <c r="C228" s="13" t="s">
        <v>9</v>
      </c>
      <c r="D228" s="8" t="s">
        <v>514</v>
      </c>
      <c r="E228" s="9" t="s">
        <v>515</v>
      </c>
      <c r="F228" s="10">
        <v>41043.0</v>
      </c>
    </row>
    <row r="229">
      <c r="A229" s="11" t="s">
        <v>516</v>
      </c>
      <c r="B229" s="12"/>
      <c r="C229" s="13" t="s">
        <v>19</v>
      </c>
      <c r="D229" s="11" t="s">
        <v>517</v>
      </c>
      <c r="E229" s="13" t="s">
        <v>518</v>
      </c>
      <c r="F229" s="15">
        <v>40910.0</v>
      </c>
    </row>
    <row r="230">
      <c r="A230" s="11" t="s">
        <v>519</v>
      </c>
      <c r="B230" s="12"/>
      <c r="C230" s="18" t="s">
        <v>19</v>
      </c>
      <c r="D230" s="11" t="s">
        <v>520</v>
      </c>
      <c r="E230" s="13" t="s">
        <v>521</v>
      </c>
      <c r="F230" s="15">
        <v>40920.0</v>
      </c>
    </row>
    <row r="231">
      <c r="A231" s="11" t="s">
        <v>522</v>
      </c>
      <c r="B231" s="12"/>
      <c r="C231" s="13" t="s">
        <v>9</v>
      </c>
      <c r="D231" s="11" t="s">
        <v>523</v>
      </c>
      <c r="E231" s="13" t="s">
        <v>79</v>
      </c>
      <c r="F231" s="15">
        <v>41041.0</v>
      </c>
    </row>
    <row r="232">
      <c r="A232" s="11" t="s">
        <v>524</v>
      </c>
      <c r="B232" s="12"/>
      <c r="C232" s="13" t="s">
        <v>9</v>
      </c>
      <c r="D232" s="11" t="s">
        <v>525</v>
      </c>
      <c r="E232" s="13" t="s">
        <v>203</v>
      </c>
      <c r="F232" s="15">
        <v>40915.0</v>
      </c>
    </row>
    <row r="233">
      <c r="A233" s="11" t="s">
        <v>526</v>
      </c>
      <c r="B233" s="13" t="s">
        <v>8</v>
      </c>
      <c r="C233" s="13" t="s">
        <v>19</v>
      </c>
      <c r="D233" s="19" t="str">
        <f>HYPERLINK("http://www.icheats.org/forum/index.php?/topic/5466-sav-chinese-zombies-vs-ninja-hack-v10/","888888 EVERYTHING HACK .")</f>
        <v>888888 EVERYTHING HACK .</v>
      </c>
      <c r="E233" s="13" t="s">
        <v>335</v>
      </c>
      <c r="F233" s="22">
        <v>40961.0</v>
      </c>
    </row>
    <row r="234">
      <c r="A234" s="11" t="s">
        <v>527</v>
      </c>
      <c r="B234" s="12"/>
      <c r="C234" s="18" t="s">
        <v>19</v>
      </c>
      <c r="D234" s="11" t="s">
        <v>528</v>
      </c>
      <c r="E234" s="13" t="s">
        <v>115</v>
      </c>
      <c r="F234" s="15">
        <v>40935.0</v>
      </c>
    </row>
    <row r="235">
      <c r="A235" s="11" t="s">
        <v>529</v>
      </c>
      <c r="B235" s="12"/>
      <c r="C235" s="18" t="s">
        <v>19</v>
      </c>
      <c r="D235" s="11" t="s">
        <v>530</v>
      </c>
      <c r="E235" s="13" t="s">
        <v>531</v>
      </c>
      <c r="F235" s="15">
        <v>40920.0</v>
      </c>
    </row>
    <row r="236">
      <c r="A236" s="11" t="s">
        <v>532</v>
      </c>
      <c r="B236" s="12"/>
      <c r="C236" s="16" t="s">
        <v>9</v>
      </c>
      <c r="D236" s="11" t="s">
        <v>533</v>
      </c>
      <c r="E236" s="13" t="s">
        <v>387</v>
      </c>
      <c r="F236" s="15">
        <v>40896.0</v>
      </c>
    </row>
    <row r="237">
      <c r="A237" s="11" t="s">
        <v>534</v>
      </c>
      <c r="B237" s="12"/>
      <c r="C237" s="16" t="s">
        <v>9</v>
      </c>
      <c r="D237" s="14"/>
      <c r="E237" s="13" t="s">
        <v>271</v>
      </c>
      <c r="F237" s="15">
        <v>40793.0</v>
      </c>
    </row>
    <row r="238">
      <c r="A238" s="11" t="s">
        <v>535</v>
      </c>
      <c r="B238" s="12"/>
      <c r="C238" s="16" t="s">
        <v>9</v>
      </c>
      <c r="D238" s="11" t="s">
        <v>536</v>
      </c>
      <c r="E238" s="13" t="s">
        <v>521</v>
      </c>
      <c r="F238" s="15">
        <v>40920.0</v>
      </c>
    </row>
    <row r="239">
      <c r="A239" s="21" t="s">
        <v>537</v>
      </c>
      <c r="B239" s="26" t="s">
        <v>538</v>
      </c>
      <c r="C239" s="13" t="s">
        <v>19</v>
      </c>
      <c r="D239" s="11" t="s">
        <v>539</v>
      </c>
      <c r="E239" s="13" t="s">
        <v>540</v>
      </c>
      <c r="F239" s="22">
        <v>40963.0</v>
      </c>
    </row>
    <row r="240">
      <c r="A240" s="11" t="s">
        <v>541</v>
      </c>
      <c r="B240" s="12"/>
      <c r="C240" s="16" t="s">
        <v>9</v>
      </c>
      <c r="D240" s="11" t="s">
        <v>542</v>
      </c>
      <c r="E240" s="13" t="s">
        <v>543</v>
      </c>
      <c r="F240" s="20"/>
    </row>
    <row r="241">
      <c r="A241" s="11" t="s">
        <v>544</v>
      </c>
      <c r="B241" s="12"/>
      <c r="C241" s="13" t="s">
        <v>19</v>
      </c>
      <c r="D241" s="11" t="s">
        <v>545</v>
      </c>
      <c r="E241" s="13" t="s">
        <v>546</v>
      </c>
      <c r="F241" s="15">
        <v>40950.0</v>
      </c>
    </row>
    <row r="242">
      <c r="A242" s="11" t="s">
        <v>547</v>
      </c>
      <c r="B242" s="12"/>
      <c r="C242" s="16" t="s">
        <v>19</v>
      </c>
      <c r="D242" s="11" t="s">
        <v>548</v>
      </c>
      <c r="E242" s="13" t="s">
        <v>540</v>
      </c>
      <c r="F242" s="15">
        <v>40951.0</v>
      </c>
    </row>
    <row r="243">
      <c r="A243" s="11" t="s">
        <v>547</v>
      </c>
      <c r="B243" s="12"/>
      <c r="C243" s="18" t="s">
        <v>549</v>
      </c>
      <c r="D243" s="14"/>
      <c r="E243" s="17"/>
      <c r="F243" s="20"/>
    </row>
    <row r="244">
      <c r="A244" s="11" t="s">
        <v>550</v>
      </c>
      <c r="B244" s="12"/>
      <c r="C244" s="18" t="s">
        <v>19</v>
      </c>
      <c r="D244" s="14"/>
      <c r="E244" s="13" t="s">
        <v>551</v>
      </c>
      <c r="F244" s="15">
        <v>40892.0</v>
      </c>
    </row>
    <row r="245">
      <c r="A245" s="5" t="s">
        <v>552</v>
      </c>
      <c r="B245" s="12"/>
      <c r="C245" s="27" t="s">
        <v>19</v>
      </c>
      <c r="D245" s="8" t="s">
        <v>553</v>
      </c>
      <c r="E245" s="9" t="s">
        <v>554</v>
      </c>
      <c r="F245" s="23">
        <v>41162.0</v>
      </c>
    </row>
    <row r="246">
      <c r="A246" s="5" t="s">
        <v>555</v>
      </c>
      <c r="B246" s="12"/>
      <c r="C246" s="27" t="s">
        <v>19</v>
      </c>
      <c r="D246" s="8" t="s">
        <v>556</v>
      </c>
      <c r="E246" s="9" t="s">
        <v>554</v>
      </c>
      <c r="F246" s="23">
        <v>41168.0</v>
      </c>
    </row>
    <row r="247">
      <c r="A247" s="11" t="s">
        <v>557</v>
      </c>
      <c r="B247" s="12"/>
      <c r="C247" s="13" t="s">
        <v>9</v>
      </c>
      <c r="D247" s="11" t="s">
        <v>558</v>
      </c>
      <c r="E247" s="13" t="s">
        <v>559</v>
      </c>
      <c r="F247" s="15">
        <v>40888.0</v>
      </c>
    </row>
    <row r="248">
      <c r="A248" s="21" t="s">
        <v>560</v>
      </c>
      <c r="B248" s="26" t="s">
        <v>8</v>
      </c>
      <c r="C248" s="18" t="s">
        <v>19</v>
      </c>
      <c r="D248" s="11" t="s">
        <v>561</v>
      </c>
      <c r="E248" s="17"/>
      <c r="F248" s="22">
        <v>40962.0</v>
      </c>
    </row>
    <row r="249">
      <c r="A249" s="21" t="s">
        <v>562</v>
      </c>
      <c r="B249" s="13" t="s">
        <v>201</v>
      </c>
      <c r="C249" s="13" t="s">
        <v>9</v>
      </c>
      <c r="D249" s="11" t="s">
        <v>563</v>
      </c>
      <c r="E249" s="13" t="s">
        <v>564</v>
      </c>
      <c r="F249" s="15">
        <v>40973.0</v>
      </c>
    </row>
    <row r="250">
      <c r="A250" s="11" t="s">
        <v>565</v>
      </c>
      <c r="B250" s="12"/>
      <c r="C250" s="13" t="s">
        <v>9</v>
      </c>
      <c r="D250" s="11" t="s">
        <v>566</v>
      </c>
      <c r="E250" s="13" t="s">
        <v>72</v>
      </c>
      <c r="F250" s="15">
        <v>40918.0</v>
      </c>
    </row>
    <row r="251">
      <c r="A251" s="11" t="s">
        <v>567</v>
      </c>
      <c r="B251" s="12"/>
      <c r="C251" s="16" t="s">
        <v>9</v>
      </c>
      <c r="D251" s="14"/>
      <c r="E251" s="13" t="s">
        <v>96</v>
      </c>
      <c r="F251" s="15">
        <v>40871.0</v>
      </c>
    </row>
    <row r="252">
      <c r="A252" s="5" t="s">
        <v>568</v>
      </c>
      <c r="B252" s="12"/>
      <c r="C252" s="27" t="s">
        <v>19</v>
      </c>
      <c r="D252" s="8" t="s">
        <v>569</v>
      </c>
      <c r="E252" s="9" t="s">
        <v>570</v>
      </c>
      <c r="F252" s="23">
        <v>41170.0</v>
      </c>
    </row>
    <row r="253">
      <c r="A253" s="11" t="s">
        <v>571</v>
      </c>
      <c r="B253" s="12"/>
      <c r="C253" s="16" t="s">
        <v>9</v>
      </c>
      <c r="D253" s="11" t="s">
        <v>572</v>
      </c>
      <c r="E253" s="13" t="s">
        <v>15</v>
      </c>
      <c r="F253" s="15">
        <v>40890.0</v>
      </c>
    </row>
    <row r="254">
      <c r="A254" s="11" t="s">
        <v>573</v>
      </c>
      <c r="B254" s="12"/>
      <c r="C254" s="16" t="s">
        <v>9</v>
      </c>
      <c r="D254" s="14"/>
      <c r="E254" s="13" t="s">
        <v>574</v>
      </c>
      <c r="F254" s="15">
        <v>40793.6236111111</v>
      </c>
    </row>
    <row r="255">
      <c r="A255" s="11" t="s">
        <v>575</v>
      </c>
      <c r="B255" s="12"/>
      <c r="C255" s="16" t="s">
        <v>9</v>
      </c>
      <c r="D255" s="11" t="s">
        <v>576</v>
      </c>
      <c r="E255" s="13" t="s">
        <v>66</v>
      </c>
      <c r="F255" s="15">
        <v>40889.0</v>
      </c>
    </row>
    <row r="256">
      <c r="A256" s="11" t="s">
        <v>577</v>
      </c>
      <c r="B256" s="12"/>
      <c r="C256" s="13" t="s">
        <v>9</v>
      </c>
      <c r="D256" s="14"/>
      <c r="E256" s="17"/>
      <c r="F256" s="20"/>
    </row>
    <row r="257">
      <c r="A257" s="11" t="s">
        <v>578</v>
      </c>
      <c r="B257" s="13">
        <v>1.331</v>
      </c>
      <c r="C257" s="16" t="s">
        <v>9</v>
      </c>
      <c r="D257" s="11" t="s">
        <v>579</v>
      </c>
      <c r="E257" s="13" t="s">
        <v>409</v>
      </c>
      <c r="F257" s="22">
        <v>40957.0</v>
      </c>
    </row>
    <row r="258">
      <c r="A258" s="11" t="s">
        <v>580</v>
      </c>
      <c r="B258" s="12"/>
      <c r="C258" s="13" t="s">
        <v>19</v>
      </c>
      <c r="D258" s="11" t="s">
        <v>581</v>
      </c>
      <c r="E258" s="13" t="s">
        <v>156</v>
      </c>
      <c r="F258" s="15">
        <v>40901.0</v>
      </c>
    </row>
    <row r="259">
      <c r="A259" s="11" t="s">
        <v>582</v>
      </c>
      <c r="B259" s="12"/>
      <c r="C259" s="18" t="s">
        <v>19</v>
      </c>
      <c r="D259" s="11" t="s">
        <v>583</v>
      </c>
      <c r="E259" s="13" t="s">
        <v>106</v>
      </c>
      <c r="F259" s="15">
        <v>40923.0</v>
      </c>
    </row>
    <row r="260">
      <c r="A260" s="11" t="s">
        <v>584</v>
      </c>
      <c r="B260" s="12"/>
      <c r="C260" s="18" t="s">
        <v>19</v>
      </c>
      <c r="D260" s="14"/>
      <c r="E260" s="13" t="s">
        <v>585</v>
      </c>
      <c r="F260" s="15">
        <v>40904.0</v>
      </c>
    </row>
    <row r="261">
      <c r="A261" s="11" t="s">
        <v>586</v>
      </c>
      <c r="B261" s="12"/>
      <c r="C261" s="18" t="s">
        <v>19</v>
      </c>
      <c r="D261" s="14"/>
      <c r="E261" s="13" t="s">
        <v>189</v>
      </c>
      <c r="F261" s="15">
        <v>40793.7743055556</v>
      </c>
    </row>
    <row r="262">
      <c r="A262" s="11" t="s">
        <v>587</v>
      </c>
      <c r="B262" s="12"/>
      <c r="C262" s="13" t="s">
        <v>9</v>
      </c>
      <c r="D262" s="11" t="s">
        <v>588</v>
      </c>
      <c r="E262" s="13" t="s">
        <v>589</v>
      </c>
      <c r="F262" s="15">
        <v>40918.0</v>
      </c>
    </row>
    <row r="263">
      <c r="A263" s="11" t="s">
        <v>590</v>
      </c>
      <c r="B263" s="12"/>
      <c r="C263" s="16" t="s">
        <v>9</v>
      </c>
      <c r="D263" s="11" t="s">
        <v>591</v>
      </c>
      <c r="E263" s="13" t="s">
        <v>592</v>
      </c>
      <c r="F263" s="15">
        <v>40885.0</v>
      </c>
    </row>
    <row r="264">
      <c r="A264" s="11" t="s">
        <v>593</v>
      </c>
      <c r="B264" s="12"/>
      <c r="C264" s="18" t="s">
        <v>19</v>
      </c>
      <c r="D264" s="11" t="s">
        <v>528</v>
      </c>
      <c r="E264" s="13" t="s">
        <v>115</v>
      </c>
      <c r="F264" s="15">
        <v>40925.0</v>
      </c>
    </row>
    <row r="265">
      <c r="A265" s="11" t="s">
        <v>594</v>
      </c>
      <c r="B265" s="12"/>
      <c r="C265" s="13" t="s">
        <v>9</v>
      </c>
      <c r="D265" s="11" t="s">
        <v>595</v>
      </c>
      <c r="E265" s="13" t="s">
        <v>596</v>
      </c>
      <c r="F265" s="15">
        <v>40901.0</v>
      </c>
    </row>
    <row r="266">
      <c r="A266" s="11" t="s">
        <v>597</v>
      </c>
      <c r="B266" s="12"/>
      <c r="C266" s="13" t="s">
        <v>19</v>
      </c>
      <c r="D266" s="11" t="s">
        <v>598</v>
      </c>
      <c r="E266" s="17"/>
      <c r="F266" s="20"/>
    </row>
    <row r="267">
      <c r="A267" s="11" t="s">
        <v>599</v>
      </c>
      <c r="B267" s="12"/>
      <c r="C267" s="16" t="s">
        <v>9</v>
      </c>
      <c r="D267" s="11" t="s">
        <v>600</v>
      </c>
      <c r="E267" s="17"/>
      <c r="F267" s="20"/>
    </row>
    <row r="268">
      <c r="A268" s="11" t="s">
        <v>601</v>
      </c>
      <c r="B268" s="12"/>
      <c r="C268" s="16" t="s">
        <v>9</v>
      </c>
      <c r="D268" s="11" t="s">
        <v>602</v>
      </c>
      <c r="E268" s="13" t="s">
        <v>603</v>
      </c>
      <c r="F268" s="15">
        <v>40888.0</v>
      </c>
    </row>
    <row r="269">
      <c r="A269" s="11" t="s">
        <v>604</v>
      </c>
      <c r="B269" s="12"/>
      <c r="C269" s="16" t="s">
        <v>9</v>
      </c>
      <c r="D269" s="11" t="s">
        <v>605</v>
      </c>
      <c r="E269" s="13" t="s">
        <v>606</v>
      </c>
      <c r="F269" s="15">
        <v>40904.0</v>
      </c>
    </row>
    <row r="270">
      <c r="A270" s="11" t="s">
        <v>607</v>
      </c>
      <c r="B270" s="12"/>
      <c r="C270" s="13" t="s">
        <v>9</v>
      </c>
      <c r="D270" s="11" t="s">
        <v>608</v>
      </c>
      <c r="E270" s="13" t="s">
        <v>50</v>
      </c>
      <c r="F270" s="15">
        <v>40902.0</v>
      </c>
    </row>
    <row r="271">
      <c r="A271" s="11" t="s">
        <v>609</v>
      </c>
      <c r="B271" s="12"/>
      <c r="C271" s="13" t="s">
        <v>9</v>
      </c>
      <c r="D271" s="11" t="s">
        <v>610</v>
      </c>
      <c r="E271" s="13" t="s">
        <v>66</v>
      </c>
      <c r="F271" s="15">
        <v>40905.0</v>
      </c>
    </row>
    <row r="272">
      <c r="A272" s="11" t="s">
        <v>611</v>
      </c>
      <c r="B272" s="12"/>
      <c r="C272" s="18" t="s">
        <v>19</v>
      </c>
      <c r="D272" s="11" t="s">
        <v>612</v>
      </c>
      <c r="E272" s="13" t="s">
        <v>315</v>
      </c>
      <c r="F272" s="15">
        <v>40907.0</v>
      </c>
    </row>
    <row r="273">
      <c r="A273" s="11" t="s">
        <v>613</v>
      </c>
      <c r="B273" s="12"/>
      <c r="C273" s="13" t="s">
        <v>19</v>
      </c>
      <c r="D273" s="11" t="s">
        <v>614</v>
      </c>
      <c r="E273" s="13" t="s">
        <v>54</v>
      </c>
      <c r="F273" s="15">
        <v>40946.0</v>
      </c>
    </row>
    <row r="274">
      <c r="A274" s="11" t="s">
        <v>615</v>
      </c>
      <c r="B274" s="12"/>
      <c r="C274" s="25" t="s">
        <v>120</v>
      </c>
      <c r="D274" s="11" t="s">
        <v>616</v>
      </c>
      <c r="E274" s="13" t="s">
        <v>617</v>
      </c>
      <c r="F274" s="15">
        <v>40912.0</v>
      </c>
    </row>
    <row r="275">
      <c r="A275" s="11" t="s">
        <v>618</v>
      </c>
      <c r="B275" s="12"/>
      <c r="C275" s="16" t="s">
        <v>9</v>
      </c>
      <c r="D275" s="11" t="s">
        <v>619</v>
      </c>
      <c r="E275" s="13" t="s">
        <v>620</v>
      </c>
      <c r="F275" s="15">
        <v>40944.0</v>
      </c>
    </row>
    <row r="276">
      <c r="A276" s="11" t="s">
        <v>621</v>
      </c>
      <c r="B276" s="12"/>
      <c r="C276" s="16" t="s">
        <v>9</v>
      </c>
      <c r="D276" s="14"/>
      <c r="E276" s="13" t="s">
        <v>414</v>
      </c>
      <c r="F276" s="15">
        <v>40917.0</v>
      </c>
    </row>
    <row r="277">
      <c r="A277" s="11" t="s">
        <v>622</v>
      </c>
      <c r="B277" s="12"/>
      <c r="C277" s="16" t="s">
        <v>9</v>
      </c>
      <c r="D277" s="11" t="s">
        <v>623</v>
      </c>
      <c r="E277" s="13" t="s">
        <v>66</v>
      </c>
      <c r="F277" s="15">
        <v>40881.0</v>
      </c>
    </row>
    <row r="278">
      <c r="A278" s="11" t="s">
        <v>624</v>
      </c>
      <c r="B278" s="12"/>
      <c r="C278" s="16" t="s">
        <v>9</v>
      </c>
      <c r="D278" s="11" t="s">
        <v>625</v>
      </c>
      <c r="E278" s="13" t="s">
        <v>626</v>
      </c>
      <c r="F278" s="15">
        <v>40933.0</v>
      </c>
    </row>
    <row r="279">
      <c r="A279" s="11" t="s">
        <v>627</v>
      </c>
      <c r="B279" s="13" t="s">
        <v>201</v>
      </c>
      <c r="C279" s="13" t="s">
        <v>9</v>
      </c>
      <c r="D279" s="11" t="s">
        <v>628</v>
      </c>
      <c r="E279" s="13" t="s">
        <v>629</v>
      </c>
      <c r="F279" s="15">
        <v>40937.0</v>
      </c>
    </row>
    <row r="280">
      <c r="A280" s="11" t="s">
        <v>630</v>
      </c>
      <c r="B280" s="12"/>
      <c r="C280" s="16" t="s">
        <v>9</v>
      </c>
      <c r="D280" s="11" t="s">
        <v>631</v>
      </c>
      <c r="E280" s="13" t="s">
        <v>632</v>
      </c>
      <c r="F280" s="15">
        <v>40875.0</v>
      </c>
    </row>
    <row r="281">
      <c r="A281" s="5" t="s">
        <v>633</v>
      </c>
      <c r="B281" s="12"/>
      <c r="C281" s="27" t="s">
        <v>19</v>
      </c>
      <c r="D281" s="8" t="s">
        <v>634</v>
      </c>
      <c r="E281" s="9" t="s">
        <v>635</v>
      </c>
      <c r="F281" s="23">
        <v>41160.0</v>
      </c>
    </row>
    <row r="282">
      <c r="A282" s="11" t="s">
        <v>636</v>
      </c>
      <c r="B282" s="13">
        <v>2.2</v>
      </c>
      <c r="C282" s="13" t="s">
        <v>19</v>
      </c>
      <c r="D282" s="11" t="s">
        <v>637</v>
      </c>
      <c r="E282" s="13" t="s">
        <v>203</v>
      </c>
      <c r="F282" s="15">
        <v>40916.0</v>
      </c>
    </row>
    <row r="283">
      <c r="A283" s="11" t="s">
        <v>638</v>
      </c>
      <c r="B283" s="12"/>
      <c r="C283" s="16" t="s">
        <v>9</v>
      </c>
      <c r="D283" s="14"/>
      <c r="E283" s="13" t="s">
        <v>66</v>
      </c>
      <c r="F283" s="15">
        <v>40887.0</v>
      </c>
    </row>
    <row r="284">
      <c r="A284" s="11" t="s">
        <v>639</v>
      </c>
      <c r="B284" s="13">
        <v>1.1</v>
      </c>
      <c r="C284" s="16" t="s">
        <v>19</v>
      </c>
      <c r="D284" s="19" t="str">
        <f>HYPERLINK("http://xsellize.com/topic/174521-req-crimsonheart-hack/page__view__findpost__p__682213","Stat, level hack is here.")</f>
        <v>Stat, level hack is here.</v>
      </c>
      <c r="E284" s="13" t="s">
        <v>640</v>
      </c>
      <c r="F284" s="15">
        <v>40906.0</v>
      </c>
    </row>
    <row r="285">
      <c r="A285" s="11" t="s">
        <v>641</v>
      </c>
      <c r="B285" s="12"/>
      <c r="C285" s="13" t="s">
        <v>9</v>
      </c>
      <c r="D285" s="11" t="s">
        <v>39</v>
      </c>
      <c r="E285" s="13" t="s">
        <v>40</v>
      </c>
      <c r="F285" s="20"/>
    </row>
    <row r="286">
      <c r="A286" s="11" t="s">
        <v>642</v>
      </c>
      <c r="B286" s="12"/>
      <c r="C286" s="18" t="s">
        <v>19</v>
      </c>
      <c r="D286" s="8" t="s">
        <v>643</v>
      </c>
      <c r="E286" s="37"/>
      <c r="F286" s="38" t="s">
        <v>644</v>
      </c>
    </row>
    <row r="287">
      <c r="A287" s="5" t="s">
        <v>642</v>
      </c>
      <c r="B287" s="6" t="s">
        <v>645</v>
      </c>
      <c r="C287" s="6" t="s">
        <v>19</v>
      </c>
      <c r="D287" s="8" t="s">
        <v>646</v>
      </c>
      <c r="E287" s="17"/>
      <c r="F287" s="28">
        <v>41097.0</v>
      </c>
    </row>
    <row r="288">
      <c r="A288" s="11" t="s">
        <v>647</v>
      </c>
      <c r="B288" s="12"/>
      <c r="C288" s="18" t="s">
        <v>19</v>
      </c>
      <c r="D288" s="11" t="s">
        <v>528</v>
      </c>
      <c r="E288" s="13" t="s">
        <v>115</v>
      </c>
      <c r="F288" s="15">
        <v>40935.0</v>
      </c>
    </row>
    <row r="289">
      <c r="A289" s="11" t="s">
        <v>648</v>
      </c>
      <c r="B289" s="12"/>
      <c r="C289" s="16" t="s">
        <v>9</v>
      </c>
      <c r="D289" s="11" t="s">
        <v>649</v>
      </c>
      <c r="E289" s="13" t="s">
        <v>650</v>
      </c>
      <c r="F289" s="15">
        <v>40903.0</v>
      </c>
    </row>
    <row r="290">
      <c r="A290" s="11" t="s">
        <v>651</v>
      </c>
      <c r="B290" s="12"/>
      <c r="C290" s="18" t="s">
        <v>9</v>
      </c>
      <c r="D290" s="11" t="s">
        <v>652</v>
      </c>
      <c r="E290" s="13" t="s">
        <v>203</v>
      </c>
      <c r="F290" s="15">
        <v>40906.0</v>
      </c>
    </row>
    <row r="291">
      <c r="A291" s="5" t="s">
        <v>653</v>
      </c>
      <c r="B291" s="6">
        <v>1.4</v>
      </c>
      <c r="C291" s="6" t="s">
        <v>19</v>
      </c>
      <c r="D291" s="8" t="s">
        <v>654</v>
      </c>
      <c r="E291" s="17"/>
      <c r="F291" s="28">
        <v>41097.0</v>
      </c>
    </row>
    <row r="292">
      <c r="A292" s="11" t="s">
        <v>655</v>
      </c>
      <c r="B292" s="12"/>
      <c r="C292" s="16" t="s">
        <v>9</v>
      </c>
      <c r="D292" s="11" t="s">
        <v>656</v>
      </c>
      <c r="E292" s="13" t="s">
        <v>657</v>
      </c>
      <c r="F292" s="15">
        <v>40931.0</v>
      </c>
    </row>
    <row r="293">
      <c r="A293" s="11" t="s">
        <v>658</v>
      </c>
      <c r="B293" s="13" t="s">
        <v>659</v>
      </c>
      <c r="C293" s="25" t="s">
        <v>9</v>
      </c>
      <c r="D293" s="11" t="s">
        <v>660</v>
      </c>
      <c r="E293" s="13" t="s">
        <v>661</v>
      </c>
      <c r="F293" s="15">
        <v>40905.0</v>
      </c>
    </row>
    <row r="294">
      <c r="A294" s="29" t="s">
        <v>662</v>
      </c>
      <c r="B294" s="12"/>
      <c r="C294" s="27" t="s">
        <v>19</v>
      </c>
      <c r="D294" s="8" t="s">
        <v>663</v>
      </c>
      <c r="E294" s="6" t="s">
        <v>664</v>
      </c>
      <c r="F294" s="28">
        <v>41018.0</v>
      </c>
    </row>
    <row r="295">
      <c r="A295" s="11" t="s">
        <v>665</v>
      </c>
      <c r="B295" s="12"/>
      <c r="C295" s="18" t="s">
        <v>19</v>
      </c>
      <c r="D295" s="11" t="s">
        <v>666</v>
      </c>
      <c r="E295" s="13" t="s">
        <v>667</v>
      </c>
      <c r="F295" s="15">
        <v>40935.0</v>
      </c>
    </row>
    <row r="296">
      <c r="A296" s="11" t="s">
        <v>668</v>
      </c>
      <c r="B296" s="12"/>
      <c r="C296" s="13" t="s">
        <v>9</v>
      </c>
      <c r="D296" s="11" t="s">
        <v>350</v>
      </c>
      <c r="E296" s="13" t="s">
        <v>461</v>
      </c>
      <c r="F296" s="15">
        <v>40946.0</v>
      </c>
    </row>
    <row r="297">
      <c r="A297" s="11" t="s">
        <v>669</v>
      </c>
      <c r="B297" s="12"/>
      <c r="C297" s="13" t="s">
        <v>9</v>
      </c>
      <c r="D297" s="11" t="s">
        <v>670</v>
      </c>
      <c r="E297" s="13" t="s">
        <v>671</v>
      </c>
      <c r="F297" s="20"/>
    </row>
    <row r="298">
      <c r="A298" s="11" t="s">
        <v>672</v>
      </c>
      <c r="B298" s="12"/>
      <c r="C298" s="18" t="s">
        <v>19</v>
      </c>
      <c r="D298" s="11" t="s">
        <v>673</v>
      </c>
      <c r="E298" s="17"/>
      <c r="F298" s="15">
        <v>40932.0</v>
      </c>
    </row>
    <row r="299">
      <c r="A299" s="11" t="s">
        <v>674</v>
      </c>
      <c r="B299" s="12"/>
      <c r="C299" s="18" t="s">
        <v>19</v>
      </c>
      <c r="D299" s="14"/>
      <c r="E299" s="17"/>
      <c r="F299" s="20"/>
    </row>
    <row r="300">
      <c r="A300" s="11" t="s">
        <v>675</v>
      </c>
      <c r="B300" s="12"/>
      <c r="C300" s="16" t="s">
        <v>9</v>
      </c>
      <c r="D300" s="11" t="s">
        <v>676</v>
      </c>
      <c r="E300" s="17"/>
      <c r="F300" s="15">
        <v>40882.0</v>
      </c>
    </row>
    <row r="301">
      <c r="A301" s="11" t="s">
        <v>677</v>
      </c>
      <c r="B301" s="12"/>
      <c r="C301" s="18" t="s">
        <v>19</v>
      </c>
      <c r="D301" s="14"/>
      <c r="E301" s="17"/>
      <c r="F301" s="20"/>
    </row>
    <row r="302">
      <c r="A302" s="11" t="s">
        <v>678</v>
      </c>
      <c r="B302" s="12"/>
      <c r="C302" s="16" t="s">
        <v>9</v>
      </c>
      <c r="D302" s="11" t="s">
        <v>679</v>
      </c>
      <c r="E302" s="13" t="s">
        <v>315</v>
      </c>
      <c r="F302" s="15">
        <v>40907.0</v>
      </c>
    </row>
    <row r="303">
      <c r="A303" s="11" t="s">
        <v>680</v>
      </c>
      <c r="B303" s="13" t="s">
        <v>681</v>
      </c>
      <c r="C303" s="16" t="s">
        <v>549</v>
      </c>
      <c r="D303" s="11" t="s">
        <v>682</v>
      </c>
      <c r="E303" s="17"/>
      <c r="F303" s="15">
        <v>40895.0</v>
      </c>
    </row>
    <row r="304">
      <c r="A304" s="11" t="s">
        <v>683</v>
      </c>
      <c r="B304" s="12"/>
      <c r="C304" s="13" t="s">
        <v>9</v>
      </c>
      <c r="D304" s="11" t="s">
        <v>684</v>
      </c>
      <c r="E304" s="13" t="s">
        <v>15</v>
      </c>
      <c r="F304" s="15">
        <v>40892.0</v>
      </c>
    </row>
    <row r="305">
      <c r="A305" s="5" t="s">
        <v>685</v>
      </c>
      <c r="B305" s="12"/>
      <c r="C305" s="18" t="s">
        <v>19</v>
      </c>
      <c r="D305" s="8" t="s">
        <v>686</v>
      </c>
      <c r="E305" s="9" t="s">
        <v>687</v>
      </c>
      <c r="F305" s="23">
        <v>41170.0</v>
      </c>
    </row>
    <row r="306">
      <c r="A306" s="5" t="s">
        <v>685</v>
      </c>
      <c r="B306" s="12"/>
      <c r="C306" s="27" t="s">
        <v>19</v>
      </c>
      <c r="D306" s="8" t="s">
        <v>688</v>
      </c>
      <c r="E306" s="9" t="s">
        <v>687</v>
      </c>
      <c r="F306" s="23">
        <v>41170.0</v>
      </c>
    </row>
    <row r="307">
      <c r="A307" s="11" t="s">
        <v>689</v>
      </c>
      <c r="B307" s="12"/>
      <c r="C307" s="13" t="s">
        <v>9</v>
      </c>
      <c r="D307" s="11" t="s">
        <v>690</v>
      </c>
      <c r="E307" s="13" t="s">
        <v>432</v>
      </c>
      <c r="F307" s="15">
        <v>40937.0</v>
      </c>
    </row>
    <row r="308">
      <c r="A308" s="11" t="s">
        <v>691</v>
      </c>
      <c r="B308" s="12"/>
      <c r="C308" s="16" t="s">
        <v>9</v>
      </c>
      <c r="D308" s="11" t="s">
        <v>692</v>
      </c>
      <c r="E308" s="13" t="s">
        <v>66</v>
      </c>
      <c r="F308" s="15">
        <v>40881.0</v>
      </c>
    </row>
    <row r="309">
      <c r="A309" s="11" t="s">
        <v>693</v>
      </c>
      <c r="B309" s="12"/>
      <c r="C309" s="16" t="s">
        <v>9</v>
      </c>
      <c r="D309" s="14"/>
      <c r="E309" s="13" t="s">
        <v>170</v>
      </c>
      <c r="F309" s="15">
        <v>40910.0</v>
      </c>
    </row>
    <row r="310">
      <c r="A310" s="11" t="s">
        <v>694</v>
      </c>
      <c r="B310" s="12"/>
      <c r="C310" s="18" t="s">
        <v>19</v>
      </c>
      <c r="D310" s="19" t="str">
        <f>HYPERLINK("http://idwaneo.org/repo","Open Cydia and add source http://idwaneo.org/repo, then search and install DeathSmiles DLC.")</f>
        <v>Open Cydia and add source http://idwaneo.org/repo, then search and install DeathSmiles DLC.</v>
      </c>
      <c r="E310" s="13" t="s">
        <v>72</v>
      </c>
      <c r="F310" s="15">
        <v>40918.0</v>
      </c>
    </row>
    <row r="311">
      <c r="A311" s="11" t="s">
        <v>695</v>
      </c>
      <c r="B311" s="12"/>
      <c r="C311" s="16" t="s">
        <v>9</v>
      </c>
      <c r="D311" s="11" t="s">
        <v>696</v>
      </c>
      <c r="E311" s="17"/>
      <c r="F311" s="15">
        <v>40898.0</v>
      </c>
    </row>
    <row r="312">
      <c r="A312" s="11" t="s">
        <v>697</v>
      </c>
      <c r="B312" s="12"/>
      <c r="C312" s="16" t="s">
        <v>9</v>
      </c>
      <c r="D312" s="14"/>
      <c r="E312" s="13" t="s">
        <v>50</v>
      </c>
      <c r="F312" s="15">
        <v>40900.0</v>
      </c>
    </row>
    <row r="313">
      <c r="A313" s="11" t="s">
        <v>698</v>
      </c>
      <c r="B313" s="12"/>
      <c r="C313" s="16" t="s">
        <v>9</v>
      </c>
      <c r="D313" s="11" t="s">
        <v>699</v>
      </c>
      <c r="E313" s="13" t="s">
        <v>50</v>
      </c>
      <c r="F313" s="15">
        <v>40900.0</v>
      </c>
    </row>
    <row r="314">
      <c r="A314" s="11" t="s">
        <v>700</v>
      </c>
      <c r="B314" s="6" t="s">
        <v>701</v>
      </c>
      <c r="C314" s="13" t="s">
        <v>9</v>
      </c>
      <c r="D314" s="8" t="s">
        <v>702</v>
      </c>
      <c r="E314" s="13" t="s">
        <v>703</v>
      </c>
      <c r="F314" s="38" t="s">
        <v>704</v>
      </c>
    </row>
    <row r="315">
      <c r="A315" s="11" t="s">
        <v>705</v>
      </c>
      <c r="B315" s="12"/>
      <c r="C315" s="16" t="s">
        <v>9</v>
      </c>
      <c r="D315" s="11" t="s">
        <v>706</v>
      </c>
      <c r="E315" s="13" t="s">
        <v>543</v>
      </c>
      <c r="F315" s="15">
        <v>40897.0</v>
      </c>
    </row>
    <row r="316">
      <c r="A316" s="11" t="s">
        <v>707</v>
      </c>
      <c r="B316" s="12"/>
      <c r="C316" s="16" t="s">
        <v>9</v>
      </c>
      <c r="D316" s="14"/>
      <c r="E316" s="13" t="s">
        <v>708</v>
      </c>
      <c r="F316" s="15">
        <v>40896.0</v>
      </c>
    </row>
    <row r="317">
      <c r="A317" s="11" t="s">
        <v>709</v>
      </c>
      <c r="B317" s="12"/>
      <c r="C317" s="16" t="s">
        <v>9</v>
      </c>
      <c r="D317" s="14"/>
      <c r="E317" s="13" t="s">
        <v>710</v>
      </c>
      <c r="F317" s="15">
        <v>40848.0</v>
      </c>
    </row>
    <row r="318">
      <c r="A318" s="11" t="s">
        <v>711</v>
      </c>
      <c r="B318" s="12"/>
      <c r="C318" s="13" t="s">
        <v>9</v>
      </c>
      <c r="D318" s="11" t="s">
        <v>712</v>
      </c>
      <c r="E318" s="13" t="s">
        <v>50</v>
      </c>
      <c r="F318" s="15">
        <v>40901.0</v>
      </c>
    </row>
    <row r="319">
      <c r="A319" s="11" t="s">
        <v>713</v>
      </c>
      <c r="B319" s="12"/>
      <c r="C319" s="13" t="s">
        <v>9</v>
      </c>
      <c r="D319" s="11" t="s">
        <v>714</v>
      </c>
      <c r="E319" s="13" t="s">
        <v>715</v>
      </c>
      <c r="F319" s="15">
        <v>40957.0</v>
      </c>
    </row>
    <row r="320">
      <c r="A320" s="11" t="s">
        <v>716</v>
      </c>
      <c r="B320" s="13" t="s">
        <v>201</v>
      </c>
      <c r="C320" s="16" t="s">
        <v>9</v>
      </c>
      <c r="D320" s="11" t="s">
        <v>717</v>
      </c>
      <c r="E320" s="17"/>
      <c r="F320" s="20"/>
    </row>
    <row r="321">
      <c r="A321" s="29" t="s">
        <v>718</v>
      </c>
      <c r="B321" s="12"/>
      <c r="C321" s="7" t="s">
        <v>9</v>
      </c>
      <c r="D321" s="8" t="s">
        <v>719</v>
      </c>
      <c r="E321" s="12"/>
      <c r="F321" s="39"/>
    </row>
    <row r="322">
      <c r="A322" s="11" t="s">
        <v>720</v>
      </c>
      <c r="B322" s="12"/>
      <c r="C322" s="16" t="s">
        <v>9</v>
      </c>
      <c r="D322" s="14"/>
      <c r="E322" s="13" t="s">
        <v>189</v>
      </c>
      <c r="F322" s="15">
        <v>40793.7743055556</v>
      </c>
    </row>
    <row r="323">
      <c r="A323" s="11" t="s">
        <v>721</v>
      </c>
      <c r="B323" s="12"/>
      <c r="C323" s="18" t="s">
        <v>19</v>
      </c>
      <c r="D323" s="14"/>
      <c r="E323" s="17"/>
      <c r="F323" s="20"/>
    </row>
    <row r="324">
      <c r="A324" s="5" t="s">
        <v>722</v>
      </c>
      <c r="B324" s="6" t="s">
        <v>723</v>
      </c>
      <c r="C324" s="7" t="s">
        <v>9</v>
      </c>
      <c r="D324" s="8" t="s">
        <v>724</v>
      </c>
      <c r="E324" s="9" t="s">
        <v>144</v>
      </c>
      <c r="F324" s="23">
        <v>41161.0</v>
      </c>
    </row>
    <row r="325">
      <c r="A325" s="11" t="s">
        <v>725</v>
      </c>
      <c r="B325" s="12"/>
      <c r="C325" s="16" t="s">
        <v>9</v>
      </c>
      <c r="D325" s="11" t="s">
        <v>297</v>
      </c>
      <c r="E325" s="13" t="s">
        <v>96</v>
      </c>
      <c r="F325" s="15">
        <v>40871.0</v>
      </c>
    </row>
    <row r="326">
      <c r="A326" s="21" t="s">
        <v>726</v>
      </c>
      <c r="B326" s="13" t="s">
        <v>727</v>
      </c>
      <c r="C326" s="13" t="s">
        <v>9</v>
      </c>
      <c r="D326" s="11" t="s">
        <v>728</v>
      </c>
      <c r="E326" s="13" t="s">
        <v>729</v>
      </c>
      <c r="F326" s="15">
        <v>40973.0</v>
      </c>
    </row>
    <row r="327">
      <c r="A327" s="11" t="s">
        <v>730</v>
      </c>
      <c r="B327" s="12"/>
      <c r="C327" s="13" t="s">
        <v>19</v>
      </c>
      <c r="D327" s="11" t="s">
        <v>731</v>
      </c>
      <c r="E327" s="13" t="s">
        <v>732</v>
      </c>
      <c r="F327" s="15">
        <v>40954.0</v>
      </c>
    </row>
    <row r="328">
      <c r="A328" s="11" t="s">
        <v>733</v>
      </c>
      <c r="B328" s="12"/>
      <c r="C328" s="16" t="s">
        <v>9</v>
      </c>
      <c r="D328" s="11" t="s">
        <v>734</v>
      </c>
      <c r="E328" s="13" t="s">
        <v>735</v>
      </c>
      <c r="F328" s="15">
        <v>40929.0</v>
      </c>
    </row>
    <row r="329">
      <c r="A329" s="11" t="s">
        <v>736</v>
      </c>
      <c r="B329" s="12"/>
      <c r="C329" s="13" t="s">
        <v>9</v>
      </c>
      <c r="D329" s="11" t="s">
        <v>737</v>
      </c>
      <c r="E329" s="13" t="s">
        <v>738</v>
      </c>
      <c r="F329" s="15">
        <v>40931.0</v>
      </c>
    </row>
    <row r="330">
      <c r="A330" s="11" t="s">
        <v>739</v>
      </c>
      <c r="B330" s="12"/>
      <c r="C330" s="13" t="s">
        <v>19</v>
      </c>
      <c r="D330" s="11" t="s">
        <v>740</v>
      </c>
      <c r="E330" s="13" t="s">
        <v>559</v>
      </c>
      <c r="F330" s="15">
        <v>40887.0</v>
      </c>
    </row>
    <row r="331">
      <c r="A331" s="11" t="s">
        <v>741</v>
      </c>
      <c r="B331" s="12"/>
      <c r="C331" s="18" t="s">
        <v>19</v>
      </c>
      <c r="D331" s="14"/>
      <c r="E331" s="17"/>
      <c r="F331" s="20"/>
    </row>
    <row r="332">
      <c r="A332" s="11" t="s">
        <v>742</v>
      </c>
      <c r="B332" s="12"/>
      <c r="C332" s="18" t="s">
        <v>19</v>
      </c>
      <c r="D332" s="14"/>
      <c r="E332" s="17"/>
      <c r="F332" s="20"/>
    </row>
    <row r="333">
      <c r="A333" s="11" t="s">
        <v>743</v>
      </c>
      <c r="B333" s="12"/>
      <c r="C333" s="13" t="s">
        <v>9</v>
      </c>
      <c r="D333" s="11" t="s">
        <v>744</v>
      </c>
      <c r="E333" s="13" t="s">
        <v>745</v>
      </c>
      <c r="F333" s="15">
        <v>40906.0</v>
      </c>
    </row>
    <row r="334">
      <c r="A334" s="11" t="s">
        <v>746</v>
      </c>
      <c r="B334" s="12"/>
      <c r="C334" s="18" t="s">
        <v>19</v>
      </c>
      <c r="D334" s="11" t="s">
        <v>747</v>
      </c>
      <c r="E334" s="13" t="s">
        <v>748</v>
      </c>
      <c r="F334" s="15">
        <v>40915.0</v>
      </c>
    </row>
    <row r="335">
      <c r="A335" s="11" t="s">
        <v>749</v>
      </c>
      <c r="B335" s="12"/>
      <c r="C335" s="16" t="s">
        <v>9</v>
      </c>
      <c r="D335" s="14"/>
      <c r="E335" s="13" t="s">
        <v>205</v>
      </c>
      <c r="F335" s="15">
        <v>40793.4569444444</v>
      </c>
    </row>
    <row r="336">
      <c r="A336" s="11" t="s">
        <v>750</v>
      </c>
      <c r="B336" s="12"/>
      <c r="C336" s="16" t="s">
        <v>9</v>
      </c>
      <c r="D336" s="14"/>
      <c r="E336" s="13">
        <v>6102.0</v>
      </c>
      <c r="F336" s="15">
        <v>40883.0</v>
      </c>
    </row>
    <row r="337">
      <c r="A337" s="29" t="s">
        <v>751</v>
      </c>
      <c r="B337" s="6" t="s">
        <v>752</v>
      </c>
      <c r="C337" s="7" t="s">
        <v>9</v>
      </c>
      <c r="D337" s="8" t="s">
        <v>753</v>
      </c>
      <c r="E337" s="6" t="s">
        <v>754</v>
      </c>
      <c r="F337" s="28">
        <v>41096.0</v>
      </c>
    </row>
    <row r="338">
      <c r="A338" s="11" t="s">
        <v>755</v>
      </c>
      <c r="B338" s="12"/>
      <c r="C338" s="16" t="s">
        <v>9</v>
      </c>
      <c r="D338" s="11" t="s">
        <v>756</v>
      </c>
      <c r="E338" s="13" t="s">
        <v>757</v>
      </c>
      <c r="F338" s="15">
        <v>40905.0</v>
      </c>
    </row>
    <row r="339">
      <c r="A339" s="11" t="s">
        <v>758</v>
      </c>
      <c r="B339" s="12"/>
      <c r="C339" s="16" t="s">
        <v>9</v>
      </c>
      <c r="D339" s="11" t="s">
        <v>759</v>
      </c>
      <c r="E339" s="13" t="s">
        <v>23</v>
      </c>
      <c r="F339" s="15">
        <v>40926.0</v>
      </c>
    </row>
    <row r="340">
      <c r="A340" s="11" t="s">
        <v>760</v>
      </c>
      <c r="B340" s="12"/>
      <c r="C340" s="16" t="s">
        <v>9</v>
      </c>
      <c r="D340" s="11" t="s">
        <v>761</v>
      </c>
      <c r="E340" s="13" t="s">
        <v>23</v>
      </c>
      <c r="F340" s="15">
        <v>40926.0</v>
      </c>
    </row>
    <row r="341">
      <c r="A341" s="29" t="s">
        <v>762</v>
      </c>
      <c r="B341" s="12"/>
      <c r="C341" s="13" t="s">
        <v>9</v>
      </c>
      <c r="D341" s="8" t="s">
        <v>763</v>
      </c>
      <c r="E341" s="12"/>
      <c r="F341" s="28">
        <v>41005.0</v>
      </c>
    </row>
    <row r="342">
      <c r="A342" s="11" t="s">
        <v>764</v>
      </c>
      <c r="B342" s="12"/>
      <c r="C342" s="16" t="s">
        <v>9</v>
      </c>
      <c r="D342" s="14"/>
      <c r="E342" s="13" t="s">
        <v>203</v>
      </c>
      <c r="F342" s="15">
        <v>40905.0</v>
      </c>
    </row>
    <row r="343">
      <c r="A343" s="11" t="s">
        <v>765</v>
      </c>
      <c r="B343" s="12"/>
      <c r="C343" s="16" t="s">
        <v>9</v>
      </c>
      <c r="D343" s="11" t="s">
        <v>766</v>
      </c>
      <c r="E343" s="17"/>
      <c r="F343" s="20"/>
    </row>
    <row r="344">
      <c r="A344" s="11" t="s">
        <v>767</v>
      </c>
      <c r="B344" s="12"/>
      <c r="C344" s="18" t="s">
        <v>19</v>
      </c>
      <c r="D344" s="11" t="s">
        <v>768</v>
      </c>
      <c r="E344" s="17"/>
      <c r="F344" s="15">
        <v>40909.0</v>
      </c>
    </row>
    <row r="345">
      <c r="A345" s="11" t="s">
        <v>769</v>
      </c>
      <c r="B345" s="12"/>
      <c r="C345" s="13" t="s">
        <v>9</v>
      </c>
      <c r="D345" s="11" t="s">
        <v>770</v>
      </c>
      <c r="E345" s="13" t="s">
        <v>203</v>
      </c>
      <c r="F345" s="15">
        <v>40915.0</v>
      </c>
    </row>
    <row r="346">
      <c r="A346" s="11" t="s">
        <v>771</v>
      </c>
      <c r="B346" s="12"/>
      <c r="C346" s="18" t="s">
        <v>19</v>
      </c>
      <c r="D346" s="11" t="s">
        <v>772</v>
      </c>
      <c r="E346" s="17"/>
      <c r="F346" s="20"/>
    </row>
    <row r="347">
      <c r="A347" s="11" t="s">
        <v>773</v>
      </c>
      <c r="B347" s="12"/>
      <c r="C347" s="25" t="s">
        <v>9</v>
      </c>
      <c r="D347" s="11" t="s">
        <v>774</v>
      </c>
      <c r="E347" s="13" t="s">
        <v>72</v>
      </c>
      <c r="F347" s="15">
        <v>40916.0</v>
      </c>
    </row>
    <row r="348">
      <c r="A348" s="11" t="s">
        <v>775</v>
      </c>
      <c r="B348" s="12"/>
      <c r="C348" s="13" t="s">
        <v>9</v>
      </c>
      <c r="D348" s="14"/>
      <c r="E348" s="13" t="s">
        <v>414</v>
      </c>
      <c r="F348" s="15">
        <v>40917.0</v>
      </c>
    </row>
    <row r="349">
      <c r="A349" s="11" t="s">
        <v>776</v>
      </c>
      <c r="B349" s="13" t="s">
        <v>777</v>
      </c>
      <c r="C349" s="13" t="s">
        <v>19</v>
      </c>
      <c r="D349" s="11" t="s">
        <v>778</v>
      </c>
      <c r="E349" s="13" t="s">
        <v>779</v>
      </c>
      <c r="F349" s="15">
        <v>40937.0</v>
      </c>
    </row>
    <row r="350">
      <c r="A350" s="11" t="s">
        <v>780</v>
      </c>
      <c r="B350" s="12"/>
      <c r="C350" s="13" t="s">
        <v>9</v>
      </c>
      <c r="D350" s="11" t="s">
        <v>350</v>
      </c>
      <c r="E350" s="13" t="s">
        <v>781</v>
      </c>
      <c r="F350" s="15">
        <v>40948.0</v>
      </c>
    </row>
    <row r="351">
      <c r="A351" s="11" t="s">
        <v>782</v>
      </c>
      <c r="B351" s="12"/>
      <c r="C351" s="16" t="s">
        <v>9</v>
      </c>
      <c r="D351" s="14"/>
      <c r="E351" s="13" t="s">
        <v>136</v>
      </c>
      <c r="F351" s="15">
        <v>40794.0</v>
      </c>
    </row>
    <row r="352">
      <c r="A352" s="11" t="s">
        <v>783</v>
      </c>
      <c r="B352" s="12"/>
      <c r="C352" s="13" t="s">
        <v>9</v>
      </c>
      <c r="D352" s="11" t="s">
        <v>784</v>
      </c>
      <c r="E352" s="13" t="s">
        <v>409</v>
      </c>
      <c r="F352" s="15">
        <v>40944.0</v>
      </c>
    </row>
    <row r="353">
      <c r="A353" s="11" t="s">
        <v>785</v>
      </c>
      <c r="B353" s="12"/>
      <c r="C353" s="13" t="s">
        <v>9</v>
      </c>
      <c r="D353" s="14"/>
      <c r="E353" s="13" t="s">
        <v>287</v>
      </c>
      <c r="F353" s="15">
        <v>40945.0</v>
      </c>
    </row>
    <row r="354">
      <c r="A354" s="11" t="s">
        <v>786</v>
      </c>
      <c r="B354" s="12"/>
      <c r="C354" s="13" t="s">
        <v>9</v>
      </c>
      <c r="D354" s="14"/>
      <c r="E354" s="13" t="s">
        <v>40</v>
      </c>
      <c r="F354" s="15">
        <v>40780.0</v>
      </c>
    </row>
    <row r="355">
      <c r="A355" s="11" t="s">
        <v>787</v>
      </c>
      <c r="B355" s="12"/>
      <c r="C355" s="13" t="s">
        <v>9</v>
      </c>
      <c r="D355" s="11" t="s">
        <v>652</v>
      </c>
      <c r="E355" s="17"/>
      <c r="F355" s="20"/>
    </row>
    <row r="356">
      <c r="A356" s="11" t="s">
        <v>788</v>
      </c>
      <c r="B356" s="12"/>
      <c r="C356" s="13" t="s">
        <v>9</v>
      </c>
      <c r="D356" s="14"/>
      <c r="E356" s="13" t="s">
        <v>596</v>
      </c>
      <c r="F356" s="15">
        <v>40920.0</v>
      </c>
    </row>
    <row r="357">
      <c r="A357" s="11" t="s">
        <v>789</v>
      </c>
      <c r="B357" s="12"/>
      <c r="C357" s="13" t="s">
        <v>9</v>
      </c>
      <c r="D357" s="11" t="s">
        <v>790</v>
      </c>
      <c r="E357" s="13" t="s">
        <v>466</v>
      </c>
      <c r="F357" s="15">
        <v>40955.0</v>
      </c>
    </row>
    <row r="358">
      <c r="A358" s="11" t="s">
        <v>791</v>
      </c>
      <c r="B358" s="12"/>
      <c r="C358" s="16" t="s">
        <v>9</v>
      </c>
      <c r="D358" s="14"/>
      <c r="E358" s="17"/>
      <c r="F358" s="20"/>
    </row>
    <row r="359">
      <c r="A359" s="11" t="s">
        <v>792</v>
      </c>
      <c r="B359" s="12"/>
      <c r="C359" s="16" t="s">
        <v>9</v>
      </c>
      <c r="D359" s="14"/>
      <c r="E359" s="17"/>
      <c r="F359" s="20"/>
    </row>
    <row r="360">
      <c r="A360" s="11" t="s">
        <v>793</v>
      </c>
      <c r="B360" s="12"/>
      <c r="C360" s="16" t="s">
        <v>19</v>
      </c>
      <c r="D360" s="19" t="str">
        <f>HYPERLINK("http://xsellize.com/topic/175358-drag-racer-pro-tuner-321-hack-credits-bike-truck-packs-hack/","Hack, Cheat Click Here.")</f>
        <v>Hack, Cheat Click Here.</v>
      </c>
      <c r="E360" s="13" t="s">
        <v>72</v>
      </c>
      <c r="F360" s="15">
        <v>40917.0</v>
      </c>
    </row>
    <row r="361">
      <c r="A361" s="11" t="s">
        <v>794</v>
      </c>
      <c r="B361" s="12"/>
      <c r="C361" s="16" t="s">
        <v>9</v>
      </c>
      <c r="D361" s="11" t="s">
        <v>795</v>
      </c>
      <c r="E361" s="13" t="s">
        <v>796</v>
      </c>
      <c r="F361" s="15">
        <v>40912.0</v>
      </c>
    </row>
    <row r="362">
      <c r="A362" s="11" t="s">
        <v>797</v>
      </c>
      <c r="B362" s="12"/>
      <c r="C362" s="16" t="s">
        <v>9</v>
      </c>
      <c r="D362" s="11" t="s">
        <v>178</v>
      </c>
      <c r="E362" s="13" t="s">
        <v>798</v>
      </c>
      <c r="F362" s="15">
        <v>40914.0</v>
      </c>
    </row>
    <row r="363">
      <c r="A363" s="5" t="s">
        <v>799</v>
      </c>
      <c r="B363" s="6" t="s">
        <v>800</v>
      </c>
      <c r="C363" s="16" t="s">
        <v>9</v>
      </c>
      <c r="D363" s="8" t="s">
        <v>801</v>
      </c>
      <c r="E363" s="17"/>
      <c r="F363" s="28">
        <v>41095.0</v>
      </c>
    </row>
    <row r="364">
      <c r="A364" s="5" t="s">
        <v>802</v>
      </c>
      <c r="B364" s="12"/>
      <c r="C364" s="7" t="s">
        <v>9</v>
      </c>
      <c r="D364" s="8" t="s">
        <v>803</v>
      </c>
      <c r="E364" s="9" t="s">
        <v>804</v>
      </c>
      <c r="F364" s="23">
        <v>41177.0</v>
      </c>
    </row>
    <row r="365">
      <c r="A365" s="11" t="s">
        <v>805</v>
      </c>
      <c r="B365" s="12"/>
      <c r="C365" s="13" t="s">
        <v>9</v>
      </c>
      <c r="D365" s="11" t="s">
        <v>806</v>
      </c>
      <c r="E365" s="13" t="s">
        <v>807</v>
      </c>
      <c r="F365" s="15">
        <v>40935.0</v>
      </c>
    </row>
    <row r="366">
      <c r="A366" s="21" t="s">
        <v>808</v>
      </c>
      <c r="B366" s="13">
        <v>1.28</v>
      </c>
      <c r="C366" s="13" t="s">
        <v>19</v>
      </c>
      <c r="D366" s="11" t="s">
        <v>809</v>
      </c>
      <c r="E366" s="13" t="s">
        <v>40</v>
      </c>
      <c r="F366" s="15">
        <v>40972.0</v>
      </c>
    </row>
    <row r="367">
      <c r="A367" s="11" t="s">
        <v>810</v>
      </c>
      <c r="B367" s="12"/>
      <c r="C367" s="16" t="s">
        <v>9</v>
      </c>
      <c r="D367" s="11" t="s">
        <v>811</v>
      </c>
      <c r="E367" s="13" t="s">
        <v>435</v>
      </c>
      <c r="F367" s="15">
        <v>40884.0</v>
      </c>
    </row>
    <row r="368">
      <c r="A368" s="11" t="s">
        <v>812</v>
      </c>
      <c r="B368" s="12"/>
      <c r="C368" s="16" t="s">
        <v>9</v>
      </c>
      <c r="D368" s="14"/>
      <c r="E368" s="17"/>
      <c r="F368" s="20"/>
    </row>
    <row r="369">
      <c r="A369" s="11" t="s">
        <v>813</v>
      </c>
      <c r="B369" s="12"/>
      <c r="C369" s="16" t="s">
        <v>19</v>
      </c>
      <c r="D369" s="14"/>
      <c r="E369" s="13" t="s">
        <v>814</v>
      </c>
      <c r="F369" s="15">
        <v>40945.0</v>
      </c>
    </row>
    <row r="370">
      <c r="A370" s="21" t="s">
        <v>815</v>
      </c>
      <c r="B370" s="26" t="s">
        <v>207</v>
      </c>
      <c r="C370" s="13" t="s">
        <v>19</v>
      </c>
      <c r="D370" s="19" t="str">
        <f>HYPERLINK("http://www.icheats.org/forum/index.php?/topic/5484-diy-dream-heights-hack-v11-unlimited-coin-cash/","Unlimited coins cash hack.")</f>
        <v>Unlimited coins cash hack.</v>
      </c>
      <c r="E370" s="13" t="s">
        <v>335</v>
      </c>
      <c r="F370" s="22">
        <v>40963.0</v>
      </c>
    </row>
    <row r="371">
      <c r="A371" s="11" t="s">
        <v>816</v>
      </c>
      <c r="B371" s="12"/>
      <c r="C371" s="16" t="s">
        <v>9</v>
      </c>
      <c r="D371" s="11" t="s">
        <v>817</v>
      </c>
      <c r="E371" s="13" t="s">
        <v>818</v>
      </c>
      <c r="F371" s="15">
        <v>40903.0</v>
      </c>
    </row>
    <row r="372">
      <c r="A372" s="11" t="s">
        <v>819</v>
      </c>
      <c r="B372" s="12"/>
      <c r="C372" s="16" t="s">
        <v>9</v>
      </c>
      <c r="D372" s="14"/>
      <c r="E372" s="13" t="s">
        <v>820</v>
      </c>
      <c r="F372" s="15">
        <v>40876.0</v>
      </c>
    </row>
    <row r="373">
      <c r="A373" s="11" t="s">
        <v>821</v>
      </c>
      <c r="B373" s="12"/>
      <c r="C373" s="16" t="s">
        <v>19</v>
      </c>
      <c r="D373" s="11" t="s">
        <v>822</v>
      </c>
      <c r="E373" s="13" t="s">
        <v>461</v>
      </c>
      <c r="F373" s="15">
        <v>40947.0</v>
      </c>
    </row>
    <row r="374">
      <c r="A374" s="11" t="s">
        <v>823</v>
      </c>
      <c r="B374" s="12"/>
      <c r="C374" s="13" t="s">
        <v>19</v>
      </c>
      <c r="D374" s="19" t="str">
        <f>HYPERLINK("http://xsellize.com/topic/176978-dream-train-v10/","Hack Here, very easy.")</f>
        <v>Hack Here, very easy.</v>
      </c>
      <c r="E374" s="17"/>
      <c r="F374" s="20"/>
    </row>
    <row r="375">
      <c r="A375" s="11" t="s">
        <v>824</v>
      </c>
      <c r="B375" s="12"/>
      <c r="C375" s="18" t="s">
        <v>19</v>
      </c>
      <c r="D375" s="11" t="s">
        <v>825</v>
      </c>
      <c r="E375" s="13" t="s">
        <v>632</v>
      </c>
      <c r="F375" s="15">
        <v>40875.0</v>
      </c>
    </row>
    <row r="376">
      <c r="A376" s="11" t="s">
        <v>826</v>
      </c>
      <c r="B376" s="12"/>
      <c r="C376" s="16" t="s">
        <v>9</v>
      </c>
      <c r="D376" s="11" t="s">
        <v>827</v>
      </c>
      <c r="E376" s="13" t="s">
        <v>828</v>
      </c>
      <c r="F376" s="15">
        <v>40911.0</v>
      </c>
    </row>
    <row r="377">
      <c r="A377" s="11" t="s">
        <v>829</v>
      </c>
      <c r="B377" s="12"/>
      <c r="C377" s="16" t="s">
        <v>9</v>
      </c>
      <c r="D377" s="14"/>
      <c r="E377" s="13" t="s">
        <v>830</v>
      </c>
      <c r="F377" s="15">
        <v>40884.0</v>
      </c>
    </row>
    <row r="378">
      <c r="A378" s="11" t="s">
        <v>831</v>
      </c>
      <c r="B378" s="12"/>
      <c r="C378" s="13" t="s">
        <v>9</v>
      </c>
      <c r="D378" s="11" t="s">
        <v>832</v>
      </c>
      <c r="E378" s="13" t="s">
        <v>833</v>
      </c>
      <c r="F378" s="20"/>
    </row>
    <row r="379">
      <c r="A379" s="11" t="s">
        <v>834</v>
      </c>
      <c r="B379" s="12"/>
      <c r="C379" s="16" t="s">
        <v>9</v>
      </c>
      <c r="D379" s="14"/>
      <c r="E379" s="13" t="s">
        <v>835</v>
      </c>
      <c r="F379" s="15">
        <v>40939.0</v>
      </c>
    </row>
    <row r="380">
      <c r="A380" s="11" t="s">
        <v>836</v>
      </c>
      <c r="B380" s="12"/>
      <c r="C380" s="13" t="s">
        <v>9</v>
      </c>
      <c r="D380" s="11" t="s">
        <v>837</v>
      </c>
      <c r="E380" s="13" t="s">
        <v>838</v>
      </c>
      <c r="F380" s="15">
        <v>40892.0</v>
      </c>
    </row>
    <row r="381">
      <c r="A381" s="11" t="s">
        <v>839</v>
      </c>
      <c r="B381" s="12"/>
      <c r="C381" s="13" t="s">
        <v>9</v>
      </c>
      <c r="D381" s="11" t="s">
        <v>840</v>
      </c>
      <c r="E381" s="13" t="s">
        <v>96</v>
      </c>
      <c r="F381" s="15">
        <v>40892.0</v>
      </c>
    </row>
    <row r="382">
      <c r="A382" s="11" t="s">
        <v>841</v>
      </c>
      <c r="B382" s="12"/>
      <c r="C382" s="13" t="s">
        <v>9</v>
      </c>
      <c r="D382" s="11" t="s">
        <v>525</v>
      </c>
      <c r="E382" s="13" t="s">
        <v>203</v>
      </c>
      <c r="F382" s="15">
        <v>40908.0</v>
      </c>
    </row>
    <row r="383">
      <c r="A383" s="11" t="s">
        <v>842</v>
      </c>
      <c r="B383" s="12"/>
      <c r="C383" s="18" t="s">
        <v>19</v>
      </c>
      <c r="D383" s="19" t="str">
        <f>HYPERLINK("http://heaveniphone.com/iphone-kinh-nghiem-choi-game/63166-v1-0-0-huong-dan-hack-dungeon-hunter-3-a.html","Keys, cash, gold hack here.")</f>
        <v>Keys, cash, gold hack here.</v>
      </c>
      <c r="E383" s="13" t="s">
        <v>66</v>
      </c>
      <c r="F383" s="15">
        <v>40905.0</v>
      </c>
    </row>
    <row r="384">
      <c r="A384" s="11" t="s">
        <v>843</v>
      </c>
      <c r="B384" s="12"/>
      <c r="C384" s="18" t="s">
        <v>19</v>
      </c>
      <c r="D384" s="14"/>
      <c r="E384" s="17"/>
      <c r="F384" s="20"/>
    </row>
    <row r="385">
      <c r="A385" s="11" t="s">
        <v>844</v>
      </c>
      <c r="B385" s="12"/>
      <c r="C385" s="18" t="s">
        <v>19</v>
      </c>
      <c r="D385" s="11" t="s">
        <v>845</v>
      </c>
      <c r="E385" s="13" t="s">
        <v>846</v>
      </c>
      <c r="F385" s="15">
        <v>40889.0</v>
      </c>
    </row>
    <row r="386">
      <c r="A386" s="11" t="s">
        <v>847</v>
      </c>
      <c r="B386" s="12"/>
      <c r="C386" s="16" t="s">
        <v>9</v>
      </c>
      <c r="D386" s="11" t="s">
        <v>848</v>
      </c>
      <c r="E386" s="13" t="s">
        <v>849</v>
      </c>
      <c r="F386" s="15">
        <v>40926.0</v>
      </c>
    </row>
    <row r="387">
      <c r="A387" s="11" t="s">
        <v>850</v>
      </c>
      <c r="B387" s="12"/>
      <c r="C387" s="18" t="s">
        <v>19</v>
      </c>
      <c r="D387" s="19" t="str">
        <f>HYPERLINK("http://idwaneo.org/repo","Open Cydia add source http://idwaneo.org/repo , then search and install Earth and Legend DLC.")</f>
        <v>Open Cydia add source http://idwaneo.org/repo , then search and install Earth and Legend DLC.</v>
      </c>
      <c r="E387" s="13" t="s">
        <v>72</v>
      </c>
      <c r="F387" s="15">
        <v>40919.0</v>
      </c>
    </row>
    <row r="388">
      <c r="A388" s="11" t="s">
        <v>851</v>
      </c>
      <c r="B388" s="12"/>
      <c r="C388" s="16" t="s">
        <v>9</v>
      </c>
      <c r="D388" s="14"/>
      <c r="E388" s="17"/>
      <c r="F388" s="20"/>
    </row>
    <row r="389">
      <c r="A389" s="11" t="s">
        <v>852</v>
      </c>
      <c r="B389" s="12"/>
      <c r="C389" s="13" t="s">
        <v>9</v>
      </c>
      <c r="D389" s="14"/>
      <c r="E389" s="13" t="s">
        <v>603</v>
      </c>
      <c r="F389" s="15">
        <v>40892.0</v>
      </c>
    </row>
    <row r="390">
      <c r="A390" s="11" t="s">
        <v>853</v>
      </c>
      <c r="B390" s="12"/>
      <c r="C390" s="16" t="s">
        <v>9</v>
      </c>
      <c r="D390" s="11" t="s">
        <v>854</v>
      </c>
      <c r="E390" s="17"/>
      <c r="F390" s="20"/>
    </row>
    <row r="391">
      <c r="A391" s="11" t="s">
        <v>855</v>
      </c>
      <c r="B391" s="12"/>
      <c r="C391" s="16" t="s">
        <v>9</v>
      </c>
      <c r="D391" s="14"/>
      <c r="E391" s="13" t="s">
        <v>856</v>
      </c>
      <c r="F391" s="15">
        <v>40793.8013888889</v>
      </c>
    </row>
    <row r="392">
      <c r="A392" s="11" t="s">
        <v>857</v>
      </c>
      <c r="B392" s="12"/>
      <c r="C392" s="16" t="s">
        <v>9</v>
      </c>
      <c r="D392" s="11" t="s">
        <v>858</v>
      </c>
      <c r="E392" s="13" t="s">
        <v>859</v>
      </c>
      <c r="F392" s="15">
        <v>40930.0</v>
      </c>
    </row>
    <row r="393">
      <c r="A393" s="11" t="s">
        <v>860</v>
      </c>
      <c r="B393" s="12"/>
      <c r="C393" s="16" t="s">
        <v>9</v>
      </c>
      <c r="D393" s="14"/>
      <c r="E393" s="13" t="s">
        <v>861</v>
      </c>
      <c r="F393" s="15">
        <v>40885.0</v>
      </c>
    </row>
    <row r="394">
      <c r="A394" s="11" t="s">
        <v>862</v>
      </c>
      <c r="B394" s="12"/>
      <c r="C394" s="16" t="s">
        <v>9</v>
      </c>
      <c r="D394" s="11" t="s">
        <v>525</v>
      </c>
      <c r="E394" s="13" t="s">
        <v>863</v>
      </c>
      <c r="F394" s="15">
        <v>40953.0</v>
      </c>
    </row>
    <row r="395">
      <c r="A395" s="11" t="s">
        <v>864</v>
      </c>
      <c r="B395" s="12"/>
      <c r="C395" s="18" t="s">
        <v>19</v>
      </c>
      <c r="D395" s="11" t="s">
        <v>865</v>
      </c>
      <c r="E395" s="13" t="s">
        <v>866</v>
      </c>
      <c r="F395" s="15">
        <v>40933.0</v>
      </c>
    </row>
    <row r="396">
      <c r="A396" s="5" t="s">
        <v>867</v>
      </c>
      <c r="B396" s="12"/>
      <c r="C396" s="27" t="s">
        <v>19</v>
      </c>
      <c r="D396" s="8" t="s">
        <v>868</v>
      </c>
      <c r="E396" s="17"/>
      <c r="F396" s="39"/>
    </row>
    <row r="397">
      <c r="A397" s="11" t="s">
        <v>869</v>
      </c>
      <c r="B397" s="13" t="s">
        <v>870</v>
      </c>
      <c r="C397" s="13" t="s">
        <v>9</v>
      </c>
      <c r="D397" s="19" t="str">
        <f>HYPERLINK("http://xsellize.com/topic/178704-req-elf-defense-eng-v-101/","Hack is here (post #4).")</f>
        <v>Hack is here (post #4).</v>
      </c>
      <c r="E397" s="13" t="s">
        <v>72</v>
      </c>
      <c r="F397" s="15">
        <v>40959.0</v>
      </c>
    </row>
    <row r="398">
      <c r="A398" s="11" t="s">
        <v>871</v>
      </c>
      <c r="B398" s="12"/>
      <c r="C398" s="16" t="s">
        <v>9</v>
      </c>
      <c r="D398" s="14"/>
      <c r="E398" s="17"/>
      <c r="F398" s="20"/>
    </row>
    <row r="399">
      <c r="A399" s="11" t="s">
        <v>872</v>
      </c>
      <c r="B399" s="12"/>
      <c r="C399" s="18" t="s">
        <v>19</v>
      </c>
      <c r="D399" s="14"/>
      <c r="E399" s="17"/>
      <c r="F399" s="20"/>
    </row>
    <row r="400">
      <c r="A400" s="11" t="s">
        <v>873</v>
      </c>
      <c r="B400" s="12"/>
      <c r="C400" s="18" t="s">
        <v>19</v>
      </c>
      <c r="D400" s="11" t="s">
        <v>874</v>
      </c>
      <c r="E400" s="17"/>
      <c r="F400" s="15">
        <v>40879.0</v>
      </c>
    </row>
    <row r="401">
      <c r="A401" s="11" t="s">
        <v>875</v>
      </c>
      <c r="B401" s="12"/>
      <c r="C401" s="25" t="s">
        <v>19</v>
      </c>
      <c r="D401" s="11" t="s">
        <v>876</v>
      </c>
      <c r="E401" s="13" t="s">
        <v>315</v>
      </c>
      <c r="F401" s="15">
        <v>40908.0</v>
      </c>
    </row>
    <row r="402">
      <c r="A402" s="21" t="s">
        <v>877</v>
      </c>
      <c r="B402" s="26">
        <v>1.0</v>
      </c>
      <c r="C402" s="18" t="s">
        <v>19</v>
      </c>
      <c r="D402" s="11" t="s">
        <v>878</v>
      </c>
      <c r="E402" s="13" t="s">
        <v>540</v>
      </c>
      <c r="F402" s="22">
        <v>40963.0</v>
      </c>
    </row>
    <row r="403">
      <c r="A403" s="11" t="s">
        <v>879</v>
      </c>
      <c r="B403" s="13" t="s">
        <v>201</v>
      </c>
      <c r="C403" s="25" t="s">
        <v>147</v>
      </c>
      <c r="D403" s="19" t="str">
        <f>HYPERLINK("http://store.heaveniphone.com/2011/10/empire-war.html","Works with version 1.0.0-&gt;1.0.2, maybe not with 1.0.3, Download version 1.0.2 here, pass: heaveniphone.com")</f>
        <v>Works with version 1.0.0-&gt;1.0.2, maybe not with 1.0.3, Download version 1.0.2 here, pass: heaveniphone.com</v>
      </c>
      <c r="E403" s="13" t="s">
        <v>50</v>
      </c>
      <c r="F403" s="15">
        <v>40922.0</v>
      </c>
    </row>
    <row r="404">
      <c r="A404" s="11" t="s">
        <v>880</v>
      </c>
      <c r="B404" s="12"/>
      <c r="C404" s="18" t="s">
        <v>19</v>
      </c>
      <c r="D404" s="14"/>
      <c r="E404" s="17"/>
      <c r="F404" s="20"/>
    </row>
    <row r="405">
      <c r="A405" s="35" t="s">
        <v>881</v>
      </c>
      <c r="B405" s="12"/>
      <c r="C405" s="6" t="s">
        <v>9</v>
      </c>
      <c r="D405" s="8" t="s">
        <v>143</v>
      </c>
      <c r="E405" s="9">
        <v>3.21650103E8</v>
      </c>
      <c r="F405" s="23">
        <v>41159.0</v>
      </c>
    </row>
    <row r="406">
      <c r="A406" s="11" t="s">
        <v>882</v>
      </c>
      <c r="B406" s="12"/>
      <c r="C406" s="18" t="s">
        <v>19</v>
      </c>
      <c r="D406" s="11" t="s">
        <v>883</v>
      </c>
      <c r="E406" s="13" t="s">
        <v>884</v>
      </c>
      <c r="F406" s="15">
        <v>40953.0</v>
      </c>
    </row>
    <row r="407">
      <c r="A407" s="21" t="s">
        <v>885</v>
      </c>
      <c r="B407" s="13">
        <v>1.0</v>
      </c>
      <c r="C407" s="16" t="s">
        <v>9</v>
      </c>
      <c r="D407" s="11" t="s">
        <v>886</v>
      </c>
      <c r="E407" s="13" t="s">
        <v>348</v>
      </c>
      <c r="F407" s="22">
        <v>40967.0</v>
      </c>
    </row>
    <row r="408">
      <c r="A408" s="11" t="s">
        <v>887</v>
      </c>
      <c r="B408" s="12"/>
      <c r="C408" s="13" t="s">
        <v>19</v>
      </c>
      <c r="D408" s="19" t="str">
        <f>HYPERLINK("http://xsellize.com/topic/167964-epoch-money-hack/","Money Hack Here.")</f>
        <v>Money Hack Here.</v>
      </c>
      <c r="E408" s="17"/>
      <c r="F408" s="20"/>
    </row>
    <row r="409">
      <c r="A409" s="11" t="s">
        <v>888</v>
      </c>
      <c r="B409" s="12"/>
      <c r="C409" s="25" t="s">
        <v>120</v>
      </c>
      <c r="D409" s="11" t="s">
        <v>889</v>
      </c>
      <c r="E409" s="13" t="s">
        <v>96</v>
      </c>
      <c r="F409" s="15">
        <v>40929.0</v>
      </c>
    </row>
    <row r="410">
      <c r="A410" s="11" t="s">
        <v>890</v>
      </c>
      <c r="B410" s="12"/>
      <c r="C410" s="13" t="s">
        <v>19</v>
      </c>
      <c r="D410" s="19" t="str">
        <f>HYPERLINK("http://xsellize.com/topic/175696-escape-the-ape-hack-v-103/","Gems Hack here.")</f>
        <v>Gems Hack here.</v>
      </c>
      <c r="E410" s="13" t="s">
        <v>72</v>
      </c>
      <c r="F410" s="20"/>
    </row>
    <row r="411">
      <c r="A411" s="11" t="s">
        <v>891</v>
      </c>
      <c r="B411" s="12"/>
      <c r="C411" s="13" t="s">
        <v>19</v>
      </c>
      <c r="D411" s="11" t="s">
        <v>892</v>
      </c>
      <c r="E411" s="13" t="s">
        <v>893</v>
      </c>
      <c r="F411" s="15">
        <v>40950.0</v>
      </c>
    </row>
    <row r="412">
      <c r="A412" s="11" t="s">
        <v>894</v>
      </c>
      <c r="B412" s="12"/>
      <c r="C412" s="16" t="s">
        <v>19</v>
      </c>
      <c r="D412" s="11" t="s">
        <v>895</v>
      </c>
      <c r="E412" s="13" t="s">
        <v>54</v>
      </c>
      <c r="F412" s="15">
        <v>40946.0</v>
      </c>
    </row>
    <row r="413">
      <c r="A413" s="11" t="s">
        <v>896</v>
      </c>
      <c r="B413" s="12"/>
      <c r="C413" s="18" t="s">
        <v>19</v>
      </c>
      <c r="D413" s="14"/>
      <c r="E413" s="17"/>
      <c r="F413" s="20"/>
    </row>
    <row r="414">
      <c r="A414" s="11" t="s">
        <v>897</v>
      </c>
      <c r="B414" s="12"/>
      <c r="C414" s="16" t="s">
        <v>9</v>
      </c>
      <c r="D414" s="14"/>
      <c r="E414" s="13" t="s">
        <v>66</v>
      </c>
      <c r="F414" s="15">
        <v>40881.0</v>
      </c>
    </row>
    <row r="415">
      <c r="A415" s="5" t="s">
        <v>898</v>
      </c>
      <c r="B415" s="12"/>
      <c r="C415" s="40" t="s">
        <v>19</v>
      </c>
      <c r="D415" s="8" t="s">
        <v>899</v>
      </c>
      <c r="E415" s="9" t="s">
        <v>900</v>
      </c>
      <c r="F415" s="23">
        <v>41160.0</v>
      </c>
    </row>
    <row r="416">
      <c r="A416" s="11" t="s">
        <v>901</v>
      </c>
      <c r="B416" s="12"/>
      <c r="C416" s="13" t="s">
        <v>9</v>
      </c>
      <c r="D416" s="14"/>
      <c r="E416" s="17"/>
      <c r="F416" s="20"/>
    </row>
    <row r="417">
      <c r="A417" s="11" t="s">
        <v>902</v>
      </c>
      <c r="B417" s="12"/>
      <c r="C417" s="18" t="s">
        <v>19</v>
      </c>
      <c r="D417" s="14"/>
      <c r="E417" s="13" t="s">
        <v>175</v>
      </c>
      <c r="F417" s="15">
        <v>40793.9138888889</v>
      </c>
    </row>
    <row r="418">
      <c r="A418" s="11" t="s">
        <v>903</v>
      </c>
      <c r="B418" s="12"/>
      <c r="C418" s="18" t="s">
        <v>19</v>
      </c>
      <c r="D418" s="14"/>
      <c r="E418" s="13" t="s">
        <v>96</v>
      </c>
      <c r="F418" s="15">
        <v>40871.0</v>
      </c>
    </row>
    <row r="419">
      <c r="A419" s="11" t="s">
        <v>904</v>
      </c>
      <c r="B419" s="12"/>
      <c r="C419" s="13" t="s">
        <v>9</v>
      </c>
      <c r="D419" s="11" t="s">
        <v>905</v>
      </c>
      <c r="E419" s="13" t="s">
        <v>335</v>
      </c>
      <c r="F419" s="15">
        <v>40922.0</v>
      </c>
    </row>
    <row r="420">
      <c r="A420" s="11" t="s">
        <v>906</v>
      </c>
      <c r="B420" s="12"/>
      <c r="C420" s="25" t="s">
        <v>120</v>
      </c>
      <c r="D420" s="11" t="s">
        <v>907</v>
      </c>
      <c r="E420" s="13" t="s">
        <v>908</v>
      </c>
      <c r="F420" s="15">
        <v>40876.0</v>
      </c>
    </row>
    <row r="421">
      <c r="A421" s="11" t="s">
        <v>909</v>
      </c>
      <c r="B421" s="13" t="s">
        <v>910</v>
      </c>
      <c r="C421" s="25" t="s">
        <v>120</v>
      </c>
      <c r="D421" s="11" t="s">
        <v>911</v>
      </c>
      <c r="E421" s="13" t="s">
        <v>912</v>
      </c>
      <c r="F421" s="15">
        <v>40875.0</v>
      </c>
    </row>
    <row r="422">
      <c r="A422" s="11" t="s">
        <v>913</v>
      </c>
      <c r="B422" s="13" t="s">
        <v>645</v>
      </c>
      <c r="C422" s="16" t="s">
        <v>9</v>
      </c>
      <c r="D422" s="14"/>
      <c r="E422" s="13" t="s">
        <v>914</v>
      </c>
      <c r="F422" s="15">
        <v>40945.0</v>
      </c>
    </row>
    <row r="423">
      <c r="A423" s="11" t="s">
        <v>915</v>
      </c>
      <c r="B423" s="12"/>
      <c r="C423" s="16" t="s">
        <v>9</v>
      </c>
      <c r="D423" s="11" t="s">
        <v>916</v>
      </c>
      <c r="E423" s="13" t="s">
        <v>917</v>
      </c>
      <c r="F423" s="15">
        <v>40949.0</v>
      </c>
    </row>
    <row r="424">
      <c r="A424" s="11" t="s">
        <v>918</v>
      </c>
      <c r="B424" s="12"/>
      <c r="C424" s="16" t="s">
        <v>9</v>
      </c>
      <c r="D424" s="11" t="s">
        <v>919</v>
      </c>
      <c r="E424" s="13">
        <v>6102.0</v>
      </c>
      <c r="F424" s="15">
        <v>40883.0</v>
      </c>
    </row>
    <row r="425">
      <c r="A425" s="11" t="s">
        <v>920</v>
      </c>
      <c r="B425" s="12"/>
      <c r="C425" s="18" t="s">
        <v>19</v>
      </c>
      <c r="D425" s="14"/>
      <c r="E425" s="13" t="s">
        <v>921</v>
      </c>
      <c r="F425" s="15">
        <v>40913.0</v>
      </c>
    </row>
    <row r="426">
      <c r="A426" s="11" t="s">
        <v>922</v>
      </c>
      <c r="B426" s="12"/>
      <c r="C426" s="18" t="s">
        <v>19</v>
      </c>
      <c r="D426" s="14"/>
      <c r="E426" s="17"/>
      <c r="F426" s="20"/>
    </row>
    <row r="427">
      <c r="A427" s="5" t="s">
        <v>923</v>
      </c>
      <c r="B427" s="12"/>
      <c r="C427" s="27" t="s">
        <v>19</v>
      </c>
      <c r="D427" s="8" t="s">
        <v>924</v>
      </c>
      <c r="E427" s="9" t="s">
        <v>554</v>
      </c>
      <c r="F427" s="23">
        <v>41172.0</v>
      </c>
    </row>
    <row r="428">
      <c r="A428" s="11" t="s">
        <v>925</v>
      </c>
      <c r="B428" s="12"/>
      <c r="C428" s="18" t="s">
        <v>19</v>
      </c>
      <c r="D428" s="14"/>
      <c r="E428" s="13" t="s">
        <v>926</v>
      </c>
      <c r="F428" s="20"/>
    </row>
    <row r="429">
      <c r="A429" s="21" t="s">
        <v>927</v>
      </c>
      <c r="B429" s="26" t="s">
        <v>8</v>
      </c>
      <c r="C429" s="13" t="s">
        <v>9</v>
      </c>
      <c r="D429" s="11" t="s">
        <v>928</v>
      </c>
      <c r="E429" s="13" t="s">
        <v>432</v>
      </c>
      <c r="F429" s="15">
        <v>40961.0</v>
      </c>
    </row>
    <row r="430">
      <c r="A430" s="11" t="s">
        <v>929</v>
      </c>
      <c r="B430" s="12"/>
      <c r="C430" s="16" t="s">
        <v>9</v>
      </c>
      <c r="D430" s="11" t="s">
        <v>930</v>
      </c>
      <c r="E430" s="13" t="s">
        <v>435</v>
      </c>
      <c r="F430" s="15">
        <v>40885.0</v>
      </c>
    </row>
    <row r="431">
      <c r="A431" s="11" t="s">
        <v>931</v>
      </c>
      <c r="B431" s="12"/>
      <c r="C431" s="16" t="s">
        <v>19</v>
      </c>
      <c r="D431" s="14"/>
      <c r="E431" s="13" t="s">
        <v>932</v>
      </c>
      <c r="F431" s="15">
        <v>40912.0</v>
      </c>
    </row>
    <row r="432">
      <c r="A432" s="21" t="s">
        <v>931</v>
      </c>
      <c r="B432" s="13" t="s">
        <v>933</v>
      </c>
      <c r="C432" s="13" t="s">
        <v>19</v>
      </c>
      <c r="D432" s="11" t="s">
        <v>934</v>
      </c>
      <c r="E432" s="13" t="s">
        <v>935</v>
      </c>
      <c r="F432" s="15">
        <v>40970.0</v>
      </c>
    </row>
    <row r="433">
      <c r="A433" s="11" t="s">
        <v>936</v>
      </c>
      <c r="B433" s="12"/>
      <c r="C433" s="16" t="s">
        <v>9</v>
      </c>
      <c r="D433" s="14"/>
      <c r="E433" s="13" t="s">
        <v>937</v>
      </c>
      <c r="F433" s="15">
        <v>40913.0</v>
      </c>
    </row>
    <row r="434">
      <c r="A434" s="11" t="s">
        <v>938</v>
      </c>
      <c r="B434" s="12"/>
      <c r="C434" s="16" t="s">
        <v>9</v>
      </c>
      <c r="D434" s="11" t="s">
        <v>939</v>
      </c>
      <c r="E434" s="13" t="s">
        <v>13</v>
      </c>
      <c r="F434" s="15">
        <v>40948.0</v>
      </c>
    </row>
    <row r="435">
      <c r="A435" s="11" t="s">
        <v>940</v>
      </c>
      <c r="B435" s="12"/>
      <c r="C435" s="16" t="s">
        <v>9</v>
      </c>
      <c r="D435" s="11" t="s">
        <v>941</v>
      </c>
      <c r="E435" s="13" t="s">
        <v>13</v>
      </c>
      <c r="F435" s="15">
        <v>40948.0</v>
      </c>
    </row>
    <row r="436">
      <c r="A436" s="11" t="s">
        <v>942</v>
      </c>
      <c r="B436" s="12"/>
      <c r="C436" s="13" t="s">
        <v>9</v>
      </c>
      <c r="D436" s="11" t="s">
        <v>943</v>
      </c>
      <c r="E436" s="13" t="s">
        <v>944</v>
      </c>
      <c r="F436" s="15">
        <v>40956.0</v>
      </c>
    </row>
    <row r="437">
      <c r="A437" s="11" t="s">
        <v>945</v>
      </c>
      <c r="B437" s="12"/>
      <c r="C437" s="18" t="s">
        <v>19</v>
      </c>
      <c r="D437" s="11" t="s">
        <v>946</v>
      </c>
      <c r="E437" s="13" t="s">
        <v>947</v>
      </c>
      <c r="F437" s="15">
        <v>40928.0</v>
      </c>
    </row>
    <row r="438">
      <c r="A438" s="11" t="s">
        <v>948</v>
      </c>
      <c r="B438" s="12"/>
      <c r="C438" s="16" t="s">
        <v>9</v>
      </c>
      <c r="D438" s="11" t="s">
        <v>949</v>
      </c>
      <c r="E438" s="17"/>
      <c r="F438" s="20"/>
    </row>
    <row r="439">
      <c r="A439" s="11" t="s">
        <v>950</v>
      </c>
      <c r="B439" s="12"/>
      <c r="C439" s="13" t="s">
        <v>9</v>
      </c>
      <c r="D439" s="11" t="s">
        <v>951</v>
      </c>
      <c r="E439" s="13" t="s">
        <v>952</v>
      </c>
      <c r="F439" s="15">
        <v>40891.0</v>
      </c>
    </row>
    <row r="440">
      <c r="A440" s="5" t="s">
        <v>950</v>
      </c>
      <c r="B440" s="6" t="s">
        <v>953</v>
      </c>
      <c r="C440" s="27" t="s">
        <v>19</v>
      </c>
      <c r="D440" s="8" t="s">
        <v>954</v>
      </c>
      <c r="E440" s="9" t="s">
        <v>955</v>
      </c>
      <c r="F440" s="28">
        <v>41067.0</v>
      </c>
    </row>
    <row r="441">
      <c r="A441" s="11" t="s">
        <v>956</v>
      </c>
      <c r="B441" s="12"/>
      <c r="C441" s="18" t="s">
        <v>19</v>
      </c>
      <c r="D441" s="14"/>
      <c r="E441" s="17"/>
      <c r="F441" s="20"/>
    </row>
    <row r="442">
      <c r="A442" s="11" t="s">
        <v>957</v>
      </c>
      <c r="B442" s="12"/>
      <c r="C442" s="13" t="s">
        <v>19</v>
      </c>
      <c r="D442" s="19" t="str">
        <f>HYPERLINK("http://heaveniphone.com/iphone-kinh-nghiem-choi-game/62595-huong-dan-hack-fantasy-town-1-0-1-gameloft.html","Hack click here")</f>
        <v>Hack click here</v>
      </c>
      <c r="E442" s="13" t="s">
        <v>72</v>
      </c>
      <c r="F442" s="15">
        <v>40919.0</v>
      </c>
    </row>
    <row r="443">
      <c r="A443" s="11" t="s">
        <v>958</v>
      </c>
      <c r="B443" s="12"/>
      <c r="C443" s="16" t="s">
        <v>9</v>
      </c>
      <c r="D443" s="11" t="s">
        <v>168</v>
      </c>
      <c r="E443" s="13" t="s">
        <v>959</v>
      </c>
      <c r="F443" s="15">
        <v>40951.0</v>
      </c>
    </row>
    <row r="444">
      <c r="A444" s="11" t="s">
        <v>960</v>
      </c>
      <c r="B444" s="12"/>
      <c r="C444" s="25" t="s">
        <v>19</v>
      </c>
      <c r="D444" s="11" t="s">
        <v>961</v>
      </c>
      <c r="E444" s="13" t="s">
        <v>962</v>
      </c>
      <c r="F444" s="15">
        <v>40901.0</v>
      </c>
    </row>
    <row r="445">
      <c r="A445" s="11" t="s">
        <v>963</v>
      </c>
      <c r="B445" s="12"/>
      <c r="C445" s="16" t="s">
        <v>9</v>
      </c>
      <c r="D445" s="11" t="s">
        <v>964</v>
      </c>
      <c r="E445" s="13" t="s">
        <v>965</v>
      </c>
      <c r="F445" s="15">
        <v>40949.0</v>
      </c>
    </row>
    <row r="446">
      <c r="A446" s="11" t="s">
        <v>966</v>
      </c>
      <c r="B446" s="12"/>
      <c r="C446" s="18" t="s">
        <v>19</v>
      </c>
      <c r="D446" s="11" t="s">
        <v>967</v>
      </c>
      <c r="E446" s="17"/>
      <c r="F446" s="15">
        <v>40924.0</v>
      </c>
    </row>
    <row r="447">
      <c r="A447" s="11" t="s">
        <v>968</v>
      </c>
      <c r="B447" s="12"/>
      <c r="C447" s="13" t="s">
        <v>9</v>
      </c>
      <c r="D447" s="11" t="s">
        <v>969</v>
      </c>
      <c r="E447" s="13" t="s">
        <v>521</v>
      </c>
      <c r="F447" s="15">
        <v>40920.0</v>
      </c>
    </row>
    <row r="448">
      <c r="A448" s="11" t="s">
        <v>970</v>
      </c>
      <c r="B448" s="12"/>
      <c r="C448" s="16" t="s">
        <v>9</v>
      </c>
      <c r="D448" s="14"/>
      <c r="E448" s="13" t="s">
        <v>50</v>
      </c>
      <c r="F448" s="15">
        <v>40899.0</v>
      </c>
    </row>
    <row r="449">
      <c r="A449" s="11" t="s">
        <v>971</v>
      </c>
      <c r="B449" s="12"/>
      <c r="C449" s="16" t="s">
        <v>972</v>
      </c>
      <c r="D449" s="11" t="s">
        <v>973</v>
      </c>
      <c r="E449" s="13" t="s">
        <v>974</v>
      </c>
      <c r="F449" s="15">
        <v>40951.0</v>
      </c>
    </row>
    <row r="450">
      <c r="A450" s="11" t="s">
        <v>975</v>
      </c>
      <c r="B450" s="12"/>
      <c r="C450" s="13" t="s">
        <v>9</v>
      </c>
      <c r="D450" s="11" t="s">
        <v>976</v>
      </c>
      <c r="E450" s="13" t="s">
        <v>203</v>
      </c>
      <c r="F450" s="15">
        <v>40915.0</v>
      </c>
    </row>
    <row r="451">
      <c r="A451" s="21" t="s">
        <v>977</v>
      </c>
      <c r="B451" s="13" t="s">
        <v>701</v>
      </c>
      <c r="C451" s="16" t="s">
        <v>9</v>
      </c>
      <c r="D451" s="11" t="s">
        <v>978</v>
      </c>
      <c r="E451" s="13" t="s">
        <v>944</v>
      </c>
      <c r="F451" s="22">
        <v>40965.0</v>
      </c>
    </row>
    <row r="452">
      <c r="A452" s="11" t="s">
        <v>979</v>
      </c>
      <c r="B452" s="12"/>
      <c r="C452" s="16" t="s">
        <v>9</v>
      </c>
      <c r="D452" s="14"/>
      <c r="E452" s="13" t="s">
        <v>72</v>
      </c>
      <c r="F452" s="15">
        <v>40918.0</v>
      </c>
    </row>
    <row r="453">
      <c r="A453" s="11" t="s">
        <v>980</v>
      </c>
      <c r="B453" s="12"/>
      <c r="C453" s="18" t="s">
        <v>981</v>
      </c>
      <c r="D453" s="19" t="str">
        <f>HYPERLINK("http://www.mediafire.com/?qx95fn422wrcde4","Download full 8 maps here and put all the files to var/mobile/Applications/Fieldrunners/Documents")</f>
        <v>Download full 8 maps here and put all the files to var/mobile/Applications/Fieldrunners/Documents</v>
      </c>
      <c r="E453" s="13" t="s">
        <v>982</v>
      </c>
      <c r="F453" s="15">
        <v>40919.0</v>
      </c>
    </row>
    <row r="454">
      <c r="A454" s="5" t="s">
        <v>983</v>
      </c>
      <c r="B454" s="6" t="s">
        <v>984</v>
      </c>
      <c r="C454" s="18" t="s">
        <v>985</v>
      </c>
      <c r="D454" s="8" t="s">
        <v>986</v>
      </c>
      <c r="E454" s="9" t="s">
        <v>109</v>
      </c>
      <c r="F454" s="23">
        <v>41178.0</v>
      </c>
    </row>
    <row r="455">
      <c r="A455" s="11" t="s">
        <v>987</v>
      </c>
      <c r="B455" s="12"/>
      <c r="C455" s="18" t="s">
        <v>19</v>
      </c>
      <c r="D455" s="11" t="s">
        <v>988</v>
      </c>
      <c r="E455" s="17"/>
      <c r="F455" s="15">
        <v>40955.0</v>
      </c>
    </row>
    <row r="456">
      <c r="A456" s="11" t="s">
        <v>989</v>
      </c>
      <c r="B456" s="12"/>
      <c r="C456" s="18" t="s">
        <v>19</v>
      </c>
      <c r="D456" s="11" t="s">
        <v>990</v>
      </c>
      <c r="E456" s="13" t="s">
        <v>991</v>
      </c>
      <c r="F456" s="15">
        <v>40909.0</v>
      </c>
    </row>
    <row r="457">
      <c r="A457" s="5" t="s">
        <v>992</v>
      </c>
      <c r="B457" s="6" t="s">
        <v>286</v>
      </c>
      <c r="C457" s="6" t="s">
        <v>9</v>
      </c>
      <c r="D457" s="8" t="s">
        <v>993</v>
      </c>
      <c r="E457" s="9" t="s">
        <v>994</v>
      </c>
      <c r="F457" s="23">
        <v>41162.0</v>
      </c>
    </row>
    <row r="458">
      <c r="A458" s="5" t="s">
        <v>995</v>
      </c>
      <c r="B458" s="6" t="s">
        <v>659</v>
      </c>
      <c r="C458" s="6" t="s">
        <v>9</v>
      </c>
      <c r="D458" s="8" t="s">
        <v>996</v>
      </c>
      <c r="E458" s="9" t="s">
        <v>997</v>
      </c>
      <c r="F458" s="23">
        <v>41160.0</v>
      </c>
    </row>
    <row r="459">
      <c r="A459" s="11" t="s">
        <v>998</v>
      </c>
      <c r="B459" s="12"/>
      <c r="C459" s="13" t="s">
        <v>9</v>
      </c>
      <c r="D459" s="14"/>
      <c r="E459" s="17"/>
      <c r="F459" s="20"/>
    </row>
    <row r="460">
      <c r="A460" s="11" t="s">
        <v>999</v>
      </c>
      <c r="B460" s="12"/>
      <c r="C460" s="18" t="s">
        <v>19</v>
      </c>
      <c r="D460" s="11" t="s">
        <v>1000</v>
      </c>
      <c r="E460" s="13" t="s">
        <v>1001</v>
      </c>
      <c r="F460" s="15">
        <v>40923.0</v>
      </c>
    </row>
    <row r="461">
      <c r="A461" s="11" t="s">
        <v>1002</v>
      </c>
      <c r="B461" s="12"/>
      <c r="C461" s="16" t="s">
        <v>9</v>
      </c>
      <c r="D461" s="11" t="s">
        <v>1003</v>
      </c>
      <c r="E461" s="13" t="s">
        <v>738</v>
      </c>
      <c r="F461" s="15">
        <v>40950.0</v>
      </c>
    </row>
    <row r="462">
      <c r="A462" s="11" t="s">
        <v>1004</v>
      </c>
      <c r="B462" s="12"/>
      <c r="C462" s="18" t="s">
        <v>19</v>
      </c>
      <c r="D462" s="14"/>
      <c r="E462" s="17"/>
      <c r="F462" s="20"/>
    </row>
    <row r="463">
      <c r="A463" s="11" t="s">
        <v>1005</v>
      </c>
      <c r="B463" s="12"/>
      <c r="C463" s="13" t="s">
        <v>9</v>
      </c>
      <c r="D463" s="11" t="s">
        <v>1006</v>
      </c>
      <c r="E463" s="13" t="s">
        <v>1007</v>
      </c>
      <c r="F463" s="20"/>
    </row>
    <row r="464">
      <c r="A464" s="11" t="s">
        <v>1008</v>
      </c>
      <c r="B464" s="12"/>
      <c r="C464" s="18" t="s">
        <v>19</v>
      </c>
      <c r="D464" s="19" t="str">
        <f>HYPERLINK("http://xsellize.com/topic/175379-fish-hunter-all-blue-sea-hack-v27/","Save, hack here.")</f>
        <v>Save, hack here.</v>
      </c>
      <c r="E464" s="13" t="s">
        <v>72</v>
      </c>
      <c r="F464" s="15">
        <v>40917.0</v>
      </c>
    </row>
    <row r="465">
      <c r="A465" s="11" t="s">
        <v>1009</v>
      </c>
      <c r="B465" s="12"/>
      <c r="C465" s="16" t="s">
        <v>9</v>
      </c>
      <c r="D465" s="11" t="s">
        <v>1010</v>
      </c>
      <c r="E465" s="13" t="s">
        <v>23</v>
      </c>
      <c r="F465" s="15">
        <v>40926.0</v>
      </c>
    </row>
    <row r="466">
      <c r="A466" s="11" t="s">
        <v>1011</v>
      </c>
      <c r="B466" s="13" t="s">
        <v>1012</v>
      </c>
      <c r="C466" s="18" t="s">
        <v>19</v>
      </c>
      <c r="D466" s="19" t="str">
        <f>HYPERLINK("http://www.youtube.com/watch?v=1tsz2UKM494&amp;feature=player_embedded","Hack here (youtube 1.6.3)")</f>
        <v>Hack here (youtube 1.6.3)</v>
      </c>
      <c r="E466" s="13" t="s">
        <v>335</v>
      </c>
      <c r="F466" s="15">
        <v>40961.0</v>
      </c>
    </row>
    <row r="467">
      <c r="A467" s="11" t="s">
        <v>1013</v>
      </c>
      <c r="B467" s="12"/>
      <c r="C467" s="18" t="s">
        <v>19</v>
      </c>
      <c r="D467" s="19" t="str">
        <f>HYPERLINK("http://xsellize.com/topic/177149-hex-fishing-kings-free-hack-v102/","Hack Here (Hex Edit).")</f>
        <v>Hack Here (Hex Edit).</v>
      </c>
      <c r="E467" s="13" t="s">
        <v>50</v>
      </c>
      <c r="F467" s="15">
        <v>40899.0</v>
      </c>
    </row>
    <row r="468">
      <c r="A468" s="11" t="s">
        <v>1014</v>
      </c>
      <c r="B468" s="12"/>
      <c r="C468" s="18" t="s">
        <v>19</v>
      </c>
      <c r="D468" s="11" t="s">
        <v>1015</v>
      </c>
      <c r="E468" s="17"/>
      <c r="F468" s="15">
        <v>40909.0</v>
      </c>
    </row>
    <row r="469">
      <c r="A469" s="11" t="s">
        <v>1016</v>
      </c>
      <c r="B469" s="12"/>
      <c r="C469" s="16" t="s">
        <v>9</v>
      </c>
      <c r="D469" s="11" t="s">
        <v>25</v>
      </c>
      <c r="E469" s="13" t="s">
        <v>1017</v>
      </c>
      <c r="F469" s="15">
        <v>40949.0</v>
      </c>
    </row>
    <row r="470">
      <c r="A470" s="29" t="s">
        <v>1018</v>
      </c>
      <c r="B470" s="6" t="s">
        <v>1019</v>
      </c>
      <c r="C470" s="27" t="s">
        <v>19</v>
      </c>
      <c r="D470" s="8" t="s">
        <v>1020</v>
      </c>
      <c r="E470" s="6" t="s">
        <v>274</v>
      </c>
      <c r="F470" s="28">
        <v>41015.0</v>
      </c>
    </row>
    <row r="471">
      <c r="A471" s="11" t="s">
        <v>1021</v>
      </c>
      <c r="B471" s="12"/>
      <c r="C471" s="16" t="s">
        <v>9</v>
      </c>
      <c r="D471" s="11" t="s">
        <v>1022</v>
      </c>
      <c r="E471" s="13" t="s">
        <v>96</v>
      </c>
      <c r="F471" s="15">
        <v>40876.0</v>
      </c>
    </row>
    <row r="472">
      <c r="A472" s="11" t="s">
        <v>1023</v>
      </c>
      <c r="B472" s="12"/>
      <c r="C472" s="13" t="s">
        <v>19</v>
      </c>
      <c r="D472" s="11" t="s">
        <v>1024</v>
      </c>
      <c r="E472" s="13" t="s">
        <v>63</v>
      </c>
      <c r="F472" s="20"/>
    </row>
    <row r="473">
      <c r="A473" s="11" t="s">
        <v>1025</v>
      </c>
      <c r="B473" s="12"/>
      <c r="C473" s="16" t="s">
        <v>9</v>
      </c>
      <c r="D473" s="14"/>
      <c r="E473" s="17"/>
      <c r="F473" s="20"/>
    </row>
    <row r="474">
      <c r="A474" s="11" t="s">
        <v>1026</v>
      </c>
      <c r="B474" s="12"/>
      <c r="C474" s="16" t="s">
        <v>9</v>
      </c>
      <c r="D474" s="11" t="s">
        <v>1027</v>
      </c>
      <c r="E474" s="13" t="s">
        <v>1028</v>
      </c>
      <c r="F474" s="15">
        <v>40884.0</v>
      </c>
    </row>
    <row r="475">
      <c r="A475" s="11" t="s">
        <v>1029</v>
      </c>
      <c r="B475" s="12"/>
      <c r="C475" s="16" t="s">
        <v>9</v>
      </c>
      <c r="D475" s="14"/>
      <c r="E475" s="13" t="s">
        <v>87</v>
      </c>
      <c r="F475" s="15">
        <v>40899.0</v>
      </c>
    </row>
    <row r="476">
      <c r="A476" s="11" t="s">
        <v>1030</v>
      </c>
      <c r="B476" s="12"/>
      <c r="C476" s="16" t="s">
        <v>19</v>
      </c>
      <c r="D476" s="11" t="s">
        <v>1031</v>
      </c>
      <c r="E476" s="13" t="s">
        <v>96</v>
      </c>
      <c r="F476" s="15">
        <v>40887.0</v>
      </c>
    </row>
    <row r="477">
      <c r="A477" s="11" t="s">
        <v>1032</v>
      </c>
      <c r="B477" s="12"/>
      <c r="C477" s="16" t="s">
        <v>9</v>
      </c>
      <c r="D477" s="11" t="s">
        <v>1033</v>
      </c>
      <c r="E477" s="13" t="s">
        <v>745</v>
      </c>
      <c r="F477" s="15">
        <v>40906.0</v>
      </c>
    </row>
    <row r="478">
      <c r="A478" s="11" t="s">
        <v>1034</v>
      </c>
      <c r="B478" s="12"/>
      <c r="C478" s="18" t="s">
        <v>19</v>
      </c>
      <c r="D478" s="14"/>
      <c r="E478" s="13" t="s">
        <v>175</v>
      </c>
      <c r="F478" s="15">
        <v>40793.9138888889</v>
      </c>
    </row>
    <row r="479">
      <c r="A479" s="11" t="s">
        <v>1035</v>
      </c>
      <c r="B479" s="12"/>
      <c r="C479" s="16" t="s">
        <v>9</v>
      </c>
      <c r="D479" s="8" t="s">
        <v>1036</v>
      </c>
      <c r="E479" s="37"/>
      <c r="F479" s="41"/>
    </row>
    <row r="480">
      <c r="A480" s="11" t="s">
        <v>1037</v>
      </c>
      <c r="B480" s="42" t="s">
        <v>1038</v>
      </c>
      <c r="C480" s="13" t="s">
        <v>9</v>
      </c>
      <c r="D480" s="8" t="s">
        <v>1039</v>
      </c>
      <c r="E480" s="13" t="s">
        <v>1040</v>
      </c>
      <c r="F480" s="15">
        <v>41092.0</v>
      </c>
    </row>
    <row r="481">
      <c r="A481" s="11" t="s">
        <v>1041</v>
      </c>
      <c r="B481" s="12"/>
      <c r="C481" s="13" t="s">
        <v>9</v>
      </c>
      <c r="D481" s="11" t="s">
        <v>1042</v>
      </c>
      <c r="E481" s="13" t="s">
        <v>13</v>
      </c>
      <c r="F481" s="15">
        <v>40928.0</v>
      </c>
    </row>
    <row r="482">
      <c r="A482" s="11" t="s">
        <v>1043</v>
      </c>
      <c r="B482" s="12"/>
      <c r="C482" s="18" t="s">
        <v>19</v>
      </c>
      <c r="D482" s="11" t="s">
        <v>1044</v>
      </c>
      <c r="E482" s="13" t="s">
        <v>1045</v>
      </c>
      <c r="F482" s="15">
        <v>40929.0</v>
      </c>
    </row>
    <row r="483">
      <c r="A483" s="11" t="s">
        <v>1046</v>
      </c>
      <c r="B483" s="12"/>
      <c r="C483" s="18" t="s">
        <v>19</v>
      </c>
      <c r="D483" s="19" t="str">
        <f>HYPERLINK("http://xsellize.com/topic/175484-flying-defense-hack-cheat-v142/","Coins, Gems, Heros Hack Here.")</f>
        <v>Coins, Gems, Heros Hack Here.</v>
      </c>
      <c r="E483" s="13" t="s">
        <v>72</v>
      </c>
      <c r="F483" s="15">
        <v>40917.0</v>
      </c>
    </row>
    <row r="484">
      <c r="A484" s="11" t="s">
        <v>1047</v>
      </c>
      <c r="B484" s="12"/>
      <c r="C484" s="13" t="s">
        <v>9</v>
      </c>
      <c r="D484" s="11" t="s">
        <v>1048</v>
      </c>
      <c r="E484" s="13" t="s">
        <v>745</v>
      </c>
      <c r="F484" s="15">
        <v>40906.0</v>
      </c>
    </row>
    <row r="485">
      <c r="A485" s="11" t="s">
        <v>1049</v>
      </c>
      <c r="B485" s="12"/>
      <c r="C485" s="16" t="s">
        <v>9</v>
      </c>
      <c r="D485" s="14"/>
      <c r="E485" s="13" t="s">
        <v>175</v>
      </c>
      <c r="F485" s="15">
        <v>40793.9138888889</v>
      </c>
    </row>
    <row r="486">
      <c r="A486" s="11" t="s">
        <v>1050</v>
      </c>
      <c r="B486" s="12"/>
      <c r="C486" s="18" t="s">
        <v>9</v>
      </c>
      <c r="D486" s="14"/>
      <c r="E486" s="13" t="s">
        <v>72</v>
      </c>
      <c r="F486" s="15">
        <v>40923.0</v>
      </c>
    </row>
    <row r="487">
      <c r="A487" s="11" t="s">
        <v>1051</v>
      </c>
      <c r="B487" s="12"/>
      <c r="C487" s="18" t="s">
        <v>19</v>
      </c>
      <c r="D487" s="14"/>
      <c r="E487" s="13" t="s">
        <v>175</v>
      </c>
      <c r="F487" s="15">
        <v>40793.9138888889</v>
      </c>
    </row>
    <row r="488">
      <c r="A488" s="11" t="s">
        <v>1052</v>
      </c>
      <c r="B488" s="12"/>
      <c r="C488" s="13" t="s">
        <v>19</v>
      </c>
      <c r="D488" s="11" t="s">
        <v>1053</v>
      </c>
      <c r="E488" s="13" t="s">
        <v>1054</v>
      </c>
      <c r="F488" s="15">
        <v>40915.0</v>
      </c>
    </row>
    <row r="489">
      <c r="A489" s="11" t="s">
        <v>1055</v>
      </c>
      <c r="B489" s="12"/>
      <c r="C489" s="18" t="s">
        <v>19</v>
      </c>
      <c r="D489" s="14"/>
      <c r="E489" s="13" t="s">
        <v>932</v>
      </c>
      <c r="F489" s="15">
        <v>40912.0</v>
      </c>
    </row>
    <row r="490">
      <c r="A490" s="11" t="s">
        <v>1056</v>
      </c>
      <c r="B490" s="12"/>
      <c r="C490" s="18" t="s">
        <v>19</v>
      </c>
      <c r="D490" s="14"/>
      <c r="E490" s="17"/>
      <c r="F490" s="20"/>
    </row>
    <row r="491">
      <c r="A491" s="11" t="s">
        <v>1057</v>
      </c>
      <c r="B491" s="12"/>
      <c r="C491" s="13" t="s">
        <v>9</v>
      </c>
      <c r="D491" s="11" t="s">
        <v>1058</v>
      </c>
      <c r="E491" s="13" t="s">
        <v>1059</v>
      </c>
      <c r="F491" s="15">
        <v>40890.0</v>
      </c>
    </row>
    <row r="492">
      <c r="A492" s="5" t="s">
        <v>1060</v>
      </c>
      <c r="B492" s="6">
        <v>2.1</v>
      </c>
      <c r="C492" s="27" t="s">
        <v>19</v>
      </c>
      <c r="D492" s="8" t="s">
        <v>1061</v>
      </c>
      <c r="E492" s="9" t="s">
        <v>1062</v>
      </c>
      <c r="F492" s="23">
        <v>41163.0</v>
      </c>
    </row>
    <row r="493">
      <c r="A493" s="5" t="s">
        <v>1063</v>
      </c>
      <c r="B493" s="6" t="s">
        <v>727</v>
      </c>
      <c r="C493" s="6" t="s">
        <v>19</v>
      </c>
      <c r="D493" s="8" t="s">
        <v>1064</v>
      </c>
      <c r="E493" s="9" t="s">
        <v>1065</v>
      </c>
      <c r="F493" s="23">
        <v>41162.0</v>
      </c>
    </row>
    <row r="494">
      <c r="A494" s="11" t="s">
        <v>1066</v>
      </c>
      <c r="B494" s="12"/>
      <c r="C494" s="16" t="s">
        <v>9</v>
      </c>
      <c r="D494" s="14"/>
      <c r="E494" s="13" t="s">
        <v>175</v>
      </c>
      <c r="F494" s="15">
        <v>40793.9138888889</v>
      </c>
    </row>
    <row r="495">
      <c r="A495" s="11" t="s">
        <v>1067</v>
      </c>
      <c r="B495" s="12"/>
      <c r="C495" s="16" t="s">
        <v>9</v>
      </c>
      <c r="D495" s="11" t="s">
        <v>1068</v>
      </c>
      <c r="E495" s="13" t="s">
        <v>1069</v>
      </c>
      <c r="F495" s="15">
        <v>40874.0</v>
      </c>
    </row>
    <row r="496">
      <c r="A496" s="11" t="s">
        <v>1070</v>
      </c>
      <c r="B496" s="12"/>
      <c r="C496" s="16" t="s">
        <v>9</v>
      </c>
      <c r="D496" s="14"/>
      <c r="E496" s="13" t="s">
        <v>1071</v>
      </c>
      <c r="F496" s="15">
        <v>40902.0</v>
      </c>
    </row>
    <row r="497">
      <c r="A497" s="11" t="s">
        <v>1072</v>
      </c>
      <c r="B497" s="12"/>
      <c r="C497" s="13" t="s">
        <v>9</v>
      </c>
      <c r="D497" s="11" t="s">
        <v>1073</v>
      </c>
      <c r="E497" s="13" t="s">
        <v>1074</v>
      </c>
      <c r="F497" s="15">
        <v>40913.0</v>
      </c>
    </row>
    <row r="498">
      <c r="A498" s="11" t="s">
        <v>1075</v>
      </c>
      <c r="B498" s="12"/>
      <c r="C498" s="16" t="s">
        <v>9</v>
      </c>
      <c r="D498" s="14"/>
      <c r="E498" s="13" t="s">
        <v>1076</v>
      </c>
      <c r="F498" s="15">
        <v>40883.0</v>
      </c>
    </row>
    <row r="499">
      <c r="A499" s="5" t="s">
        <v>1077</v>
      </c>
      <c r="B499" s="12"/>
      <c r="C499" s="7" t="s">
        <v>9</v>
      </c>
      <c r="D499" s="8" t="s">
        <v>1078</v>
      </c>
      <c r="E499" s="9" t="s">
        <v>109</v>
      </c>
      <c r="F499" s="23">
        <v>41178.0</v>
      </c>
    </row>
    <row r="500">
      <c r="A500" s="11" t="s">
        <v>1079</v>
      </c>
      <c r="B500" s="12"/>
      <c r="C500" s="13" t="s">
        <v>9</v>
      </c>
      <c r="D500" s="8" t="s">
        <v>1080</v>
      </c>
      <c r="E500" s="13" t="s">
        <v>1081</v>
      </c>
      <c r="F500" s="38" t="s">
        <v>1082</v>
      </c>
    </row>
    <row r="501">
      <c r="A501" s="11" t="s">
        <v>1083</v>
      </c>
      <c r="B501" s="12"/>
      <c r="C501" s="13" t="s">
        <v>19</v>
      </c>
      <c r="D501" s="11" t="s">
        <v>1084</v>
      </c>
      <c r="E501" s="17"/>
      <c r="F501" s="15">
        <v>40937.0</v>
      </c>
    </row>
    <row r="502">
      <c r="A502" s="11" t="s">
        <v>1085</v>
      </c>
      <c r="B502" s="12"/>
      <c r="C502" s="13" t="s">
        <v>19</v>
      </c>
      <c r="D502" s="14"/>
      <c r="E502" s="17"/>
      <c r="F502" s="15">
        <v>40922.0</v>
      </c>
    </row>
    <row r="503">
      <c r="A503" s="11" t="s">
        <v>1086</v>
      </c>
      <c r="B503" s="12"/>
      <c r="C503" s="13" t="s">
        <v>9</v>
      </c>
      <c r="D503" s="11" t="s">
        <v>1087</v>
      </c>
      <c r="E503" s="13" t="s">
        <v>13</v>
      </c>
      <c r="F503" s="15">
        <v>40928.0</v>
      </c>
    </row>
    <row r="504">
      <c r="A504" s="11" t="s">
        <v>1088</v>
      </c>
      <c r="B504" s="12"/>
      <c r="C504" s="16" t="s">
        <v>9</v>
      </c>
      <c r="D504" s="11" t="s">
        <v>1089</v>
      </c>
      <c r="E504" s="13" t="s">
        <v>54</v>
      </c>
      <c r="F504" s="15">
        <v>40946.0</v>
      </c>
    </row>
    <row r="505">
      <c r="A505" s="11" t="s">
        <v>1090</v>
      </c>
      <c r="B505" s="12"/>
      <c r="C505" s="16" t="s">
        <v>9</v>
      </c>
      <c r="D505" s="14"/>
      <c r="E505" s="13" t="s">
        <v>932</v>
      </c>
      <c r="F505" s="15">
        <v>40912.0</v>
      </c>
    </row>
    <row r="506">
      <c r="A506" s="11" t="s">
        <v>1091</v>
      </c>
      <c r="B506" s="12"/>
      <c r="C506" s="16" t="s">
        <v>9</v>
      </c>
      <c r="D506" s="14"/>
      <c r="E506" s="13" t="s">
        <v>932</v>
      </c>
      <c r="F506" s="15">
        <v>40912.0</v>
      </c>
    </row>
    <row r="507">
      <c r="A507" s="11" t="s">
        <v>1092</v>
      </c>
      <c r="B507" s="12"/>
      <c r="C507" s="16" t="s">
        <v>9</v>
      </c>
      <c r="D507" s="14"/>
      <c r="E507" s="13" t="s">
        <v>15</v>
      </c>
      <c r="F507" s="15">
        <v>40896.0</v>
      </c>
    </row>
    <row r="508">
      <c r="A508" s="21" t="s">
        <v>1092</v>
      </c>
      <c r="B508" s="13">
        <v>1.1</v>
      </c>
      <c r="C508" s="13" t="s">
        <v>9</v>
      </c>
      <c r="D508" s="11" t="s">
        <v>1093</v>
      </c>
      <c r="E508" s="13" t="s">
        <v>1094</v>
      </c>
      <c r="F508" s="15">
        <v>40972.0</v>
      </c>
    </row>
    <row r="509">
      <c r="A509" s="11" t="s">
        <v>1095</v>
      </c>
      <c r="B509" s="12"/>
      <c r="C509" s="13" t="s">
        <v>9</v>
      </c>
      <c r="D509" s="14"/>
      <c r="E509" s="17"/>
      <c r="F509" s="20"/>
    </row>
    <row r="510">
      <c r="A510" s="11" t="s">
        <v>1096</v>
      </c>
      <c r="B510" s="12"/>
      <c r="C510" s="43" t="s">
        <v>9</v>
      </c>
      <c r="D510" s="11" t="s">
        <v>1097</v>
      </c>
      <c r="E510" s="13" t="s">
        <v>1098</v>
      </c>
      <c r="F510" s="15">
        <v>40897.0</v>
      </c>
    </row>
    <row r="511">
      <c r="A511" s="11" t="s">
        <v>1099</v>
      </c>
      <c r="B511" s="12"/>
      <c r="C511" s="13" t="s">
        <v>19</v>
      </c>
      <c r="D511" s="19" t="str">
        <f>HYPERLINK("http://xsellize.com/topic/176327-funky-instruments-unlock-all-in-app-purchases-v20/","Unlock all In App Purchases here.")</f>
        <v>Unlock all In App Purchases here.</v>
      </c>
      <c r="E511" s="17"/>
      <c r="F511" s="20"/>
    </row>
    <row r="512">
      <c r="A512" s="11" t="s">
        <v>1100</v>
      </c>
      <c r="B512" s="12"/>
      <c r="C512" s="16" t="s">
        <v>9</v>
      </c>
      <c r="D512" s="14"/>
      <c r="E512" s="13" t="s">
        <v>66</v>
      </c>
      <c r="F512" s="15">
        <v>40881.0</v>
      </c>
    </row>
    <row r="513">
      <c r="A513" s="11" t="s">
        <v>1101</v>
      </c>
      <c r="B513" s="12"/>
      <c r="C513" s="13" t="s">
        <v>9</v>
      </c>
      <c r="D513" s="14"/>
      <c r="E513" s="17"/>
      <c r="F513" s="20"/>
    </row>
    <row r="514">
      <c r="A514" s="11" t="s">
        <v>1102</v>
      </c>
      <c r="B514" s="12"/>
      <c r="C514" s="13" t="s">
        <v>9</v>
      </c>
      <c r="D514" s="14"/>
      <c r="E514" s="13" t="s">
        <v>72</v>
      </c>
      <c r="F514" s="15">
        <v>40922.0</v>
      </c>
    </row>
    <row r="515">
      <c r="A515" s="11" t="s">
        <v>1103</v>
      </c>
      <c r="B515" s="12"/>
      <c r="C515" s="18" t="s">
        <v>19</v>
      </c>
      <c r="D515" s="14"/>
      <c r="E515" s="13" t="s">
        <v>136</v>
      </c>
      <c r="F515" s="15">
        <v>40793.7604166667</v>
      </c>
    </row>
    <row r="516">
      <c r="A516" s="11" t="s">
        <v>1104</v>
      </c>
      <c r="B516" s="12"/>
      <c r="C516" s="13" t="s">
        <v>9</v>
      </c>
      <c r="D516" s="11" t="s">
        <v>1105</v>
      </c>
      <c r="E516" s="13" t="s">
        <v>629</v>
      </c>
      <c r="F516" s="15">
        <v>40937.0</v>
      </c>
    </row>
    <row r="517">
      <c r="A517" s="11" t="s">
        <v>1106</v>
      </c>
      <c r="B517" s="12"/>
      <c r="C517" s="18" t="s">
        <v>19</v>
      </c>
      <c r="D517" s="11" t="s">
        <v>1107</v>
      </c>
      <c r="E517" s="13" t="s">
        <v>1108</v>
      </c>
      <c r="F517" s="15">
        <v>40933.0</v>
      </c>
    </row>
    <row r="518">
      <c r="A518" s="5" t="s">
        <v>1109</v>
      </c>
      <c r="B518" s="12"/>
      <c r="C518" s="27" t="s">
        <v>19</v>
      </c>
      <c r="D518" s="8" t="s">
        <v>1110</v>
      </c>
      <c r="E518" s="9" t="s">
        <v>1111</v>
      </c>
      <c r="F518" s="28">
        <v>41106.0</v>
      </c>
    </row>
    <row r="519">
      <c r="A519" s="11" t="s">
        <v>1112</v>
      </c>
      <c r="B519" s="12"/>
      <c r="C519" s="25" t="s">
        <v>19</v>
      </c>
      <c r="D519" s="11" t="s">
        <v>1113</v>
      </c>
      <c r="E519" s="13" t="s">
        <v>1114</v>
      </c>
      <c r="F519" s="15">
        <v>40950.0</v>
      </c>
    </row>
    <row r="520">
      <c r="A520" s="11" t="s">
        <v>1115</v>
      </c>
      <c r="B520" s="12"/>
      <c r="C520" s="18" t="s">
        <v>9</v>
      </c>
      <c r="D520" s="11" t="s">
        <v>1116</v>
      </c>
      <c r="E520" s="17"/>
      <c r="F520" s="20"/>
    </row>
    <row r="521">
      <c r="A521" s="11" t="s">
        <v>1117</v>
      </c>
      <c r="B521" s="12"/>
      <c r="C521" s="13" t="s">
        <v>9</v>
      </c>
      <c r="D521" s="11" t="s">
        <v>1118</v>
      </c>
      <c r="E521" s="13" t="s">
        <v>1119</v>
      </c>
      <c r="F521" s="15">
        <v>40935.0</v>
      </c>
    </row>
    <row r="522">
      <c r="A522" s="11" t="s">
        <v>1120</v>
      </c>
      <c r="B522" s="12"/>
      <c r="C522" s="13" t="s">
        <v>9</v>
      </c>
      <c r="D522" s="11" t="s">
        <v>941</v>
      </c>
      <c r="E522" s="13" t="s">
        <v>13</v>
      </c>
      <c r="F522" s="15">
        <v>40954.0</v>
      </c>
    </row>
    <row r="523">
      <c r="A523" s="11" t="s">
        <v>1121</v>
      </c>
      <c r="B523" s="12"/>
      <c r="C523" s="18" t="s">
        <v>19</v>
      </c>
      <c r="D523" s="11" t="s">
        <v>1122</v>
      </c>
      <c r="E523" s="13" t="s">
        <v>72</v>
      </c>
      <c r="F523" s="15">
        <v>40917.0</v>
      </c>
    </row>
    <row r="524">
      <c r="A524" s="5" t="s">
        <v>1123</v>
      </c>
      <c r="B524" s="6" t="s">
        <v>8</v>
      </c>
      <c r="C524" s="6" t="s">
        <v>19</v>
      </c>
      <c r="D524" s="8" t="s">
        <v>1124</v>
      </c>
      <c r="E524" s="9" t="s">
        <v>1125</v>
      </c>
      <c r="F524" s="28">
        <v>41097.0</v>
      </c>
    </row>
    <row r="525">
      <c r="A525" s="11" t="s">
        <v>1126</v>
      </c>
      <c r="B525" s="13" t="s">
        <v>207</v>
      </c>
      <c r="C525" s="16" t="s">
        <v>19</v>
      </c>
      <c r="D525" s="19" t="str">
        <f>HYPERLINK("http://xsellize.com/topic/175693-gangstar-rio-city-of-saints-hack-v100/","Money, XP Hack Here.")</f>
        <v>Money, XP Hack Here.</v>
      </c>
      <c r="E525" s="13" t="s">
        <v>1127</v>
      </c>
      <c r="F525" s="15">
        <v>40918.0</v>
      </c>
    </row>
    <row r="526">
      <c r="A526" s="11" t="s">
        <v>1128</v>
      </c>
      <c r="B526" s="12"/>
      <c r="C526" s="16" t="s">
        <v>9</v>
      </c>
      <c r="D526" s="11" t="s">
        <v>1129</v>
      </c>
      <c r="E526" s="13" t="s">
        <v>23</v>
      </c>
      <c r="F526" s="15">
        <v>40926.0</v>
      </c>
    </row>
    <row r="527">
      <c r="A527" s="11" t="s">
        <v>1130</v>
      </c>
      <c r="B527" s="12"/>
      <c r="C527" s="13" t="s">
        <v>9</v>
      </c>
      <c r="D527" s="11" t="s">
        <v>1131</v>
      </c>
      <c r="E527" s="13" t="s">
        <v>1132</v>
      </c>
      <c r="F527" s="15">
        <v>40926.0</v>
      </c>
    </row>
    <row r="528">
      <c r="A528" s="11" t="s">
        <v>1133</v>
      </c>
      <c r="B528" s="12"/>
      <c r="C528" s="16" t="s">
        <v>9</v>
      </c>
      <c r="D528" s="11" t="s">
        <v>1134</v>
      </c>
      <c r="E528" s="13" t="s">
        <v>626</v>
      </c>
      <c r="F528" s="15">
        <v>40923.0</v>
      </c>
    </row>
    <row r="529">
      <c r="A529" s="11" t="s">
        <v>1135</v>
      </c>
      <c r="B529" s="12"/>
      <c r="C529" s="16" t="s">
        <v>9</v>
      </c>
      <c r="D529" s="11" t="s">
        <v>1136</v>
      </c>
      <c r="E529" s="13" t="s">
        <v>66</v>
      </c>
      <c r="F529" s="15">
        <v>40881.0</v>
      </c>
    </row>
    <row r="530">
      <c r="A530" s="11" t="s">
        <v>1137</v>
      </c>
      <c r="B530" s="12"/>
      <c r="C530" s="16" t="s">
        <v>9</v>
      </c>
      <c r="D530" s="11" t="s">
        <v>25</v>
      </c>
      <c r="E530" s="17"/>
      <c r="F530" s="20"/>
    </row>
    <row r="531">
      <c r="A531" s="11" t="s">
        <v>1138</v>
      </c>
      <c r="B531" s="12"/>
      <c r="C531" s="16" t="s">
        <v>9</v>
      </c>
      <c r="D531" s="11" t="s">
        <v>1139</v>
      </c>
      <c r="E531" s="13" t="s">
        <v>387</v>
      </c>
      <c r="F531" s="15">
        <v>40896.0</v>
      </c>
    </row>
    <row r="532">
      <c r="A532" s="11" t="s">
        <v>1140</v>
      </c>
      <c r="B532" s="12"/>
      <c r="C532" s="13" t="s">
        <v>9</v>
      </c>
      <c r="D532" s="14"/>
      <c r="E532" s="13" t="s">
        <v>1141</v>
      </c>
      <c r="F532" s="15">
        <v>40916.0</v>
      </c>
    </row>
    <row r="533">
      <c r="A533" s="11" t="s">
        <v>1142</v>
      </c>
      <c r="B533" s="12"/>
      <c r="C533" s="13" t="s">
        <v>9</v>
      </c>
      <c r="D533" s="14"/>
      <c r="E533" s="13" t="s">
        <v>96</v>
      </c>
      <c r="F533" s="15">
        <v>40945.0</v>
      </c>
    </row>
    <row r="534">
      <c r="A534" s="11" t="s">
        <v>1143</v>
      </c>
      <c r="B534" s="12"/>
      <c r="C534" s="13" t="s">
        <v>9</v>
      </c>
      <c r="D534" s="11" t="s">
        <v>1144</v>
      </c>
      <c r="E534" s="13" t="s">
        <v>917</v>
      </c>
      <c r="F534" s="15">
        <v>40936.0</v>
      </c>
    </row>
    <row r="535">
      <c r="A535" s="11" t="s">
        <v>1145</v>
      </c>
      <c r="B535" s="12"/>
      <c r="C535" s="18" t="s">
        <v>19</v>
      </c>
      <c r="D535" s="14"/>
      <c r="E535" s="17"/>
      <c r="F535" s="20"/>
    </row>
    <row r="536">
      <c r="A536" s="11" t="s">
        <v>1146</v>
      </c>
      <c r="B536" s="12"/>
      <c r="C536" s="18" t="s">
        <v>19</v>
      </c>
      <c r="D536" s="11" t="s">
        <v>1147</v>
      </c>
      <c r="E536" s="17"/>
      <c r="F536" s="15">
        <v>40912.0</v>
      </c>
    </row>
    <row r="537">
      <c r="A537" s="11" t="s">
        <v>1148</v>
      </c>
      <c r="B537" s="12"/>
      <c r="C537" s="16" t="s">
        <v>9</v>
      </c>
      <c r="D537" s="14"/>
      <c r="E537" s="13" t="s">
        <v>1149</v>
      </c>
      <c r="F537" s="15">
        <v>40899.0</v>
      </c>
    </row>
    <row r="538">
      <c r="A538" s="11" t="s">
        <v>1150</v>
      </c>
      <c r="B538" s="12"/>
      <c r="C538" s="18" t="s">
        <v>19</v>
      </c>
      <c r="D538" s="14"/>
      <c r="E538" s="17"/>
      <c r="F538" s="20"/>
    </row>
    <row r="539">
      <c r="A539" s="11" t="s">
        <v>1151</v>
      </c>
      <c r="B539" s="12"/>
      <c r="C539" s="18" t="s">
        <v>19</v>
      </c>
      <c r="D539" s="14"/>
      <c r="E539" s="13" t="s">
        <v>1152</v>
      </c>
      <c r="F539" s="15">
        <v>40904.0</v>
      </c>
    </row>
    <row r="540">
      <c r="A540" s="11" t="s">
        <v>1153</v>
      </c>
      <c r="B540" s="12"/>
      <c r="C540" s="18" t="s">
        <v>19</v>
      </c>
      <c r="D540" s="11" t="s">
        <v>1154</v>
      </c>
      <c r="E540" s="13" t="s">
        <v>315</v>
      </c>
      <c r="F540" s="15">
        <v>40910.0</v>
      </c>
    </row>
    <row r="541">
      <c r="A541" s="5" t="s">
        <v>1155</v>
      </c>
      <c r="B541" s="6" t="s">
        <v>1156</v>
      </c>
      <c r="C541" s="27" t="s">
        <v>1157</v>
      </c>
      <c r="D541" s="8" t="s">
        <v>1158</v>
      </c>
      <c r="E541" s="9" t="s">
        <v>1159</v>
      </c>
      <c r="F541" s="28">
        <v>41096.0</v>
      </c>
    </row>
    <row r="542">
      <c r="A542" s="5" t="s">
        <v>1160</v>
      </c>
      <c r="B542" s="6" t="s">
        <v>1156</v>
      </c>
      <c r="C542" s="27" t="s">
        <v>1157</v>
      </c>
      <c r="D542" s="8" t="s">
        <v>1158</v>
      </c>
      <c r="E542" s="9" t="s">
        <v>1159</v>
      </c>
      <c r="F542" s="28">
        <v>41096.0</v>
      </c>
    </row>
    <row r="543">
      <c r="A543" s="11" t="s">
        <v>1161</v>
      </c>
      <c r="B543" s="12"/>
      <c r="C543" s="13" t="s">
        <v>9</v>
      </c>
      <c r="D543" s="14"/>
      <c r="E543" s="17"/>
      <c r="F543" s="20"/>
    </row>
    <row r="544">
      <c r="A544" s="11" t="s">
        <v>1162</v>
      </c>
      <c r="B544" s="12"/>
      <c r="C544" s="16" t="s">
        <v>1163</v>
      </c>
      <c r="D544" s="11" t="s">
        <v>1164</v>
      </c>
      <c r="E544" s="17"/>
      <c r="F544" s="20"/>
    </row>
    <row r="545">
      <c r="A545" s="11" t="s">
        <v>1165</v>
      </c>
      <c r="B545" s="12"/>
      <c r="C545" s="18" t="s">
        <v>19</v>
      </c>
      <c r="D545" s="14"/>
      <c r="E545" s="17"/>
      <c r="F545" s="20"/>
    </row>
    <row r="546">
      <c r="A546" s="11" t="s">
        <v>1166</v>
      </c>
      <c r="B546" s="12"/>
      <c r="C546" s="16" t="s">
        <v>1163</v>
      </c>
      <c r="D546" s="11" t="s">
        <v>1167</v>
      </c>
      <c r="E546" s="13" t="s">
        <v>66</v>
      </c>
      <c r="F546" s="15">
        <v>40905.0</v>
      </c>
    </row>
    <row r="547">
      <c r="A547" s="11" t="s">
        <v>1168</v>
      </c>
      <c r="B547" s="12"/>
      <c r="C547" s="16" t="s">
        <v>9</v>
      </c>
      <c r="D547" s="11" t="s">
        <v>619</v>
      </c>
      <c r="E547" s="13" t="s">
        <v>620</v>
      </c>
      <c r="F547" s="15">
        <v>40944.0</v>
      </c>
    </row>
    <row r="548">
      <c r="A548" s="11" t="s">
        <v>1169</v>
      </c>
      <c r="B548" s="12"/>
      <c r="C548" s="18" t="s">
        <v>19</v>
      </c>
      <c r="D548" s="14"/>
      <c r="E548" s="17"/>
      <c r="F548" s="20"/>
    </row>
    <row r="549">
      <c r="A549" s="11" t="s">
        <v>1170</v>
      </c>
      <c r="B549" s="12"/>
      <c r="C549" s="18" t="s">
        <v>190</v>
      </c>
      <c r="D549" s="11" t="s">
        <v>1171</v>
      </c>
      <c r="E549" s="17"/>
      <c r="F549" s="15">
        <v>40885.0</v>
      </c>
    </row>
    <row r="550">
      <c r="A550" s="11" t="s">
        <v>1172</v>
      </c>
      <c r="B550" s="12"/>
      <c r="C550" s="18" t="s">
        <v>190</v>
      </c>
      <c r="D550" s="11" t="s">
        <v>1173</v>
      </c>
      <c r="E550" s="17"/>
      <c r="F550" s="20"/>
    </row>
    <row r="551">
      <c r="A551" s="11" t="s">
        <v>1174</v>
      </c>
      <c r="B551" s="12"/>
      <c r="C551" s="16" t="s">
        <v>9</v>
      </c>
      <c r="D551" s="11" t="s">
        <v>1175</v>
      </c>
      <c r="E551" s="13" t="s">
        <v>543</v>
      </c>
      <c r="F551" s="20"/>
    </row>
    <row r="552">
      <c r="A552" s="11" t="s">
        <v>1176</v>
      </c>
      <c r="B552" s="12"/>
      <c r="C552" s="13" t="s">
        <v>9</v>
      </c>
      <c r="D552" s="11" t="s">
        <v>1177</v>
      </c>
      <c r="E552" s="13" t="s">
        <v>1178</v>
      </c>
      <c r="F552" s="15">
        <v>40907.0</v>
      </c>
    </row>
    <row r="553">
      <c r="A553" s="11" t="s">
        <v>1179</v>
      </c>
      <c r="B553" s="12"/>
      <c r="C553" s="18" t="s">
        <v>19</v>
      </c>
      <c r="D553" s="14"/>
      <c r="E553" s="17"/>
      <c r="F553" s="20"/>
    </row>
    <row r="554">
      <c r="A554" s="11" t="s">
        <v>1180</v>
      </c>
      <c r="B554" s="12"/>
      <c r="C554" s="16" t="s">
        <v>9</v>
      </c>
      <c r="D554" s="14"/>
      <c r="E554" s="13" t="s">
        <v>66</v>
      </c>
      <c r="F554" s="15">
        <v>40885.0</v>
      </c>
    </row>
    <row r="555">
      <c r="A555" s="11" t="s">
        <v>1181</v>
      </c>
      <c r="B555" s="12"/>
      <c r="C555" s="13" t="s">
        <v>9</v>
      </c>
      <c r="D555" s="11" t="s">
        <v>1182</v>
      </c>
      <c r="E555" s="13" t="s">
        <v>1183</v>
      </c>
      <c r="F555" s="15">
        <v>40937.0</v>
      </c>
    </row>
    <row r="556">
      <c r="A556" s="11" t="s">
        <v>1184</v>
      </c>
      <c r="B556" s="12"/>
      <c r="C556" s="16" t="s">
        <v>9</v>
      </c>
      <c r="D556" s="11" t="s">
        <v>1185</v>
      </c>
      <c r="E556" s="13" t="s">
        <v>1186</v>
      </c>
      <c r="F556" s="15">
        <v>40937.0</v>
      </c>
    </row>
    <row r="557">
      <c r="A557" s="11" t="s">
        <v>1187</v>
      </c>
      <c r="B557" s="12"/>
      <c r="C557" s="13" t="s">
        <v>19</v>
      </c>
      <c r="D557" s="19" t="str">
        <f>HYPERLINK("http://xsellize.com/topic/176032-green-farm-2-coin-cash-hack-v-101/","Hack here (same as green farm 2)")</f>
        <v>Hack here (same as green farm 2)</v>
      </c>
      <c r="E557" s="17"/>
      <c r="F557" s="15">
        <v>40898.0</v>
      </c>
    </row>
    <row r="558">
      <c r="A558" s="11" t="s">
        <v>1188</v>
      </c>
      <c r="B558" s="12"/>
      <c r="C558" s="13" t="s">
        <v>19</v>
      </c>
      <c r="D558" s="19" t="str">
        <f>HYPERLINK("http://xsellize.com/topic/176032-green-farm-2-coin-cash-hack-v-101/","Hack Here (use Hex edit).")</f>
        <v>Hack Here (use Hex edit).</v>
      </c>
      <c r="E558" s="17"/>
      <c r="F558" s="20"/>
    </row>
    <row r="559">
      <c r="A559" s="11" t="s">
        <v>1189</v>
      </c>
      <c r="B559" s="12"/>
      <c r="C559" s="13" t="s">
        <v>1190</v>
      </c>
      <c r="D559" s="11" t="s">
        <v>1191</v>
      </c>
      <c r="E559" s="13" t="s">
        <v>1192</v>
      </c>
      <c r="F559" s="15">
        <v>40951.0</v>
      </c>
    </row>
    <row r="560">
      <c r="A560" s="11" t="s">
        <v>1193</v>
      </c>
      <c r="B560" s="12"/>
      <c r="C560" s="13" t="s">
        <v>120</v>
      </c>
      <c r="D560" s="11" t="s">
        <v>1194</v>
      </c>
      <c r="E560" s="13" t="s">
        <v>1195</v>
      </c>
      <c r="F560" s="15">
        <v>40931.0</v>
      </c>
    </row>
    <row r="561">
      <c r="A561" s="11" t="s">
        <v>1196</v>
      </c>
      <c r="B561" s="12"/>
      <c r="C561" s="16" t="s">
        <v>120</v>
      </c>
      <c r="D561" s="11" t="s">
        <v>1197</v>
      </c>
      <c r="E561" s="13" t="s">
        <v>1198</v>
      </c>
      <c r="F561" s="15">
        <v>40899.0</v>
      </c>
    </row>
    <row r="562">
      <c r="A562" s="21" t="s">
        <v>1199</v>
      </c>
      <c r="B562" s="26" t="s">
        <v>1200</v>
      </c>
      <c r="C562" s="18" t="s">
        <v>19</v>
      </c>
      <c r="D562" s="19" t="str">
        <f>HYPERLINK("http://xsellize.com/topic/182087-new-gt-racing-motor-academy-free-hack-v131-1v07-for-iphone-ipad/#entry696976","New GT Racing: Motor Academy Free+ Hack v1.3.1 v.0.7 for iphone, ipad.")</f>
        <v>New GT Racing: Motor Academy Free+ Hack v1.3.1 v.0.7 for iphone, ipad.</v>
      </c>
      <c r="E562" s="13" t="s">
        <v>335</v>
      </c>
      <c r="F562" s="22">
        <v>40966.0</v>
      </c>
    </row>
    <row r="563">
      <c r="A563" s="11" t="s">
        <v>1201</v>
      </c>
      <c r="B563" s="12"/>
      <c r="C563" s="16" t="s">
        <v>9</v>
      </c>
      <c r="D563" s="11" t="s">
        <v>1202</v>
      </c>
      <c r="E563" s="13" t="s">
        <v>175</v>
      </c>
      <c r="F563" s="15">
        <v>40793.0</v>
      </c>
    </row>
    <row r="564">
      <c r="A564" s="11" t="s">
        <v>1203</v>
      </c>
      <c r="B564" s="12"/>
      <c r="C564" s="13" t="s">
        <v>9</v>
      </c>
      <c r="D564" s="14"/>
      <c r="E564" s="13" t="s">
        <v>72</v>
      </c>
      <c r="F564" s="15">
        <v>40922.0</v>
      </c>
    </row>
    <row r="565">
      <c r="A565" s="11" t="s">
        <v>1204</v>
      </c>
      <c r="B565" s="12"/>
      <c r="C565" s="18" t="s">
        <v>19</v>
      </c>
      <c r="D565" s="19" t="str">
        <f>HYPERLINK("http://xsellize.com/topic/87701-the-ultimate-guitar-hero-dlc-thread/"," Songs available here.")</f>
        <v> Songs available here.</v>
      </c>
      <c r="E565" s="13" t="s">
        <v>72</v>
      </c>
      <c r="F565" s="15">
        <v>40918.0</v>
      </c>
    </row>
    <row r="566">
      <c r="A566" s="11" t="s">
        <v>1205</v>
      </c>
      <c r="B566" s="12"/>
      <c r="C566" s="13" t="s">
        <v>19</v>
      </c>
      <c r="D566" s="14"/>
      <c r="E566" s="13" t="s">
        <v>1206</v>
      </c>
      <c r="F566" s="15">
        <v>40916.0</v>
      </c>
    </row>
    <row r="567">
      <c r="A567" s="11" t="s">
        <v>1207</v>
      </c>
      <c r="B567" s="12"/>
      <c r="C567" s="16" t="s">
        <v>9</v>
      </c>
      <c r="D567" s="11" t="s">
        <v>1208</v>
      </c>
      <c r="E567" s="13" t="s">
        <v>1209</v>
      </c>
      <c r="F567" s="15">
        <v>40932.0</v>
      </c>
    </row>
    <row r="568">
      <c r="A568" s="11" t="s">
        <v>1210</v>
      </c>
      <c r="B568" s="12"/>
      <c r="C568" s="13" t="s">
        <v>9</v>
      </c>
      <c r="D568" s="11" t="s">
        <v>1211</v>
      </c>
      <c r="E568" s="13" t="s">
        <v>1212</v>
      </c>
      <c r="F568" s="15">
        <v>40951.0</v>
      </c>
    </row>
    <row r="569">
      <c r="A569" s="11" t="s">
        <v>1213</v>
      </c>
      <c r="B569" s="12"/>
      <c r="C569" s="16" t="s">
        <v>9</v>
      </c>
      <c r="D569" s="11" t="s">
        <v>1214</v>
      </c>
      <c r="E569" s="13" t="s">
        <v>1215</v>
      </c>
      <c r="F569" s="15">
        <v>40904.0</v>
      </c>
    </row>
    <row r="570">
      <c r="A570" s="11" t="s">
        <v>1216</v>
      </c>
      <c r="B570" s="12"/>
      <c r="C570" s="13" t="s">
        <v>9</v>
      </c>
      <c r="D570" s="11" t="s">
        <v>1217</v>
      </c>
      <c r="E570" s="13" t="s">
        <v>1218</v>
      </c>
      <c r="F570" s="15">
        <v>40952.0</v>
      </c>
    </row>
    <row r="571">
      <c r="A571" s="11" t="s">
        <v>1219</v>
      </c>
      <c r="B571" s="12"/>
      <c r="C571" s="18" t="s">
        <v>19</v>
      </c>
      <c r="D571" s="19" t="str">
        <f>HYPERLINK("http://xsellize.com/topic/177248-gun-disassembly-2-all-in-app-purchases-lifetime-access/","Get All In App Purchases LifeTime Access Here.")</f>
        <v>Get All In App Purchases LifeTime Access Here.</v>
      </c>
      <c r="E571" s="17"/>
      <c r="F571" s="20"/>
    </row>
    <row r="572">
      <c r="A572" s="11" t="s">
        <v>1220</v>
      </c>
      <c r="B572" s="12"/>
      <c r="C572" s="16" t="s">
        <v>9</v>
      </c>
      <c r="D572" s="11" t="s">
        <v>1221</v>
      </c>
      <c r="E572" s="13" t="s">
        <v>461</v>
      </c>
      <c r="F572" s="20"/>
    </row>
    <row r="573">
      <c r="A573" s="11" t="s">
        <v>1222</v>
      </c>
      <c r="B573" s="12"/>
      <c r="C573" s="16" t="s">
        <v>9</v>
      </c>
      <c r="D573" s="14"/>
      <c r="E573" s="13" t="s">
        <v>932</v>
      </c>
      <c r="F573" s="15">
        <v>40912.0</v>
      </c>
    </row>
    <row r="574">
      <c r="A574" s="11" t="s">
        <v>1223</v>
      </c>
      <c r="B574" s="13">
        <v>1.3</v>
      </c>
      <c r="C574" s="13" t="s">
        <v>9</v>
      </c>
      <c r="D574" s="14"/>
      <c r="E574" s="13" t="s">
        <v>72</v>
      </c>
      <c r="F574" s="20"/>
    </row>
    <row r="575">
      <c r="A575" s="11" t="s">
        <v>1224</v>
      </c>
      <c r="B575" s="12"/>
      <c r="C575" s="13" t="s">
        <v>9</v>
      </c>
      <c r="D575" s="11" t="s">
        <v>1225</v>
      </c>
      <c r="E575" s="13" t="s">
        <v>15</v>
      </c>
      <c r="F575" s="15">
        <v>40890.0</v>
      </c>
    </row>
    <row r="576">
      <c r="A576" s="11" t="s">
        <v>1226</v>
      </c>
      <c r="B576" s="12"/>
      <c r="C576" s="18" t="s">
        <v>19</v>
      </c>
      <c r="D576" s="14"/>
      <c r="E576" s="17"/>
      <c r="F576" s="20"/>
    </row>
    <row r="577">
      <c r="A577" s="11" t="s">
        <v>1227</v>
      </c>
      <c r="B577" s="12"/>
      <c r="C577" s="13" t="s">
        <v>120</v>
      </c>
      <c r="D577" s="11" t="s">
        <v>1228</v>
      </c>
      <c r="E577" s="13" t="s">
        <v>1229</v>
      </c>
      <c r="F577" s="15">
        <v>40887.0</v>
      </c>
    </row>
    <row r="578">
      <c r="A578" s="11" t="s">
        <v>1230</v>
      </c>
      <c r="B578" s="12"/>
      <c r="C578" s="18" t="s">
        <v>19</v>
      </c>
      <c r="D578" s="11" t="s">
        <v>1231</v>
      </c>
      <c r="E578" s="13" t="s">
        <v>1232</v>
      </c>
      <c r="F578" s="15">
        <v>40911.0</v>
      </c>
    </row>
    <row r="579">
      <c r="A579" s="11" t="s">
        <v>1233</v>
      </c>
      <c r="B579" s="12"/>
      <c r="C579" s="18" t="s">
        <v>19</v>
      </c>
      <c r="D579" s="11" t="s">
        <v>1234</v>
      </c>
      <c r="E579" s="13" t="s">
        <v>1235</v>
      </c>
      <c r="F579" s="15">
        <v>40909.0</v>
      </c>
    </row>
    <row r="580">
      <c r="A580" s="11" t="s">
        <v>1236</v>
      </c>
      <c r="B580" s="12"/>
      <c r="C580" s="13" t="s">
        <v>9</v>
      </c>
      <c r="D580" s="14"/>
      <c r="E580" s="13" t="s">
        <v>1237</v>
      </c>
      <c r="F580" s="15">
        <v>40915.0</v>
      </c>
    </row>
    <row r="581">
      <c r="A581" s="11" t="s">
        <v>1238</v>
      </c>
      <c r="B581" s="12"/>
      <c r="C581" s="16" t="s">
        <v>9</v>
      </c>
      <c r="D581" s="11" t="s">
        <v>1239</v>
      </c>
      <c r="E581" s="13" t="s">
        <v>379</v>
      </c>
      <c r="F581" s="15">
        <v>40893.0</v>
      </c>
    </row>
    <row r="582">
      <c r="A582" s="11" t="s">
        <v>1240</v>
      </c>
      <c r="B582" s="12"/>
      <c r="C582" s="18" t="s">
        <v>19</v>
      </c>
      <c r="D582" s="11" t="s">
        <v>1241</v>
      </c>
      <c r="E582" s="13" t="s">
        <v>1242</v>
      </c>
      <c r="F582" s="15">
        <v>40912.0</v>
      </c>
    </row>
    <row r="583">
      <c r="A583" s="5" t="s">
        <v>1243</v>
      </c>
      <c r="B583" s="6" t="s">
        <v>1244</v>
      </c>
      <c r="C583" s="27" t="s">
        <v>19</v>
      </c>
      <c r="D583" s="8" t="s">
        <v>1245</v>
      </c>
      <c r="E583" s="17"/>
      <c r="F583" s="10">
        <v>41103.0</v>
      </c>
    </row>
    <row r="584">
      <c r="A584" s="11" t="s">
        <v>1246</v>
      </c>
      <c r="B584" s="12"/>
      <c r="C584" s="13" t="s">
        <v>19</v>
      </c>
      <c r="D584" s="11" t="s">
        <v>1247</v>
      </c>
      <c r="E584" s="13" t="s">
        <v>50</v>
      </c>
      <c r="F584" s="15">
        <v>40902.0</v>
      </c>
    </row>
    <row r="585">
      <c r="A585" s="11" t="s">
        <v>1248</v>
      </c>
      <c r="B585" s="12"/>
      <c r="C585" s="13" t="s">
        <v>1249</v>
      </c>
      <c r="D585" s="11" t="s">
        <v>1250</v>
      </c>
      <c r="E585" s="13" t="s">
        <v>1251</v>
      </c>
      <c r="F585" s="15">
        <v>40956.0</v>
      </c>
    </row>
    <row r="586">
      <c r="A586" s="35" t="s">
        <v>1252</v>
      </c>
      <c r="B586" s="6" t="s">
        <v>158</v>
      </c>
      <c r="C586" s="36" t="s">
        <v>9</v>
      </c>
      <c r="D586" s="8" t="s">
        <v>143</v>
      </c>
      <c r="E586" s="9" t="s">
        <v>144</v>
      </c>
      <c r="F586" s="23">
        <v>41161.0</v>
      </c>
    </row>
    <row r="587">
      <c r="A587" s="11" t="s">
        <v>1253</v>
      </c>
      <c r="B587" s="12"/>
      <c r="C587" s="16" t="s">
        <v>9</v>
      </c>
      <c r="D587" s="14"/>
      <c r="E587" s="13" t="s">
        <v>596</v>
      </c>
      <c r="F587" s="15">
        <v>40906.0</v>
      </c>
    </row>
    <row r="588">
      <c r="A588" s="11" t="s">
        <v>1254</v>
      </c>
      <c r="B588" s="12"/>
      <c r="C588" s="18" t="s">
        <v>19</v>
      </c>
      <c r="D588" s="11" t="s">
        <v>1255</v>
      </c>
      <c r="E588" s="13" t="s">
        <v>379</v>
      </c>
      <c r="F588" s="15">
        <v>40898.0</v>
      </c>
    </row>
    <row r="589">
      <c r="A589" s="11" t="s">
        <v>1256</v>
      </c>
      <c r="B589" s="12"/>
      <c r="C589" s="16" t="s">
        <v>9</v>
      </c>
      <c r="D589" s="11" t="s">
        <v>1257</v>
      </c>
      <c r="E589" s="13" t="s">
        <v>1258</v>
      </c>
      <c r="F589" s="15">
        <v>40902.0</v>
      </c>
    </row>
    <row r="590">
      <c r="A590" s="11" t="s">
        <v>1259</v>
      </c>
      <c r="B590" s="12"/>
      <c r="C590" s="13" t="s">
        <v>9</v>
      </c>
      <c r="D590" s="11" t="s">
        <v>39</v>
      </c>
      <c r="E590" s="13" t="s">
        <v>40</v>
      </c>
      <c r="F590" s="20"/>
    </row>
    <row r="591">
      <c r="A591" s="21" t="s">
        <v>1260</v>
      </c>
      <c r="B591" s="26">
        <v>1.3</v>
      </c>
      <c r="C591" s="16" t="s">
        <v>9</v>
      </c>
      <c r="D591" s="11" t="s">
        <v>1261</v>
      </c>
      <c r="E591" s="17"/>
      <c r="F591" s="20"/>
    </row>
    <row r="592">
      <c r="A592" s="11" t="s">
        <v>1262</v>
      </c>
      <c r="B592" s="12"/>
      <c r="C592" s="16" t="s">
        <v>9</v>
      </c>
      <c r="D592" s="11" t="s">
        <v>1263</v>
      </c>
      <c r="E592" s="13" t="s">
        <v>521</v>
      </c>
      <c r="F592" s="15">
        <v>40920.0</v>
      </c>
    </row>
    <row r="593">
      <c r="A593" s="11" t="s">
        <v>1264</v>
      </c>
      <c r="B593" s="12"/>
      <c r="C593" s="18" t="s">
        <v>19</v>
      </c>
      <c r="D593" s="11" t="s">
        <v>1265</v>
      </c>
      <c r="E593" s="13" t="s">
        <v>1266</v>
      </c>
      <c r="F593" s="15">
        <v>40947.0</v>
      </c>
    </row>
    <row r="594">
      <c r="A594" s="21" t="s">
        <v>1267</v>
      </c>
      <c r="B594" s="13">
        <v>1.5</v>
      </c>
      <c r="C594" s="13" t="s">
        <v>19</v>
      </c>
      <c r="D594" s="11" t="s">
        <v>1268</v>
      </c>
      <c r="E594" s="13" t="s">
        <v>1269</v>
      </c>
      <c r="F594" s="22">
        <v>40963.0</v>
      </c>
    </row>
    <row r="595">
      <c r="A595" s="21" t="s">
        <v>1270</v>
      </c>
      <c r="B595" s="13">
        <v>1.1</v>
      </c>
      <c r="C595" s="13" t="s">
        <v>19</v>
      </c>
      <c r="D595" s="11" t="s">
        <v>1271</v>
      </c>
      <c r="E595" s="13" t="s">
        <v>1272</v>
      </c>
      <c r="F595" s="15">
        <v>40972.0</v>
      </c>
    </row>
    <row r="596">
      <c r="A596" s="11" t="s">
        <v>1273</v>
      </c>
      <c r="B596" s="13">
        <v>1.0</v>
      </c>
      <c r="C596" s="13" t="s">
        <v>9</v>
      </c>
      <c r="D596" s="14"/>
      <c r="E596" s="13" t="s">
        <v>72</v>
      </c>
      <c r="F596" s="15">
        <v>40958.0</v>
      </c>
    </row>
    <row r="597">
      <c r="A597" s="11" t="s">
        <v>1274</v>
      </c>
      <c r="B597" s="12"/>
      <c r="C597" s="18" t="s">
        <v>19</v>
      </c>
      <c r="D597" s="19" t="str">
        <f>HYPERLINK("http://www.icheats.org/forum/index.php?/topic/5286-ida-heros-way-15/","Coin, Unlock Characters Hack Here.")</f>
        <v>Coin, Unlock Characters Hack Here.</v>
      </c>
      <c r="E597" s="13" t="s">
        <v>1059</v>
      </c>
      <c r="F597" s="15">
        <v>40893.0</v>
      </c>
    </row>
    <row r="598">
      <c r="A598" s="5" t="s">
        <v>1275</v>
      </c>
      <c r="B598" s="44" t="s">
        <v>1038</v>
      </c>
      <c r="C598" s="7" t="s">
        <v>9</v>
      </c>
      <c r="D598" s="14"/>
      <c r="E598" s="9" t="s">
        <v>1276</v>
      </c>
      <c r="F598" s="45" t="s">
        <v>1277</v>
      </c>
    </row>
    <row r="599">
      <c r="A599" s="11" t="s">
        <v>1278</v>
      </c>
      <c r="B599" s="12"/>
      <c r="C599" s="16" t="s">
        <v>9</v>
      </c>
      <c r="D599" s="11" t="s">
        <v>1279</v>
      </c>
      <c r="E599" s="13" t="s">
        <v>1280</v>
      </c>
      <c r="F599" s="15">
        <v>40911.0</v>
      </c>
    </row>
    <row r="600">
      <c r="A600" s="11" t="s">
        <v>1281</v>
      </c>
      <c r="B600" s="12"/>
      <c r="C600" s="18" t="s">
        <v>19</v>
      </c>
      <c r="D600" s="11" t="s">
        <v>1282</v>
      </c>
      <c r="E600" s="17"/>
      <c r="F600" s="20"/>
    </row>
    <row r="601">
      <c r="A601" s="11" t="s">
        <v>1283</v>
      </c>
      <c r="B601" s="12"/>
      <c r="C601" s="18" t="s">
        <v>9</v>
      </c>
      <c r="D601" s="14"/>
      <c r="E601" s="13" t="s">
        <v>1284</v>
      </c>
      <c r="F601" s="15">
        <v>40792.0</v>
      </c>
    </row>
    <row r="602">
      <c r="A602" s="11" t="s">
        <v>1285</v>
      </c>
      <c r="B602" s="12"/>
      <c r="C602" s="18" t="s">
        <v>19</v>
      </c>
      <c r="D602" s="14"/>
      <c r="E602" s="13" t="s">
        <v>1286</v>
      </c>
      <c r="F602" s="15">
        <v>40890.0</v>
      </c>
    </row>
    <row r="603">
      <c r="A603" s="11" t="s">
        <v>1287</v>
      </c>
      <c r="B603" s="12"/>
      <c r="C603" s="18" t="s">
        <v>19</v>
      </c>
      <c r="D603" s="14"/>
      <c r="E603" s="13" t="s">
        <v>1288</v>
      </c>
      <c r="F603" s="15">
        <v>40913.0</v>
      </c>
    </row>
    <row r="604">
      <c r="A604" s="11" t="s">
        <v>1289</v>
      </c>
      <c r="B604" s="12"/>
      <c r="C604" s="13" t="s">
        <v>19</v>
      </c>
      <c r="D604" s="11" t="s">
        <v>1290</v>
      </c>
      <c r="E604" s="13" t="s">
        <v>1291</v>
      </c>
      <c r="F604" s="15">
        <v>40920.0</v>
      </c>
    </row>
    <row r="605">
      <c r="A605" s="5" t="s">
        <v>1289</v>
      </c>
      <c r="B605" s="6" t="s">
        <v>1292</v>
      </c>
      <c r="C605" s="27" t="s">
        <v>19</v>
      </c>
      <c r="D605" s="8" t="s">
        <v>1293</v>
      </c>
      <c r="E605" s="9" t="s">
        <v>144</v>
      </c>
      <c r="F605" s="23">
        <v>41161.0</v>
      </c>
    </row>
    <row r="606">
      <c r="A606" s="11" t="s">
        <v>1294</v>
      </c>
      <c r="B606" s="12"/>
      <c r="C606" s="18" t="s">
        <v>9</v>
      </c>
      <c r="D606" s="14"/>
      <c r="E606" s="13" t="s">
        <v>66</v>
      </c>
      <c r="F606" s="15">
        <v>40905.0</v>
      </c>
    </row>
    <row r="607">
      <c r="A607" s="11" t="s">
        <v>1295</v>
      </c>
      <c r="B607" s="12"/>
      <c r="C607" s="13" t="s">
        <v>19</v>
      </c>
      <c r="D607" s="19" t="str">
        <f>HYPERLINK("http://xsellize.com/topic/115743-hipstamatic-v231-ipa-complete-addon-10hipstapak-3goodpak-5freepak-updated-12-13-11/","Get all Packages, In App Purchases Here.")</f>
        <v>Get all Packages, In App Purchases Here.</v>
      </c>
      <c r="E607" s="13" t="s">
        <v>1296</v>
      </c>
      <c r="F607" s="15">
        <v>40919.0</v>
      </c>
    </row>
    <row r="608">
      <c r="A608" s="11" t="s">
        <v>1297</v>
      </c>
      <c r="B608" s="12"/>
      <c r="C608" s="13" t="s">
        <v>9</v>
      </c>
      <c r="D608" s="11" t="s">
        <v>1298</v>
      </c>
      <c r="E608" s="13" t="s">
        <v>1299</v>
      </c>
      <c r="F608" s="15">
        <v>40957.0</v>
      </c>
    </row>
    <row r="609">
      <c r="A609" s="11" t="s">
        <v>1300</v>
      </c>
      <c r="B609" s="12"/>
      <c r="C609" s="13" t="s">
        <v>9</v>
      </c>
      <c r="D609" s="11" t="s">
        <v>1301</v>
      </c>
      <c r="E609" s="17"/>
      <c r="F609" s="20"/>
    </row>
    <row r="610">
      <c r="A610" s="11" t="s">
        <v>1302</v>
      </c>
      <c r="B610" s="12"/>
      <c r="C610" s="18" t="s">
        <v>19</v>
      </c>
      <c r="D610" s="11" t="s">
        <v>1303</v>
      </c>
      <c r="E610" s="13" t="s">
        <v>66</v>
      </c>
      <c r="F610" s="15">
        <v>40885.0</v>
      </c>
    </row>
    <row r="611">
      <c r="A611" s="11" t="s">
        <v>1304</v>
      </c>
      <c r="B611" s="12"/>
      <c r="C611" s="16" t="s">
        <v>9</v>
      </c>
      <c r="D611" s="11" t="s">
        <v>1305</v>
      </c>
      <c r="E611" s="17"/>
      <c r="F611" s="15">
        <v>40886.0</v>
      </c>
    </row>
    <row r="612">
      <c r="A612" s="11" t="s">
        <v>1306</v>
      </c>
      <c r="B612" s="12"/>
      <c r="C612" s="46"/>
      <c r="D612" s="14"/>
      <c r="E612" s="13" t="s">
        <v>66</v>
      </c>
      <c r="F612" s="15">
        <v>40885.0</v>
      </c>
    </row>
    <row r="613">
      <c r="A613" s="11" t="s">
        <v>1307</v>
      </c>
      <c r="B613" s="12"/>
      <c r="C613" s="16" t="s">
        <v>9</v>
      </c>
      <c r="D613" s="14"/>
      <c r="E613" s="13" t="s">
        <v>603</v>
      </c>
      <c r="F613" s="15">
        <v>40888.0</v>
      </c>
    </row>
    <row r="614">
      <c r="A614" s="11" t="s">
        <v>1308</v>
      </c>
      <c r="B614" s="12"/>
      <c r="C614" s="18" t="s">
        <v>19</v>
      </c>
      <c r="D614" s="14"/>
      <c r="E614" s="17"/>
      <c r="F614" s="20"/>
    </row>
    <row r="615">
      <c r="A615" s="11" t="s">
        <v>1309</v>
      </c>
      <c r="B615" s="12"/>
      <c r="C615" s="18" t="s">
        <v>19</v>
      </c>
      <c r="D615" s="14"/>
      <c r="E615" s="17"/>
      <c r="F615" s="20"/>
    </row>
    <row r="616">
      <c r="A616" s="35" t="s">
        <v>1310</v>
      </c>
      <c r="B616" s="6" t="s">
        <v>1311</v>
      </c>
      <c r="C616" s="40" t="s">
        <v>19</v>
      </c>
      <c r="D616" s="8" t="s">
        <v>1312</v>
      </c>
      <c r="E616" s="9" t="s">
        <v>1313</v>
      </c>
      <c r="F616" s="47" t="s">
        <v>1314</v>
      </c>
    </row>
    <row r="617">
      <c r="A617" s="11" t="s">
        <v>1315</v>
      </c>
      <c r="B617" s="12"/>
      <c r="C617" s="16" t="s">
        <v>9</v>
      </c>
      <c r="D617" s="11" t="s">
        <v>1316</v>
      </c>
      <c r="E617" s="13" t="s">
        <v>1317</v>
      </c>
      <c r="F617" s="15">
        <v>40913.0</v>
      </c>
    </row>
    <row r="618">
      <c r="A618" s="11" t="s">
        <v>1318</v>
      </c>
      <c r="B618" s="12"/>
      <c r="C618" s="16" t="s">
        <v>9</v>
      </c>
      <c r="D618" s="11" t="s">
        <v>1319</v>
      </c>
      <c r="E618" s="13" t="s">
        <v>72</v>
      </c>
      <c r="F618" s="15">
        <v>40921.0</v>
      </c>
    </row>
    <row r="619">
      <c r="A619" s="11" t="s">
        <v>1320</v>
      </c>
      <c r="B619" s="12"/>
      <c r="C619" s="13" t="s">
        <v>9</v>
      </c>
      <c r="D619" s="11" t="s">
        <v>1321</v>
      </c>
      <c r="E619" s="13" t="s">
        <v>1322</v>
      </c>
      <c r="F619" s="15">
        <v>40922.0</v>
      </c>
    </row>
    <row r="620">
      <c r="A620" s="11" t="s">
        <v>1323</v>
      </c>
      <c r="B620" s="12"/>
      <c r="C620" s="13" t="s">
        <v>9</v>
      </c>
      <c r="D620" s="11" t="s">
        <v>1324</v>
      </c>
      <c r="E620" s="13" t="s">
        <v>725</v>
      </c>
      <c r="F620" s="15">
        <v>40887.0</v>
      </c>
    </row>
    <row r="621">
      <c r="A621" s="11" t="s">
        <v>1325</v>
      </c>
      <c r="B621" s="12"/>
      <c r="C621" s="18" t="s">
        <v>19</v>
      </c>
      <c r="D621" s="11" t="s">
        <v>1326</v>
      </c>
      <c r="E621" s="13" t="s">
        <v>1327</v>
      </c>
      <c r="F621" s="15">
        <v>40889.0</v>
      </c>
    </row>
    <row r="622">
      <c r="A622" s="11" t="s">
        <v>1328</v>
      </c>
      <c r="B622" s="12"/>
      <c r="C622" s="16" t="s">
        <v>9</v>
      </c>
      <c r="D622" s="11" t="s">
        <v>1329</v>
      </c>
      <c r="E622" s="13" t="s">
        <v>66</v>
      </c>
      <c r="F622" s="15">
        <v>40885.0</v>
      </c>
    </row>
    <row r="623">
      <c r="A623" s="8" t="s">
        <v>1330</v>
      </c>
      <c r="B623" s="12"/>
      <c r="C623" s="7" t="s">
        <v>9</v>
      </c>
      <c r="D623" s="8" t="s">
        <v>297</v>
      </c>
      <c r="E623" s="6" t="s">
        <v>276</v>
      </c>
      <c r="F623" s="24">
        <v>41178.0</v>
      </c>
    </row>
    <row r="624">
      <c r="A624" s="11" t="s">
        <v>1331</v>
      </c>
      <c r="B624" s="12"/>
      <c r="C624" s="18" t="s">
        <v>19</v>
      </c>
      <c r="D624" s="14"/>
      <c r="E624" s="13" t="s">
        <v>1332</v>
      </c>
      <c r="F624" s="15">
        <v>40911.0</v>
      </c>
    </row>
    <row r="625">
      <c r="A625" s="11" t="s">
        <v>1333</v>
      </c>
      <c r="B625" s="12"/>
      <c r="C625" s="16" t="s">
        <v>9</v>
      </c>
      <c r="D625" s="14"/>
      <c r="E625" s="13" t="s">
        <v>136</v>
      </c>
      <c r="F625" s="15">
        <v>40793.7604166667</v>
      </c>
    </row>
    <row r="626">
      <c r="A626" s="11" t="s">
        <v>1334</v>
      </c>
      <c r="B626" s="12"/>
      <c r="C626" s="16" t="s">
        <v>9</v>
      </c>
      <c r="D626" s="11" t="s">
        <v>1335</v>
      </c>
      <c r="E626" s="17"/>
      <c r="F626" s="20"/>
    </row>
    <row r="627">
      <c r="A627" s="11" t="s">
        <v>1336</v>
      </c>
      <c r="B627" s="12"/>
      <c r="C627" s="16" t="s">
        <v>9</v>
      </c>
      <c r="D627" s="14"/>
      <c r="E627" s="17"/>
      <c r="F627" s="15">
        <v>40890.0</v>
      </c>
    </row>
    <row r="628">
      <c r="A628" s="11" t="s">
        <v>1337</v>
      </c>
      <c r="B628" s="12"/>
      <c r="C628" s="16" t="s">
        <v>9</v>
      </c>
      <c r="D628" s="14"/>
      <c r="E628" s="13" t="s">
        <v>170</v>
      </c>
      <c r="F628" s="15">
        <v>40913.0</v>
      </c>
    </row>
    <row r="629">
      <c r="A629" s="11" t="s">
        <v>1338</v>
      </c>
      <c r="B629" s="12"/>
      <c r="C629" s="16" t="s">
        <v>9</v>
      </c>
      <c r="D629" s="14"/>
      <c r="E629" s="13" t="s">
        <v>175</v>
      </c>
      <c r="F629" s="15">
        <v>40793.9138888889</v>
      </c>
    </row>
    <row r="630">
      <c r="A630" s="29" t="s">
        <v>1339</v>
      </c>
      <c r="B630" s="12"/>
      <c r="C630" s="18" t="s">
        <v>19</v>
      </c>
      <c r="D630" s="11" t="s">
        <v>1340</v>
      </c>
      <c r="E630" s="6" t="s">
        <v>274</v>
      </c>
      <c r="F630" s="15">
        <v>41007.0</v>
      </c>
    </row>
    <row r="631">
      <c r="A631" s="11" t="s">
        <v>1339</v>
      </c>
      <c r="B631" s="12"/>
      <c r="C631" s="18" t="s">
        <v>19</v>
      </c>
      <c r="D631" s="8" t="s">
        <v>1340</v>
      </c>
      <c r="E631" s="13" t="s">
        <v>1341</v>
      </c>
      <c r="F631" s="15">
        <v>41007.0</v>
      </c>
    </row>
    <row r="632">
      <c r="A632" s="11" t="s">
        <v>1342</v>
      </c>
      <c r="B632" s="12"/>
      <c r="C632" s="16" t="s">
        <v>9</v>
      </c>
      <c r="D632" s="14"/>
      <c r="E632" s="13" t="s">
        <v>1343</v>
      </c>
      <c r="F632" s="20"/>
    </row>
    <row r="633">
      <c r="A633" s="11" t="s">
        <v>1344</v>
      </c>
      <c r="B633" s="12"/>
      <c r="C633" s="16" t="s">
        <v>9</v>
      </c>
      <c r="D633" s="14"/>
      <c r="E633" s="13" t="s">
        <v>66</v>
      </c>
      <c r="F633" s="15">
        <v>40889.0</v>
      </c>
    </row>
    <row r="634">
      <c r="A634" s="11" t="s">
        <v>1345</v>
      </c>
      <c r="B634" s="12"/>
      <c r="C634" s="16" t="s">
        <v>9</v>
      </c>
      <c r="D634" s="14"/>
      <c r="E634" s="13" t="s">
        <v>136</v>
      </c>
      <c r="F634" s="15">
        <v>40793.7604166667</v>
      </c>
    </row>
    <row r="635">
      <c r="A635" s="11" t="s">
        <v>1346</v>
      </c>
      <c r="B635" s="13">
        <v>1.9</v>
      </c>
      <c r="C635" s="13" t="s">
        <v>9</v>
      </c>
      <c r="D635" s="11" t="s">
        <v>1347</v>
      </c>
      <c r="E635" s="13" t="s">
        <v>464</v>
      </c>
      <c r="F635" s="22">
        <v>40959.0</v>
      </c>
    </row>
    <row r="636">
      <c r="A636" s="29" t="s">
        <v>1348</v>
      </c>
      <c r="B636" s="6">
        <v>1.2</v>
      </c>
      <c r="C636" s="27" t="s">
        <v>19</v>
      </c>
      <c r="D636" s="8" t="s">
        <v>1349</v>
      </c>
      <c r="E636" s="6" t="s">
        <v>629</v>
      </c>
      <c r="F636" s="28">
        <v>41018.0</v>
      </c>
    </row>
    <row r="637">
      <c r="A637" s="11" t="s">
        <v>1350</v>
      </c>
      <c r="B637" s="12"/>
      <c r="C637" s="16" t="s">
        <v>9</v>
      </c>
      <c r="D637" s="11" t="s">
        <v>1351</v>
      </c>
      <c r="E637" s="13" t="s">
        <v>1351</v>
      </c>
      <c r="F637" s="20"/>
    </row>
    <row r="638">
      <c r="A638" s="11" t="s">
        <v>1352</v>
      </c>
      <c r="B638" s="12"/>
      <c r="C638" s="16" t="s">
        <v>9</v>
      </c>
      <c r="D638" s="11" t="s">
        <v>1353</v>
      </c>
      <c r="E638" s="13" t="s">
        <v>1354</v>
      </c>
      <c r="F638" s="15">
        <v>40877.0</v>
      </c>
    </row>
    <row r="639">
      <c r="A639" s="11" t="s">
        <v>1355</v>
      </c>
      <c r="B639" s="12"/>
      <c r="C639" s="18" t="s">
        <v>19</v>
      </c>
      <c r="D639" s="11" t="s">
        <v>1356</v>
      </c>
      <c r="E639" s="13" t="s">
        <v>632</v>
      </c>
      <c r="F639" s="15">
        <v>40875.0</v>
      </c>
    </row>
    <row r="640">
      <c r="A640" s="11" t="s">
        <v>1357</v>
      </c>
      <c r="B640" s="12"/>
      <c r="C640" s="13" t="s">
        <v>9</v>
      </c>
      <c r="D640" s="11" t="s">
        <v>1358</v>
      </c>
      <c r="E640" s="13" t="s">
        <v>72</v>
      </c>
      <c r="F640" s="15">
        <v>40922.0</v>
      </c>
    </row>
    <row r="641">
      <c r="A641" s="11" t="s">
        <v>1359</v>
      </c>
      <c r="B641" s="12"/>
      <c r="C641" s="13" t="s">
        <v>9</v>
      </c>
      <c r="D641" s="11" t="s">
        <v>1360</v>
      </c>
      <c r="E641" s="13" t="s">
        <v>15</v>
      </c>
      <c r="F641" s="15">
        <v>40890.0</v>
      </c>
    </row>
    <row r="642">
      <c r="A642" s="11" t="s">
        <v>1361</v>
      </c>
      <c r="B642" s="13">
        <v>1.8</v>
      </c>
      <c r="C642" s="13" t="s">
        <v>9</v>
      </c>
      <c r="D642" s="11" t="s">
        <v>1362</v>
      </c>
      <c r="E642" s="13" t="s">
        <v>72</v>
      </c>
      <c r="F642" s="15">
        <v>40961.0</v>
      </c>
    </row>
    <row r="643">
      <c r="A643" s="21" t="s">
        <v>1363</v>
      </c>
      <c r="B643" s="26" t="s">
        <v>1364</v>
      </c>
      <c r="C643" s="13" t="s">
        <v>9</v>
      </c>
      <c r="D643" s="11" t="s">
        <v>1365</v>
      </c>
      <c r="E643" s="13" t="s">
        <v>1366</v>
      </c>
      <c r="F643" s="22">
        <v>40962.0</v>
      </c>
    </row>
    <row r="644">
      <c r="A644" s="29" t="s">
        <v>1363</v>
      </c>
      <c r="B644" s="12"/>
      <c r="C644" s="13" t="s">
        <v>9</v>
      </c>
      <c r="D644" s="8" t="s">
        <v>1367</v>
      </c>
      <c r="E644" s="6" t="s">
        <v>509</v>
      </c>
      <c r="F644" s="28">
        <v>41005.0</v>
      </c>
    </row>
    <row r="645">
      <c r="A645" s="11" t="s">
        <v>1368</v>
      </c>
      <c r="B645" s="12"/>
      <c r="C645" s="13" t="s">
        <v>9</v>
      </c>
      <c r="D645" s="11" t="s">
        <v>1369</v>
      </c>
      <c r="E645" s="13" t="s">
        <v>40</v>
      </c>
      <c r="F645" s="20"/>
    </row>
    <row r="646">
      <c r="A646" s="11" t="s">
        <v>1370</v>
      </c>
      <c r="B646" s="12"/>
      <c r="C646" s="18" t="s">
        <v>19</v>
      </c>
      <c r="D646" s="11" t="s">
        <v>1371</v>
      </c>
      <c r="E646" s="13" t="s">
        <v>1372</v>
      </c>
      <c r="F646" s="15">
        <v>40911.0</v>
      </c>
    </row>
    <row r="647">
      <c r="A647" s="11" t="s">
        <v>1373</v>
      </c>
      <c r="B647" s="12"/>
      <c r="C647" s="13" t="s">
        <v>9</v>
      </c>
      <c r="D647" s="11" t="s">
        <v>1374</v>
      </c>
      <c r="E647" s="13" t="s">
        <v>1375</v>
      </c>
      <c r="F647" s="15">
        <v>40906.0</v>
      </c>
    </row>
    <row r="648">
      <c r="A648" s="5" t="s">
        <v>1376</v>
      </c>
      <c r="B648" s="12"/>
      <c r="C648" s="16" t="s">
        <v>9</v>
      </c>
      <c r="D648" s="8" t="s">
        <v>1377</v>
      </c>
      <c r="E648" s="9" t="s">
        <v>1378</v>
      </c>
      <c r="F648" s="10">
        <v>41103.0</v>
      </c>
    </row>
    <row r="649">
      <c r="A649" s="5" t="s">
        <v>1379</v>
      </c>
      <c r="B649" s="6">
        <v>1.5</v>
      </c>
      <c r="C649" s="27" t="s">
        <v>19</v>
      </c>
      <c r="D649" s="8" t="s">
        <v>1380</v>
      </c>
      <c r="E649" s="9" t="s">
        <v>515</v>
      </c>
      <c r="F649" s="10">
        <v>41043.0</v>
      </c>
    </row>
    <row r="650">
      <c r="A650" s="11" t="s">
        <v>1381</v>
      </c>
      <c r="B650" s="12"/>
      <c r="C650" s="16" t="s">
        <v>9</v>
      </c>
      <c r="D650" s="11" t="s">
        <v>1382</v>
      </c>
      <c r="E650" s="13" t="s">
        <v>66</v>
      </c>
      <c r="F650" s="15">
        <v>40885.0</v>
      </c>
    </row>
    <row r="651">
      <c r="A651" s="11" t="s">
        <v>1383</v>
      </c>
      <c r="B651" s="13">
        <v>3.031</v>
      </c>
      <c r="C651" s="18" t="s">
        <v>19</v>
      </c>
      <c r="D651" s="11" t="s">
        <v>1384</v>
      </c>
      <c r="E651" s="13" t="s">
        <v>417</v>
      </c>
      <c r="F651" s="22">
        <v>40961.0</v>
      </c>
    </row>
    <row r="652">
      <c r="A652" s="11" t="s">
        <v>1385</v>
      </c>
      <c r="B652" s="12"/>
      <c r="C652" s="18" t="s">
        <v>19</v>
      </c>
      <c r="D652" s="14"/>
      <c r="E652" s="13" t="s">
        <v>1351</v>
      </c>
      <c r="F652" s="20"/>
    </row>
    <row r="653">
      <c r="A653" s="11" t="s">
        <v>1386</v>
      </c>
      <c r="B653" s="12"/>
      <c r="C653" s="18" t="s">
        <v>19</v>
      </c>
      <c r="D653" s="11" t="s">
        <v>1387</v>
      </c>
      <c r="E653" s="13" t="s">
        <v>1351</v>
      </c>
      <c r="F653" s="20"/>
    </row>
    <row r="654">
      <c r="A654" s="11" t="s">
        <v>1388</v>
      </c>
      <c r="B654" s="12"/>
      <c r="C654" s="13" t="s">
        <v>9</v>
      </c>
      <c r="D654" s="11" t="s">
        <v>1389</v>
      </c>
      <c r="E654" s="13" t="s">
        <v>559</v>
      </c>
      <c r="F654" s="15">
        <v>40887.0</v>
      </c>
    </row>
    <row r="655">
      <c r="A655" s="11" t="s">
        <v>1390</v>
      </c>
      <c r="B655" s="12"/>
      <c r="C655" s="16" t="s">
        <v>9</v>
      </c>
      <c r="D655" s="14"/>
      <c r="E655" s="13" t="s">
        <v>175</v>
      </c>
      <c r="F655" s="15">
        <v>40793.9138888889</v>
      </c>
    </row>
    <row r="656">
      <c r="A656" s="11" t="s">
        <v>1391</v>
      </c>
      <c r="B656" s="12"/>
      <c r="C656" s="13" t="s">
        <v>19</v>
      </c>
      <c r="D656" s="11" t="s">
        <v>1392</v>
      </c>
      <c r="E656" s="13" t="s">
        <v>303</v>
      </c>
      <c r="F656" s="22">
        <v>40962.0</v>
      </c>
    </row>
    <row r="657">
      <c r="A657" s="5" t="s">
        <v>1391</v>
      </c>
      <c r="B657" s="12"/>
      <c r="C657" s="27" t="s">
        <v>19</v>
      </c>
      <c r="D657" s="8" t="s">
        <v>1393</v>
      </c>
      <c r="E657" s="9" t="s">
        <v>1394</v>
      </c>
      <c r="F657" s="23">
        <v>41165.0</v>
      </c>
    </row>
    <row r="658">
      <c r="A658" s="11" t="s">
        <v>1395</v>
      </c>
      <c r="B658" s="12"/>
      <c r="C658" s="16" t="s">
        <v>9</v>
      </c>
      <c r="D658" s="11" t="s">
        <v>1396</v>
      </c>
      <c r="E658" s="13" t="s">
        <v>1397</v>
      </c>
      <c r="F658" s="15">
        <v>40901.0</v>
      </c>
    </row>
    <row r="659">
      <c r="A659" s="11" t="s">
        <v>1398</v>
      </c>
      <c r="B659" s="12"/>
      <c r="C659" s="18" t="s">
        <v>19</v>
      </c>
      <c r="D659" s="19" t="str">
        <f>HYPERLINK("http://xsellize.com/topic/170456-infinity-blade-ii-money-insane-stats/","Hack Here.")</f>
        <v>Hack Here.</v>
      </c>
      <c r="E659" s="13" t="s">
        <v>1399</v>
      </c>
      <c r="F659" s="15">
        <v>40912.0</v>
      </c>
    </row>
    <row r="660">
      <c r="A660" s="11" t="s">
        <v>1400</v>
      </c>
      <c r="B660" s="12"/>
      <c r="C660" s="16" t="s">
        <v>9</v>
      </c>
      <c r="D660" s="11" t="s">
        <v>1401</v>
      </c>
      <c r="E660" s="17"/>
      <c r="F660" s="15">
        <v>40913.0</v>
      </c>
    </row>
    <row r="661">
      <c r="A661" s="11" t="s">
        <v>1402</v>
      </c>
      <c r="B661" s="12"/>
      <c r="C661" s="18" t="s">
        <v>19</v>
      </c>
      <c r="D661" s="19" t="str">
        <f>HYPERLINK("http://xsellize.com/topic/175612-new-inotia-3-hack-for-version-123-arm-6-arm-7/","Hack here.For version 1.2.3.")</f>
        <v>Hack here.For version 1.2.3.</v>
      </c>
      <c r="E661" s="13" t="s">
        <v>72</v>
      </c>
      <c r="F661" s="15">
        <v>40919.0</v>
      </c>
    </row>
    <row r="662">
      <c r="A662" s="11" t="s">
        <v>1403</v>
      </c>
      <c r="B662" s="12"/>
      <c r="C662" s="16" t="s">
        <v>9</v>
      </c>
      <c r="D662" s="11" t="s">
        <v>1404</v>
      </c>
      <c r="E662" s="13" t="s">
        <v>23</v>
      </c>
      <c r="F662" s="15">
        <v>40926.0</v>
      </c>
    </row>
    <row r="663">
      <c r="A663" s="11" t="s">
        <v>1405</v>
      </c>
      <c r="B663" s="12"/>
      <c r="C663" s="13" t="s">
        <v>9</v>
      </c>
      <c r="D663" s="11" t="s">
        <v>1406</v>
      </c>
      <c r="E663" s="13" t="s">
        <v>1407</v>
      </c>
      <c r="F663" s="15">
        <v>40937.0</v>
      </c>
    </row>
    <row r="664">
      <c r="A664" s="11" t="s">
        <v>1408</v>
      </c>
      <c r="B664" s="12"/>
      <c r="C664" s="16" t="s">
        <v>9</v>
      </c>
      <c r="D664" s="11" t="s">
        <v>1409</v>
      </c>
      <c r="E664" s="13" t="s">
        <v>1410</v>
      </c>
      <c r="F664" s="15">
        <v>40949.0</v>
      </c>
    </row>
    <row r="665">
      <c r="A665" s="5" t="s">
        <v>1411</v>
      </c>
      <c r="B665" s="12"/>
      <c r="C665" s="13" t="s">
        <v>9</v>
      </c>
      <c r="D665" s="8" t="s">
        <v>1412</v>
      </c>
      <c r="E665" s="13" t="s">
        <v>1413</v>
      </c>
      <c r="F665" s="38" t="s">
        <v>1414</v>
      </c>
    </row>
    <row r="666">
      <c r="A666" s="11" t="s">
        <v>1415</v>
      </c>
      <c r="B666" s="12"/>
      <c r="C666" s="16" t="s">
        <v>9</v>
      </c>
      <c r="D666" s="11" t="s">
        <v>1416</v>
      </c>
      <c r="E666" s="13" t="s">
        <v>72</v>
      </c>
      <c r="F666" s="15">
        <v>40919.0</v>
      </c>
    </row>
    <row r="667">
      <c r="A667" s="11" t="s">
        <v>1417</v>
      </c>
      <c r="B667" s="12"/>
      <c r="C667" s="18" t="s">
        <v>19</v>
      </c>
      <c r="D667" s="11" t="s">
        <v>1418</v>
      </c>
      <c r="E667" s="13" t="s">
        <v>96</v>
      </c>
      <c r="F667" s="15">
        <v>40876.0</v>
      </c>
    </row>
    <row r="668">
      <c r="A668" s="11" t="s">
        <v>1419</v>
      </c>
      <c r="B668" s="12"/>
      <c r="C668" s="16" t="s">
        <v>9</v>
      </c>
      <c r="D668" s="11" t="s">
        <v>25</v>
      </c>
      <c r="E668" s="13" t="s">
        <v>175</v>
      </c>
      <c r="F668" s="15">
        <v>40793.9138888889</v>
      </c>
    </row>
    <row r="669">
      <c r="A669" s="11" t="s">
        <v>1420</v>
      </c>
      <c r="B669" s="12"/>
      <c r="C669" s="16" t="s">
        <v>9</v>
      </c>
      <c r="D669" s="11" t="s">
        <v>1421</v>
      </c>
      <c r="E669" s="13" t="s">
        <v>96</v>
      </c>
      <c r="F669" s="15">
        <v>40876.0</v>
      </c>
    </row>
    <row r="670">
      <c r="A670" s="11" t="s">
        <v>1422</v>
      </c>
      <c r="B670" s="12"/>
      <c r="C670" s="16" t="s">
        <v>9</v>
      </c>
      <c r="D670" s="14"/>
      <c r="E670" s="13" t="s">
        <v>856</v>
      </c>
      <c r="F670" s="15">
        <v>40793.8013888889</v>
      </c>
    </row>
    <row r="671">
      <c r="A671" s="11" t="s">
        <v>1423</v>
      </c>
      <c r="B671" s="12"/>
      <c r="C671" s="13" t="s">
        <v>19</v>
      </c>
      <c r="D671" s="19" t="str">
        <f>HYPERLINK("http://www.icheats.org/forum/index.php?/topic/5285-sav-ishuffle-bowling-2-hack-v11/","Everything Hack Here: Key, bomb,...")</f>
        <v>Everything Hack Here: Key, bomb,...</v>
      </c>
      <c r="E671" s="17"/>
      <c r="F671" s="20"/>
    </row>
    <row r="672">
      <c r="A672" s="11" t="s">
        <v>1424</v>
      </c>
      <c r="B672" s="12"/>
      <c r="C672" s="18" t="s">
        <v>19</v>
      </c>
      <c r="D672" s="11" t="s">
        <v>1425</v>
      </c>
      <c r="E672" s="13" t="s">
        <v>962</v>
      </c>
      <c r="F672" s="15">
        <v>40903.0</v>
      </c>
    </row>
    <row r="673">
      <c r="A673" s="11" t="s">
        <v>1426</v>
      </c>
      <c r="B673" s="12"/>
      <c r="C673" s="13" t="s">
        <v>9</v>
      </c>
      <c r="D673" s="11" t="s">
        <v>1427</v>
      </c>
      <c r="E673" s="13" t="s">
        <v>54</v>
      </c>
      <c r="F673" s="15">
        <v>40946.0</v>
      </c>
    </row>
    <row r="674">
      <c r="A674" s="5" t="s">
        <v>1428</v>
      </c>
      <c r="B674" s="12"/>
      <c r="C674" s="40" t="s">
        <v>19</v>
      </c>
      <c r="D674" s="8" t="s">
        <v>634</v>
      </c>
      <c r="E674" s="9" t="s">
        <v>1429</v>
      </c>
      <c r="F674" s="23">
        <v>41157.0</v>
      </c>
    </row>
    <row r="675">
      <c r="A675" s="11" t="s">
        <v>1430</v>
      </c>
      <c r="B675" s="12"/>
      <c r="C675" s="13" t="s">
        <v>9</v>
      </c>
      <c r="D675" s="11" t="s">
        <v>1431</v>
      </c>
      <c r="E675" s="13" t="s">
        <v>1432</v>
      </c>
      <c r="F675" s="15">
        <v>40903.0</v>
      </c>
    </row>
    <row r="676">
      <c r="A676" s="11" t="s">
        <v>1433</v>
      </c>
      <c r="B676" s="12"/>
      <c r="C676" s="16" t="s">
        <v>9</v>
      </c>
      <c r="D676" s="14"/>
      <c r="E676" s="13" t="s">
        <v>66</v>
      </c>
      <c r="F676" s="15">
        <v>40885.0</v>
      </c>
    </row>
    <row r="677">
      <c r="A677" s="11" t="s">
        <v>1434</v>
      </c>
      <c r="B677" s="12"/>
      <c r="C677" s="16" t="s">
        <v>19</v>
      </c>
      <c r="D677" s="11" t="s">
        <v>1435</v>
      </c>
      <c r="E677" s="13" t="s">
        <v>66</v>
      </c>
      <c r="F677" s="15">
        <v>40905.0</v>
      </c>
    </row>
    <row r="678">
      <c r="A678" s="11" t="s">
        <v>1436</v>
      </c>
      <c r="B678" s="12"/>
      <c r="C678" s="16" t="s">
        <v>9</v>
      </c>
      <c r="D678" s="11" t="s">
        <v>1437</v>
      </c>
      <c r="E678" s="13" t="s">
        <v>435</v>
      </c>
      <c r="F678" s="15">
        <v>40884.0</v>
      </c>
    </row>
    <row r="679">
      <c r="A679" s="11" t="s">
        <v>1438</v>
      </c>
      <c r="B679" s="12"/>
      <c r="C679" s="16" t="s">
        <v>9</v>
      </c>
      <c r="D679" s="11" t="s">
        <v>1439</v>
      </c>
      <c r="E679" s="13" t="s">
        <v>1440</v>
      </c>
      <c r="F679" s="15">
        <v>40903.0</v>
      </c>
    </row>
    <row r="680">
      <c r="A680" s="11" t="s">
        <v>1441</v>
      </c>
      <c r="B680" s="12"/>
      <c r="C680" s="13" t="s">
        <v>9</v>
      </c>
      <c r="D680" s="11" t="s">
        <v>25</v>
      </c>
      <c r="E680" s="13" t="s">
        <v>50</v>
      </c>
      <c r="F680" s="15">
        <v>40901.0</v>
      </c>
    </row>
    <row r="681">
      <c r="A681" s="11" t="s">
        <v>1442</v>
      </c>
      <c r="B681" s="12"/>
      <c r="C681" s="16" t="s">
        <v>9</v>
      </c>
      <c r="D681" s="11" t="s">
        <v>25</v>
      </c>
      <c r="E681" s="13" t="s">
        <v>26</v>
      </c>
      <c r="F681" s="15">
        <v>40901.0</v>
      </c>
    </row>
    <row r="682">
      <c r="A682" s="11" t="s">
        <v>1443</v>
      </c>
      <c r="B682" s="12"/>
      <c r="C682" s="13" t="s">
        <v>9</v>
      </c>
      <c r="D682" s="11" t="s">
        <v>1444</v>
      </c>
      <c r="E682" s="13" t="s">
        <v>1445</v>
      </c>
      <c r="F682" s="15">
        <v>40920.0</v>
      </c>
    </row>
    <row r="683">
      <c r="A683" s="11" t="s">
        <v>1446</v>
      </c>
      <c r="B683" s="12"/>
      <c r="C683" s="18" t="s">
        <v>19</v>
      </c>
      <c r="D683" s="14"/>
      <c r="E683" s="17"/>
      <c r="F683" s="20"/>
    </row>
    <row r="684">
      <c r="A684" s="11" t="s">
        <v>1447</v>
      </c>
      <c r="B684" s="12"/>
      <c r="C684" s="18" t="s">
        <v>19</v>
      </c>
      <c r="D684" s="11" t="s">
        <v>1448</v>
      </c>
      <c r="E684" s="17"/>
      <c r="F684" s="15">
        <v>40909.0</v>
      </c>
    </row>
    <row r="685">
      <c r="A685" s="11" t="s">
        <v>1449</v>
      </c>
      <c r="B685" s="12"/>
      <c r="C685" s="13" t="s">
        <v>9</v>
      </c>
      <c r="D685" s="11" t="s">
        <v>1450</v>
      </c>
      <c r="E685" s="13" t="s">
        <v>1192</v>
      </c>
      <c r="F685" s="15">
        <v>40953.0</v>
      </c>
    </row>
    <row r="686">
      <c r="A686" s="11" t="s">
        <v>1451</v>
      </c>
      <c r="B686" s="12"/>
      <c r="C686" s="16" t="s">
        <v>9</v>
      </c>
      <c r="D686" s="11" t="s">
        <v>1452</v>
      </c>
      <c r="E686" s="17"/>
      <c r="F686" s="15">
        <v>40939.0</v>
      </c>
    </row>
    <row r="687">
      <c r="A687" s="11" t="s">
        <v>1453</v>
      </c>
      <c r="B687" s="12"/>
      <c r="C687" s="16" t="s">
        <v>9</v>
      </c>
      <c r="D687" s="11" t="s">
        <v>1454</v>
      </c>
      <c r="E687" s="13" t="s">
        <v>1074</v>
      </c>
      <c r="F687" s="15">
        <v>40930.0</v>
      </c>
    </row>
    <row r="688">
      <c r="A688" s="11" t="s">
        <v>1455</v>
      </c>
      <c r="B688" s="12"/>
      <c r="C688" s="16" t="s">
        <v>9</v>
      </c>
      <c r="D688" s="11" t="s">
        <v>25</v>
      </c>
      <c r="E688" s="13" t="s">
        <v>50</v>
      </c>
      <c r="F688" s="15">
        <v>40899.0</v>
      </c>
    </row>
    <row r="689">
      <c r="A689" s="11" t="s">
        <v>1456</v>
      </c>
      <c r="B689" s="12"/>
      <c r="C689" s="18" t="s">
        <v>19</v>
      </c>
      <c r="D689" s="14"/>
      <c r="E689" s="13" t="s">
        <v>1457</v>
      </c>
      <c r="F689" s="15">
        <v>40903.0</v>
      </c>
    </row>
    <row r="690">
      <c r="A690" s="11" t="s">
        <v>1458</v>
      </c>
      <c r="B690" s="12"/>
      <c r="C690" s="18" t="s">
        <v>190</v>
      </c>
      <c r="D690" s="19" t="str">
        <f>HYPERLINK("http://store.heaveniphone.com/2011/10/japan-life-iphone.html","Old versions work, download here, then update to the latest")</f>
        <v>Old versions work, download here, then update to the latest</v>
      </c>
      <c r="E690" s="13" t="s">
        <v>435</v>
      </c>
      <c r="F690" s="15">
        <v>40884.0</v>
      </c>
    </row>
    <row r="691">
      <c r="A691" s="11" t="s">
        <v>1459</v>
      </c>
      <c r="B691" s="12"/>
      <c r="C691" s="13" t="s">
        <v>19</v>
      </c>
      <c r="D691" s="19" t="str">
        <f>HYPERLINK("http://idwaneo.org/repo/"," Open Cydia, add this source idwaneo.org/repo, then search and install Jaws Revenge DLC, it will add 10000000 coins")</f>
        <v> Open Cydia, add this source idwaneo.org/repo, then search and install Jaws Revenge DLC, it will add 10000000 coins</v>
      </c>
      <c r="E691" s="13" t="s">
        <v>335</v>
      </c>
      <c r="F691" s="15">
        <v>40939.0</v>
      </c>
    </row>
    <row r="692">
      <c r="A692" s="11" t="s">
        <v>1460</v>
      </c>
      <c r="B692" s="12"/>
      <c r="C692" s="18" t="s">
        <v>9</v>
      </c>
      <c r="D692" s="14"/>
      <c r="E692" s="17"/>
      <c r="F692" s="20"/>
    </row>
    <row r="693">
      <c r="A693" s="11" t="s">
        <v>1461</v>
      </c>
      <c r="B693" s="12"/>
      <c r="C693" s="13" t="s">
        <v>9</v>
      </c>
      <c r="D693" s="11" t="s">
        <v>1462</v>
      </c>
      <c r="E693" s="13" t="s">
        <v>287</v>
      </c>
      <c r="F693" s="15">
        <v>40946.0</v>
      </c>
    </row>
    <row r="694">
      <c r="A694" s="11" t="s">
        <v>1463</v>
      </c>
      <c r="B694" s="12"/>
      <c r="C694" s="16" t="s">
        <v>9</v>
      </c>
      <c r="D694" s="11" t="s">
        <v>1464</v>
      </c>
      <c r="E694" s="17"/>
      <c r="F694" s="20"/>
    </row>
    <row r="695">
      <c r="A695" s="11" t="s">
        <v>1465</v>
      </c>
      <c r="B695" s="12"/>
      <c r="C695" s="13" t="s">
        <v>9</v>
      </c>
      <c r="D695" s="11" t="s">
        <v>1466</v>
      </c>
      <c r="E695" s="13" t="s">
        <v>1467</v>
      </c>
      <c r="F695" s="15">
        <v>40894.0</v>
      </c>
    </row>
    <row r="696">
      <c r="A696" s="11" t="s">
        <v>1468</v>
      </c>
      <c r="B696" s="13">
        <v>2.1</v>
      </c>
      <c r="C696" s="18" t="s">
        <v>19</v>
      </c>
      <c r="D696" s="11" t="s">
        <v>1469</v>
      </c>
      <c r="E696" s="13" t="s">
        <v>1470</v>
      </c>
      <c r="F696" s="22">
        <v>40962.0</v>
      </c>
    </row>
    <row r="697">
      <c r="A697" s="11" t="s">
        <v>1471</v>
      </c>
      <c r="B697" s="12"/>
      <c r="C697" s="13" t="s">
        <v>9</v>
      </c>
      <c r="D697" s="11" t="s">
        <v>1472</v>
      </c>
      <c r="E697" s="13" t="s">
        <v>1473</v>
      </c>
      <c r="F697" s="15">
        <v>40928.0</v>
      </c>
    </row>
    <row r="698">
      <c r="A698" s="11" t="s">
        <v>1474</v>
      </c>
      <c r="B698" s="12"/>
      <c r="C698" s="13" t="s">
        <v>9</v>
      </c>
      <c r="D698" s="11" t="s">
        <v>1475</v>
      </c>
      <c r="E698" s="13" t="s">
        <v>40</v>
      </c>
      <c r="F698" s="20"/>
    </row>
    <row r="699">
      <c r="A699" s="11" t="s">
        <v>1476</v>
      </c>
      <c r="B699" s="12"/>
      <c r="C699" s="16" t="s">
        <v>9</v>
      </c>
      <c r="D699" s="11" t="s">
        <v>1477</v>
      </c>
      <c r="E699" s="13" t="s">
        <v>66</v>
      </c>
      <c r="F699" s="15">
        <v>40881.0</v>
      </c>
    </row>
    <row r="700">
      <c r="A700" s="11" t="s">
        <v>1478</v>
      </c>
      <c r="B700" s="12"/>
      <c r="C700" s="13" t="s">
        <v>9</v>
      </c>
      <c r="D700" s="11" t="s">
        <v>1479</v>
      </c>
      <c r="E700" s="17"/>
      <c r="F700" s="15">
        <v>40946.0</v>
      </c>
    </row>
    <row r="701">
      <c r="A701" s="21" t="s">
        <v>1480</v>
      </c>
      <c r="B701" s="13" t="s">
        <v>910</v>
      </c>
      <c r="C701" s="18" t="s">
        <v>1481</v>
      </c>
      <c r="D701" s="19" t="str">
        <f>HYPERLINK("http://xsellize.com/topic/172191-junk-jack-hack/page__p__683004__hl__junk+jack__fromsearch__1#entry683004","Junk Jack Hack.")</f>
        <v>Junk Jack Hack.</v>
      </c>
      <c r="E701" s="13" t="s">
        <v>1482</v>
      </c>
      <c r="F701" s="22">
        <v>40965.0</v>
      </c>
    </row>
    <row r="702">
      <c r="A702" s="29" t="s">
        <v>1483</v>
      </c>
      <c r="B702" s="6">
        <v>2.23</v>
      </c>
      <c r="C702" s="27" t="s">
        <v>19</v>
      </c>
      <c r="D702" s="14"/>
      <c r="E702" s="6" t="s">
        <v>274</v>
      </c>
      <c r="F702" s="28">
        <v>41008.0</v>
      </c>
    </row>
    <row r="703">
      <c r="A703" s="11" t="s">
        <v>1483</v>
      </c>
      <c r="B703" s="6">
        <v>2.23</v>
      </c>
      <c r="C703" s="18" t="s">
        <v>19</v>
      </c>
      <c r="D703" s="8" t="s">
        <v>1484</v>
      </c>
      <c r="E703" s="13" t="s">
        <v>1125</v>
      </c>
      <c r="F703" s="15">
        <v>41008.0</v>
      </c>
    </row>
    <row r="704">
      <c r="A704" s="11" t="s">
        <v>1485</v>
      </c>
      <c r="B704" s="12"/>
      <c r="C704" s="16" t="s">
        <v>9</v>
      </c>
      <c r="D704" s="11" t="s">
        <v>25</v>
      </c>
      <c r="E704" s="13" t="s">
        <v>50</v>
      </c>
      <c r="F704" s="15">
        <v>40899.0</v>
      </c>
    </row>
    <row r="705">
      <c r="A705" s="11" t="s">
        <v>1486</v>
      </c>
      <c r="B705" s="12"/>
      <c r="C705" s="18" t="s">
        <v>19</v>
      </c>
      <c r="D705" s="14"/>
      <c r="E705" s="17"/>
      <c r="F705" s="20"/>
    </row>
    <row r="706">
      <c r="A706" s="11" t="s">
        <v>1487</v>
      </c>
      <c r="B706" s="12"/>
      <c r="C706" s="18" t="s">
        <v>19</v>
      </c>
      <c r="D706" s="19" t="str">
        <f>HYPERLINK("http://xsellize.com/topic/177117-sav-kard-combat-%e2%84%a2-hack-v130/","Hack Unlock All IAPs here.")</f>
        <v>Hack Unlock All IAPs here.</v>
      </c>
      <c r="E706" s="17"/>
      <c r="F706" s="20"/>
    </row>
    <row r="707">
      <c r="A707" s="11" t="s">
        <v>1488</v>
      </c>
      <c r="B707" s="12"/>
      <c r="C707" s="16" t="s">
        <v>9</v>
      </c>
      <c r="D707" s="11" t="s">
        <v>1489</v>
      </c>
      <c r="E707" s="13" t="s">
        <v>1490</v>
      </c>
      <c r="F707" s="15">
        <v>40883.0</v>
      </c>
    </row>
    <row r="708">
      <c r="A708" s="11" t="s">
        <v>1491</v>
      </c>
      <c r="B708" s="12"/>
      <c r="C708" s="16" t="s">
        <v>9</v>
      </c>
      <c r="D708" s="11" t="s">
        <v>1492</v>
      </c>
      <c r="E708" s="13" t="s">
        <v>66</v>
      </c>
      <c r="F708" s="15">
        <v>40900.0</v>
      </c>
    </row>
    <row r="709">
      <c r="A709" s="11" t="s">
        <v>1493</v>
      </c>
      <c r="B709" s="12"/>
      <c r="C709" s="13" t="s">
        <v>9</v>
      </c>
      <c r="D709" s="11" t="s">
        <v>1494</v>
      </c>
      <c r="E709" s="13" t="s">
        <v>363</v>
      </c>
      <c r="F709" s="15">
        <v>40916.0</v>
      </c>
    </row>
    <row r="710">
      <c r="A710" s="29" t="s">
        <v>1493</v>
      </c>
      <c r="B710" s="12"/>
      <c r="C710" s="27" t="s">
        <v>19</v>
      </c>
      <c r="D710" s="8" t="s">
        <v>1495</v>
      </c>
      <c r="E710" s="6" t="s">
        <v>274</v>
      </c>
      <c r="F710" s="28">
        <v>41013.0</v>
      </c>
    </row>
    <row r="711">
      <c r="A711" s="5" t="s">
        <v>1496</v>
      </c>
      <c r="B711" s="6" t="s">
        <v>706</v>
      </c>
      <c r="C711" s="40" t="s">
        <v>190</v>
      </c>
      <c r="D711" s="8" t="s">
        <v>1497</v>
      </c>
      <c r="E711" s="9" t="s">
        <v>1498</v>
      </c>
      <c r="F711" s="23">
        <v>41160.0</v>
      </c>
    </row>
    <row r="712">
      <c r="A712" s="11" t="s">
        <v>1499</v>
      </c>
      <c r="B712" s="12"/>
      <c r="C712" s="16" t="s">
        <v>9</v>
      </c>
      <c r="D712" s="11" t="s">
        <v>1500</v>
      </c>
      <c r="E712" s="13" t="s">
        <v>745</v>
      </c>
      <c r="F712" s="15">
        <v>40906.0</v>
      </c>
    </row>
    <row r="713">
      <c r="A713" s="11" t="s">
        <v>1501</v>
      </c>
      <c r="B713" s="12"/>
      <c r="C713" s="18" t="s">
        <v>19</v>
      </c>
      <c r="D713" s="11" t="s">
        <v>1502</v>
      </c>
      <c r="E713" s="13" t="s">
        <v>1503</v>
      </c>
      <c r="F713" s="15">
        <v>40932.0</v>
      </c>
    </row>
    <row r="714">
      <c r="A714" s="11" t="s">
        <v>1504</v>
      </c>
      <c r="B714" s="12"/>
      <c r="C714" s="13" t="s">
        <v>9</v>
      </c>
      <c r="D714" s="11" t="s">
        <v>1505</v>
      </c>
      <c r="E714" s="17"/>
      <c r="F714" s="20"/>
    </row>
    <row r="715">
      <c r="A715" s="11" t="s">
        <v>1506</v>
      </c>
      <c r="B715" s="12"/>
      <c r="C715" s="13" t="s">
        <v>9</v>
      </c>
      <c r="D715" s="11" t="s">
        <v>1507</v>
      </c>
      <c r="E715" s="17"/>
      <c r="F715" s="15">
        <v>40953.0</v>
      </c>
    </row>
    <row r="716">
      <c r="A716" s="11" t="s">
        <v>1508</v>
      </c>
      <c r="B716" s="12"/>
      <c r="C716" s="13" t="s">
        <v>1509</v>
      </c>
      <c r="D716" s="14"/>
      <c r="E716" s="13" t="s">
        <v>962</v>
      </c>
      <c r="F716" s="15">
        <v>40901.0</v>
      </c>
    </row>
    <row r="717">
      <c r="A717" s="5" t="s">
        <v>1510</v>
      </c>
      <c r="B717" s="6" t="s">
        <v>1511</v>
      </c>
      <c r="C717" s="27" t="s">
        <v>19</v>
      </c>
      <c r="D717" s="8" t="s">
        <v>1512</v>
      </c>
      <c r="E717" s="9" t="s">
        <v>1513</v>
      </c>
      <c r="F717" s="23">
        <v>41175.0</v>
      </c>
    </row>
    <row r="718">
      <c r="A718" s="11" t="s">
        <v>1514</v>
      </c>
      <c r="B718" s="12"/>
      <c r="C718" s="18" t="s">
        <v>19</v>
      </c>
      <c r="D718" s="11" t="s">
        <v>1515</v>
      </c>
      <c r="E718" s="13" t="s">
        <v>1516</v>
      </c>
      <c r="F718" s="15">
        <v>40911.0</v>
      </c>
    </row>
    <row r="719">
      <c r="A719" s="11" t="s">
        <v>1517</v>
      </c>
      <c r="B719" s="12"/>
      <c r="C719" s="18" t="s">
        <v>19</v>
      </c>
      <c r="D719" s="14"/>
      <c r="E719" s="17"/>
      <c r="F719" s="20"/>
    </row>
    <row r="720">
      <c r="A720" s="5" t="s">
        <v>1518</v>
      </c>
      <c r="B720" s="6">
        <v>1.5</v>
      </c>
      <c r="C720" s="7" t="s">
        <v>9</v>
      </c>
      <c r="D720" s="8" t="s">
        <v>525</v>
      </c>
      <c r="E720" s="9" t="s">
        <v>1519</v>
      </c>
      <c r="F720" s="23">
        <v>41175.0</v>
      </c>
    </row>
    <row r="721">
      <c r="A721" s="29" t="s">
        <v>1520</v>
      </c>
      <c r="B721" s="12"/>
      <c r="C721" s="27" t="s">
        <v>19</v>
      </c>
      <c r="D721" s="8" t="s">
        <v>1521</v>
      </c>
      <c r="E721" s="6" t="s">
        <v>274</v>
      </c>
      <c r="F721" s="28">
        <v>41011.0</v>
      </c>
    </row>
    <row r="722">
      <c r="A722" s="11" t="s">
        <v>1522</v>
      </c>
      <c r="B722" s="12"/>
      <c r="C722" s="13" t="s">
        <v>19</v>
      </c>
      <c r="D722" s="14"/>
      <c r="E722" s="13" t="s">
        <v>962</v>
      </c>
      <c r="F722" s="15">
        <v>40901.0</v>
      </c>
    </row>
    <row r="723">
      <c r="A723" s="21" t="s">
        <v>1523</v>
      </c>
      <c r="B723" s="13" t="s">
        <v>1524</v>
      </c>
      <c r="C723" s="13" t="s">
        <v>19</v>
      </c>
      <c r="D723" s="11" t="s">
        <v>1525</v>
      </c>
      <c r="E723" s="13" t="s">
        <v>1526</v>
      </c>
      <c r="F723" s="15">
        <v>40972.0</v>
      </c>
    </row>
    <row r="724">
      <c r="A724" s="11" t="s">
        <v>1527</v>
      </c>
      <c r="B724" s="12"/>
      <c r="C724" s="13" t="s">
        <v>19</v>
      </c>
      <c r="D724" s="8" t="s">
        <v>1528</v>
      </c>
      <c r="E724" s="13" t="s">
        <v>1529</v>
      </c>
      <c r="F724" s="38" t="s">
        <v>1530</v>
      </c>
    </row>
    <row r="725">
      <c r="A725" s="11" t="s">
        <v>1531</v>
      </c>
      <c r="B725" s="12"/>
      <c r="C725" s="18" t="s">
        <v>9</v>
      </c>
      <c r="D725" s="11" t="s">
        <v>1532</v>
      </c>
      <c r="E725" s="13" t="s">
        <v>115</v>
      </c>
      <c r="F725" s="15">
        <v>40954.0</v>
      </c>
    </row>
    <row r="726">
      <c r="A726" s="11" t="s">
        <v>1533</v>
      </c>
      <c r="B726" s="13">
        <v>2.01</v>
      </c>
      <c r="C726" s="16" t="s">
        <v>9</v>
      </c>
      <c r="D726" s="11" t="s">
        <v>1534</v>
      </c>
      <c r="E726" s="13" t="s">
        <v>1535</v>
      </c>
      <c r="F726" s="22">
        <v>40957.0</v>
      </c>
    </row>
    <row r="727">
      <c r="A727" s="21" t="s">
        <v>1536</v>
      </c>
      <c r="B727" s="13" t="s">
        <v>1537</v>
      </c>
      <c r="C727" s="13" t="s">
        <v>9</v>
      </c>
      <c r="D727" s="11" t="s">
        <v>1538</v>
      </c>
      <c r="E727" s="13" t="s">
        <v>1539</v>
      </c>
      <c r="F727" s="15">
        <v>40972.0</v>
      </c>
    </row>
    <row r="728">
      <c r="A728" s="11" t="s">
        <v>1540</v>
      </c>
      <c r="B728" s="12"/>
      <c r="C728" s="13" t="s">
        <v>9</v>
      </c>
      <c r="D728" s="14"/>
      <c r="E728" s="13" t="s">
        <v>156</v>
      </c>
      <c r="F728" s="15">
        <v>40891.0</v>
      </c>
    </row>
    <row r="729">
      <c r="A729" s="11" t="s">
        <v>1541</v>
      </c>
      <c r="B729" s="12"/>
      <c r="C729" s="16" t="s">
        <v>9</v>
      </c>
      <c r="D729" s="11" t="s">
        <v>525</v>
      </c>
      <c r="E729" s="13" t="s">
        <v>863</v>
      </c>
      <c r="F729" s="15">
        <v>40953.0</v>
      </c>
    </row>
    <row r="730">
      <c r="A730" s="5" t="s">
        <v>1542</v>
      </c>
      <c r="B730" s="12"/>
      <c r="C730" s="13" t="s">
        <v>9</v>
      </c>
      <c r="D730" s="8" t="s">
        <v>1543</v>
      </c>
      <c r="E730" s="13" t="s">
        <v>1544</v>
      </c>
      <c r="F730" s="41"/>
    </row>
    <row r="731">
      <c r="A731" s="11" t="s">
        <v>1545</v>
      </c>
      <c r="B731" s="12"/>
      <c r="C731" s="16" t="s">
        <v>9</v>
      </c>
      <c r="D731" s="11" t="s">
        <v>1546</v>
      </c>
      <c r="E731" s="17"/>
      <c r="F731" s="20"/>
    </row>
    <row r="732">
      <c r="A732" s="11" t="s">
        <v>1547</v>
      </c>
      <c r="B732" s="12"/>
      <c r="C732" s="13" t="s">
        <v>9</v>
      </c>
      <c r="D732" s="11" t="s">
        <v>1548</v>
      </c>
      <c r="E732" s="13" t="s">
        <v>13</v>
      </c>
      <c r="F732" s="15">
        <v>40928.0</v>
      </c>
    </row>
    <row r="733">
      <c r="A733" s="11" t="s">
        <v>1549</v>
      </c>
      <c r="B733" s="12"/>
      <c r="C733" s="18" t="s">
        <v>19</v>
      </c>
      <c r="D733" s="14"/>
      <c r="E733" s="17"/>
      <c r="F733" s="20"/>
    </row>
    <row r="734">
      <c r="A734" s="11" t="s">
        <v>1550</v>
      </c>
      <c r="B734" s="12"/>
      <c r="C734" s="16" t="s">
        <v>9</v>
      </c>
      <c r="D734" s="11" t="s">
        <v>498</v>
      </c>
      <c r="E734" s="13" t="s">
        <v>72</v>
      </c>
      <c r="F734" s="15">
        <v>40930.0</v>
      </c>
    </row>
    <row r="735">
      <c r="A735" s="5" t="s">
        <v>1551</v>
      </c>
      <c r="B735" s="6" t="s">
        <v>659</v>
      </c>
      <c r="C735" s="13" t="s">
        <v>9</v>
      </c>
      <c r="D735" s="8" t="s">
        <v>1552</v>
      </c>
      <c r="E735" s="9" t="s">
        <v>1553</v>
      </c>
      <c r="F735" s="10">
        <v>41043.0</v>
      </c>
    </row>
    <row r="736">
      <c r="A736" s="11" t="s">
        <v>1554</v>
      </c>
      <c r="B736" s="12"/>
      <c r="C736" s="13" t="s">
        <v>9</v>
      </c>
      <c r="D736" s="11" t="s">
        <v>1555</v>
      </c>
      <c r="E736" s="13" t="s">
        <v>50</v>
      </c>
      <c r="F736" s="15">
        <v>40898.0</v>
      </c>
    </row>
    <row r="737">
      <c r="A737" s="11" t="s">
        <v>1556</v>
      </c>
      <c r="B737" s="12"/>
      <c r="C737" s="16" t="s">
        <v>9</v>
      </c>
      <c r="D737" s="11" t="s">
        <v>1557</v>
      </c>
      <c r="E737" s="13" t="s">
        <v>640</v>
      </c>
      <c r="F737" s="15">
        <v>40912.0</v>
      </c>
    </row>
    <row r="738">
      <c r="A738" s="21" t="s">
        <v>1558</v>
      </c>
      <c r="B738" s="13" t="s">
        <v>1559</v>
      </c>
      <c r="C738" s="13" t="s">
        <v>9</v>
      </c>
      <c r="D738" s="11" t="s">
        <v>1560</v>
      </c>
      <c r="E738" s="13" t="s">
        <v>1561</v>
      </c>
      <c r="F738" s="22">
        <v>40967.0</v>
      </c>
    </row>
    <row r="739">
      <c r="A739" s="11" t="s">
        <v>1562</v>
      </c>
      <c r="B739" s="12"/>
      <c r="C739" s="18" t="s">
        <v>19</v>
      </c>
      <c r="D739" s="14"/>
      <c r="E739" s="13" t="s">
        <v>1563</v>
      </c>
      <c r="F739" s="15">
        <v>40903.0</v>
      </c>
    </row>
    <row r="740">
      <c r="A740" s="11" t="s">
        <v>1564</v>
      </c>
      <c r="B740" s="12"/>
      <c r="C740" s="18" t="s">
        <v>9</v>
      </c>
      <c r="D740" s="11" t="s">
        <v>684</v>
      </c>
      <c r="E740" s="13" t="s">
        <v>15</v>
      </c>
      <c r="F740" s="15">
        <v>40890.0</v>
      </c>
    </row>
    <row r="741">
      <c r="A741" s="11" t="s">
        <v>1565</v>
      </c>
      <c r="B741" s="13" t="s">
        <v>286</v>
      </c>
      <c r="C741" s="13" t="s">
        <v>19</v>
      </c>
      <c r="D741" s="19" t="str">
        <f>HYPERLINK("http://xsellize.com/topic/175939-lets-golf-3-hack-v103/","Hack, Here. all versions")</f>
        <v>Hack, Here. all versions</v>
      </c>
      <c r="E741" s="13" t="s">
        <v>1566</v>
      </c>
      <c r="F741" s="15">
        <v>40905.0</v>
      </c>
    </row>
    <row r="742">
      <c r="A742" s="11" t="s">
        <v>1567</v>
      </c>
      <c r="B742" s="13" t="s">
        <v>247</v>
      </c>
      <c r="C742" s="18" t="s">
        <v>19</v>
      </c>
      <c r="D742" s="19" t="str">
        <f>HYPERLINK("http://xsellize.com/topic/175939-lets-golf-3-hack-v104/page__gopid__689346#entry689346","Hack Here for v 1.0.4")</f>
        <v>Hack Here for v 1.0.4</v>
      </c>
      <c r="E742" s="13" t="s">
        <v>335</v>
      </c>
      <c r="F742" s="15">
        <v>40939.0</v>
      </c>
    </row>
    <row r="743">
      <c r="A743" s="11" t="s">
        <v>1568</v>
      </c>
      <c r="B743" s="13" t="s">
        <v>659</v>
      </c>
      <c r="C743" s="13" t="s">
        <v>9</v>
      </c>
      <c r="D743" s="11" t="s">
        <v>1569</v>
      </c>
      <c r="E743" s="13" t="s">
        <v>629</v>
      </c>
      <c r="F743" s="15">
        <v>40937.0</v>
      </c>
    </row>
    <row r="744">
      <c r="A744" s="11" t="s">
        <v>1570</v>
      </c>
      <c r="B744" s="12"/>
      <c r="C744" s="18" t="s">
        <v>19</v>
      </c>
      <c r="D744" s="11" t="s">
        <v>528</v>
      </c>
      <c r="E744" s="13" t="s">
        <v>115</v>
      </c>
      <c r="F744" s="15">
        <v>40935.0</v>
      </c>
    </row>
    <row r="745">
      <c r="A745" s="11" t="s">
        <v>1571</v>
      </c>
      <c r="B745" s="12"/>
      <c r="C745" s="16" t="s">
        <v>9</v>
      </c>
      <c r="D745" s="14"/>
      <c r="E745" s="13" t="s">
        <v>1572</v>
      </c>
      <c r="F745" s="15">
        <v>40903.0</v>
      </c>
    </row>
    <row r="746">
      <c r="A746" s="11" t="s">
        <v>1573</v>
      </c>
      <c r="B746" s="12"/>
      <c r="C746" s="18" t="s">
        <v>19</v>
      </c>
      <c r="D746" s="11" t="s">
        <v>1574</v>
      </c>
      <c r="E746" s="17"/>
      <c r="F746" s="15">
        <v>40932.0</v>
      </c>
    </row>
    <row r="747">
      <c r="A747" s="11" t="s">
        <v>1575</v>
      </c>
      <c r="B747" s="12"/>
      <c r="C747" s="18" t="s">
        <v>19</v>
      </c>
      <c r="D747" s="14"/>
      <c r="E747" s="13" t="s">
        <v>1576</v>
      </c>
      <c r="F747" s="15">
        <v>40874.0</v>
      </c>
    </row>
    <row r="748">
      <c r="A748" s="11" t="s">
        <v>1577</v>
      </c>
      <c r="B748" s="12"/>
      <c r="C748" s="18" t="s">
        <v>19</v>
      </c>
      <c r="D748" s="11" t="s">
        <v>1578</v>
      </c>
      <c r="E748" s="13" t="s">
        <v>1579</v>
      </c>
      <c r="F748" s="20"/>
    </row>
    <row r="749">
      <c r="A749" s="11" t="s">
        <v>1580</v>
      </c>
      <c r="B749" s="12"/>
      <c r="C749" s="16" t="s">
        <v>9</v>
      </c>
      <c r="D749" s="11" t="s">
        <v>1581</v>
      </c>
      <c r="E749" s="13" t="s">
        <v>1490</v>
      </c>
      <c r="F749" s="15">
        <v>40898.0</v>
      </c>
    </row>
    <row r="750">
      <c r="A750" s="11" t="s">
        <v>1582</v>
      </c>
      <c r="B750" s="12"/>
      <c r="C750" s="18" t="s">
        <v>19</v>
      </c>
      <c r="D750" s="19" t="str">
        <f>HYPERLINK("http://xsellize.com/topic/93082-lilpirates-hack/","Hack Here (Hex). You have to select the Find Options excatly like in the picture")</f>
        <v>Hack Here (Hex). You have to select the Find Options excatly like in the picture</v>
      </c>
      <c r="E750" s="17"/>
      <c r="F750" s="20"/>
    </row>
    <row r="751">
      <c r="A751" s="11" t="s">
        <v>1583</v>
      </c>
      <c r="B751" s="12"/>
      <c r="C751" s="16" t="s">
        <v>9</v>
      </c>
      <c r="D751" s="14"/>
      <c r="E751" s="13" t="s">
        <v>136</v>
      </c>
      <c r="F751" s="15">
        <v>40793.9229166667</v>
      </c>
    </row>
    <row r="752">
      <c r="A752" s="11" t="s">
        <v>1584</v>
      </c>
      <c r="B752" s="13" t="s">
        <v>659</v>
      </c>
      <c r="C752" s="18" t="s">
        <v>19</v>
      </c>
      <c r="D752" s="11" t="s">
        <v>1585</v>
      </c>
      <c r="E752" s="13" t="s">
        <v>409</v>
      </c>
      <c r="F752" s="22">
        <v>40957.0</v>
      </c>
    </row>
    <row r="753">
      <c r="A753" s="11" t="s">
        <v>1586</v>
      </c>
      <c r="B753" s="13">
        <v>1.7</v>
      </c>
      <c r="C753" s="13" t="s">
        <v>120</v>
      </c>
      <c r="D753" s="11" t="s">
        <v>1587</v>
      </c>
      <c r="E753" s="13" t="s">
        <v>15</v>
      </c>
      <c r="F753" s="15">
        <v>40890.0</v>
      </c>
    </row>
    <row r="754">
      <c r="A754" s="11" t="s">
        <v>1588</v>
      </c>
      <c r="B754" s="12"/>
      <c r="C754" s="13" t="s">
        <v>9</v>
      </c>
      <c r="D754" s="11" t="s">
        <v>1589</v>
      </c>
      <c r="E754" s="13" t="s">
        <v>1590</v>
      </c>
      <c r="F754" s="15">
        <v>40937.0</v>
      </c>
    </row>
    <row r="755">
      <c r="A755" s="11" t="s">
        <v>1591</v>
      </c>
      <c r="B755" s="6" t="s">
        <v>953</v>
      </c>
      <c r="C755" s="13" t="s">
        <v>9</v>
      </c>
      <c r="D755" s="8" t="s">
        <v>1592</v>
      </c>
      <c r="E755" s="13" t="s">
        <v>1593</v>
      </c>
      <c r="F755" s="15">
        <v>41090.0</v>
      </c>
    </row>
    <row r="756">
      <c r="A756" s="5" t="s">
        <v>1594</v>
      </c>
      <c r="B756" s="12"/>
      <c r="C756" s="27" t="s">
        <v>19</v>
      </c>
      <c r="D756" s="8" t="s">
        <v>1595</v>
      </c>
      <c r="E756" s="9" t="s">
        <v>570</v>
      </c>
      <c r="F756" s="23">
        <v>41169.0</v>
      </c>
    </row>
    <row r="757">
      <c r="A757" s="11" t="s">
        <v>1596</v>
      </c>
      <c r="B757" s="13" t="s">
        <v>659</v>
      </c>
      <c r="C757" s="18" t="s">
        <v>19</v>
      </c>
      <c r="D757" s="11" t="s">
        <v>1597</v>
      </c>
      <c r="E757" s="17"/>
      <c r="F757" s="20"/>
    </row>
    <row r="758">
      <c r="A758" s="5" t="s">
        <v>1598</v>
      </c>
      <c r="B758" s="12"/>
      <c r="C758" s="27" t="s">
        <v>19</v>
      </c>
      <c r="D758" s="14"/>
      <c r="F758" s="48"/>
    </row>
    <row r="759">
      <c r="A759" s="11" t="s">
        <v>1599</v>
      </c>
      <c r="B759" s="12"/>
      <c r="C759" s="18" t="s">
        <v>19</v>
      </c>
      <c r="D759" s="14"/>
      <c r="E759" s="17"/>
      <c r="F759" s="20"/>
    </row>
    <row r="760">
      <c r="A760" s="11" t="s">
        <v>1600</v>
      </c>
      <c r="B760" s="12"/>
      <c r="C760" s="16" t="s">
        <v>9</v>
      </c>
      <c r="D760" s="14"/>
      <c r="E760" s="17"/>
      <c r="F760" s="15">
        <v>40873.0</v>
      </c>
    </row>
    <row r="761">
      <c r="A761" s="11" t="s">
        <v>1601</v>
      </c>
      <c r="B761" s="12"/>
      <c r="C761" s="13" t="s">
        <v>9</v>
      </c>
      <c r="D761" s="14"/>
      <c r="E761" s="13" t="s">
        <v>287</v>
      </c>
      <c r="F761" s="15">
        <v>40946.0</v>
      </c>
    </row>
    <row r="762">
      <c r="A762" s="11" t="s">
        <v>1602</v>
      </c>
      <c r="B762" s="12"/>
      <c r="C762" s="16" t="s">
        <v>9</v>
      </c>
      <c r="D762" s="11" t="s">
        <v>1603</v>
      </c>
      <c r="E762" s="13" t="s">
        <v>1604</v>
      </c>
      <c r="F762" s="15">
        <v>40904.0</v>
      </c>
    </row>
    <row r="763">
      <c r="A763" s="11" t="s">
        <v>1605</v>
      </c>
      <c r="B763" s="12"/>
      <c r="C763" s="13" t="s">
        <v>9</v>
      </c>
      <c r="D763" s="14"/>
      <c r="E763" s="13" t="s">
        <v>72</v>
      </c>
      <c r="F763" s="15">
        <v>40918.0</v>
      </c>
    </row>
    <row r="764">
      <c r="A764" s="11" t="s">
        <v>1606</v>
      </c>
      <c r="B764" s="12"/>
      <c r="C764" s="13" t="s">
        <v>19</v>
      </c>
      <c r="D764" s="11" t="s">
        <v>1607</v>
      </c>
      <c r="E764" s="13" t="s">
        <v>417</v>
      </c>
      <c r="F764" s="15">
        <v>40928.0</v>
      </c>
    </row>
    <row r="765">
      <c r="A765" s="11" t="s">
        <v>1608</v>
      </c>
      <c r="B765" s="13" t="s">
        <v>481</v>
      </c>
      <c r="C765" s="16" t="s">
        <v>9</v>
      </c>
      <c r="D765" s="11" t="s">
        <v>1609</v>
      </c>
      <c r="E765" s="13" t="s">
        <v>409</v>
      </c>
      <c r="F765" s="15">
        <v>40948.0</v>
      </c>
    </row>
    <row r="766">
      <c r="A766" s="11" t="s">
        <v>1610</v>
      </c>
      <c r="B766" s="12"/>
      <c r="C766" s="18" t="s">
        <v>19</v>
      </c>
      <c r="D766" s="11" t="s">
        <v>1611</v>
      </c>
      <c r="E766" s="13" t="s">
        <v>1612</v>
      </c>
      <c r="F766" s="49">
        <v>40929.0</v>
      </c>
    </row>
    <row r="767">
      <c r="A767" s="11" t="s">
        <v>1613</v>
      </c>
      <c r="B767" s="12"/>
      <c r="C767" s="18" t="s">
        <v>19</v>
      </c>
      <c r="D767" s="11" t="s">
        <v>1614</v>
      </c>
      <c r="E767" s="13" t="s">
        <v>279</v>
      </c>
      <c r="F767" s="15">
        <v>40799.7718402778</v>
      </c>
    </row>
    <row r="768">
      <c r="A768" s="11" t="s">
        <v>1615</v>
      </c>
      <c r="B768" s="12"/>
      <c r="C768" s="13" t="s">
        <v>19</v>
      </c>
      <c r="D768" s="11" t="s">
        <v>408</v>
      </c>
      <c r="E768" s="13" t="s">
        <v>1616</v>
      </c>
      <c r="F768" s="15">
        <v>40949.0</v>
      </c>
    </row>
    <row r="769">
      <c r="A769" s="11" t="s">
        <v>1617</v>
      </c>
      <c r="B769" s="12"/>
      <c r="C769" s="13" t="s">
        <v>9</v>
      </c>
      <c r="D769" s="14"/>
      <c r="E769" s="13" t="s">
        <v>1618</v>
      </c>
      <c r="F769" s="15">
        <v>40900.0</v>
      </c>
    </row>
    <row r="770">
      <c r="A770" s="29" t="s">
        <v>1619</v>
      </c>
      <c r="B770" s="6">
        <v>1.2</v>
      </c>
      <c r="C770" s="27" t="s">
        <v>9</v>
      </c>
      <c r="D770" s="8" t="s">
        <v>1620</v>
      </c>
      <c r="E770" s="6" t="s">
        <v>79</v>
      </c>
      <c r="F770" s="28">
        <v>41041.0</v>
      </c>
    </row>
    <row r="771">
      <c r="A771" s="11" t="s">
        <v>1621</v>
      </c>
      <c r="B771" s="12"/>
      <c r="C771" s="13" t="s">
        <v>9</v>
      </c>
      <c r="D771" s="11" t="s">
        <v>1622</v>
      </c>
      <c r="E771" s="13" t="s">
        <v>87</v>
      </c>
      <c r="F771" s="15">
        <v>40900.0</v>
      </c>
    </row>
    <row r="772">
      <c r="A772" s="5" t="s">
        <v>1623</v>
      </c>
      <c r="B772" s="12"/>
      <c r="C772" s="7" t="s">
        <v>9</v>
      </c>
      <c r="D772" s="8" t="s">
        <v>1624</v>
      </c>
      <c r="E772" s="17"/>
      <c r="F772" s="28">
        <v>41106.0</v>
      </c>
    </row>
    <row r="773">
      <c r="A773" s="11" t="s">
        <v>1625</v>
      </c>
      <c r="B773" s="12"/>
      <c r="C773" s="13" t="s">
        <v>9</v>
      </c>
      <c r="D773" s="11" t="s">
        <v>1626</v>
      </c>
      <c r="E773" s="13" t="s">
        <v>1178</v>
      </c>
      <c r="F773" s="15">
        <v>40907.0</v>
      </c>
    </row>
    <row r="774">
      <c r="A774" s="11" t="s">
        <v>1627</v>
      </c>
      <c r="B774" s="12"/>
      <c r="C774" s="18" t="s">
        <v>19</v>
      </c>
      <c r="D774" s="11" t="s">
        <v>1628</v>
      </c>
      <c r="E774" s="13" t="s">
        <v>1629</v>
      </c>
      <c r="F774" s="15">
        <v>40885.0</v>
      </c>
    </row>
    <row r="775">
      <c r="A775" s="11" t="s">
        <v>1630</v>
      </c>
      <c r="B775" s="12"/>
      <c r="C775" s="16" t="s">
        <v>9</v>
      </c>
      <c r="D775" s="14"/>
      <c r="E775" s="17"/>
      <c r="F775" s="20"/>
    </row>
    <row r="776">
      <c r="A776" s="11" t="s">
        <v>1631</v>
      </c>
      <c r="B776" s="6" t="s">
        <v>1632</v>
      </c>
      <c r="C776" s="18" t="s">
        <v>19</v>
      </c>
      <c r="D776" s="8" t="s">
        <v>1633</v>
      </c>
      <c r="E776" s="13" t="s">
        <v>1634</v>
      </c>
      <c r="F776" s="15">
        <v>41094.0</v>
      </c>
    </row>
    <row r="777">
      <c r="A777" s="11" t="s">
        <v>1635</v>
      </c>
      <c r="B777" s="12"/>
      <c r="C777" s="16" t="s">
        <v>9</v>
      </c>
      <c r="D777" s="14"/>
      <c r="E777" s="13" t="s">
        <v>87</v>
      </c>
      <c r="F777" s="15">
        <v>40895.0</v>
      </c>
    </row>
    <row r="778">
      <c r="A778" s="11" t="s">
        <v>1636</v>
      </c>
      <c r="B778" s="12"/>
      <c r="C778" s="18" t="s">
        <v>19</v>
      </c>
      <c r="D778" s="19" t="str">
        <f>HYPERLINK("http://xsellize.com/topic/140569-magic-piano-tut-to-get-all-songs-tut-on-custom-songs/","Tut to get all songs here (same as Magic Piano)")</f>
        <v>Tut to get all songs here (same as Magic Piano)</v>
      </c>
      <c r="E778" s="13" t="s">
        <v>1149</v>
      </c>
      <c r="F778" s="15">
        <v>40919.0</v>
      </c>
    </row>
    <row r="779">
      <c r="A779" s="11" t="s">
        <v>1637</v>
      </c>
      <c r="B779" s="13" t="s">
        <v>1638</v>
      </c>
      <c r="C779" s="18" t="s">
        <v>19</v>
      </c>
      <c r="D779" s="19" t="str">
        <f>HYPERLINK("http://xsellize.com/topic/140569-magic-piano-tut-to-get-all-songs-tut-on-custom-songs/","Tut to get all songs here")</f>
        <v>Tut to get all songs here</v>
      </c>
      <c r="E779" s="13" t="s">
        <v>1639</v>
      </c>
      <c r="F779" s="15">
        <v>40919.0</v>
      </c>
    </row>
    <row r="780">
      <c r="A780" s="29" t="s">
        <v>1640</v>
      </c>
      <c r="B780" s="6" t="s">
        <v>286</v>
      </c>
      <c r="C780" s="27" t="s">
        <v>19</v>
      </c>
      <c r="D780" s="8" t="s">
        <v>1641</v>
      </c>
      <c r="E780" s="6" t="s">
        <v>274</v>
      </c>
      <c r="F780" s="28">
        <v>41015.0</v>
      </c>
    </row>
    <row r="781">
      <c r="A781" s="11" t="s">
        <v>1642</v>
      </c>
      <c r="B781" s="12"/>
      <c r="C781" s="16" t="s">
        <v>9</v>
      </c>
      <c r="D781" s="14"/>
      <c r="E781" s="17"/>
      <c r="F781" s="20"/>
    </row>
    <row r="782">
      <c r="A782" s="50" t="s">
        <v>1643</v>
      </c>
      <c r="B782" s="13" t="s">
        <v>1644</v>
      </c>
      <c r="C782" s="18" t="s">
        <v>19</v>
      </c>
      <c r="D782" s="11" t="s">
        <v>1645</v>
      </c>
      <c r="E782" s="13" t="s">
        <v>1646</v>
      </c>
      <c r="F782" s="22">
        <v>40964.0</v>
      </c>
    </row>
    <row r="783">
      <c r="A783" s="11" t="s">
        <v>1647</v>
      </c>
      <c r="B783" s="12"/>
      <c r="C783" s="13" t="s">
        <v>9</v>
      </c>
      <c r="D783" s="11" t="s">
        <v>619</v>
      </c>
      <c r="E783" s="13" t="s">
        <v>54</v>
      </c>
      <c r="F783" s="15">
        <v>40946.0</v>
      </c>
    </row>
    <row r="784">
      <c r="A784" s="11" t="s">
        <v>1648</v>
      </c>
      <c r="B784" s="42" t="s">
        <v>1649</v>
      </c>
      <c r="C784" s="13" t="s">
        <v>9</v>
      </c>
      <c r="D784" s="8" t="s">
        <v>1650</v>
      </c>
      <c r="E784" s="13" t="s">
        <v>1040</v>
      </c>
      <c r="F784" s="15">
        <v>41092.0</v>
      </c>
    </row>
    <row r="785">
      <c r="A785" s="11" t="s">
        <v>1651</v>
      </c>
      <c r="B785" s="12"/>
      <c r="C785" s="13" t="s">
        <v>9</v>
      </c>
      <c r="D785" s="11" t="s">
        <v>1652</v>
      </c>
      <c r="E785" s="17"/>
      <c r="F785" s="20"/>
    </row>
    <row r="786">
      <c r="A786" s="11" t="s">
        <v>1653</v>
      </c>
      <c r="B786" s="12"/>
      <c r="C786" s="13" t="s">
        <v>9</v>
      </c>
      <c r="D786" s="14"/>
      <c r="E786" s="17"/>
      <c r="F786" s="20"/>
    </row>
    <row r="787">
      <c r="A787" s="35" t="s">
        <v>1654</v>
      </c>
      <c r="B787" s="6" t="s">
        <v>1655</v>
      </c>
      <c r="C787" s="6" t="s">
        <v>9</v>
      </c>
      <c r="D787" s="8" t="s">
        <v>143</v>
      </c>
      <c r="E787" s="9" t="s">
        <v>1656</v>
      </c>
      <c r="F787" s="23">
        <v>41159.0</v>
      </c>
    </row>
    <row r="788">
      <c r="A788" s="11" t="s">
        <v>1657</v>
      </c>
      <c r="B788" s="12"/>
      <c r="C788" s="16" t="s">
        <v>9</v>
      </c>
      <c r="D788" s="11" t="s">
        <v>1658</v>
      </c>
      <c r="E788" s="13" t="s">
        <v>115</v>
      </c>
      <c r="F788" s="15">
        <v>40935.0</v>
      </c>
    </row>
    <row r="789">
      <c r="A789" s="11" t="s">
        <v>1659</v>
      </c>
      <c r="B789" s="12"/>
      <c r="C789" s="13" t="s">
        <v>9</v>
      </c>
      <c r="D789" s="11" t="s">
        <v>350</v>
      </c>
      <c r="E789" s="13" t="s">
        <v>944</v>
      </c>
      <c r="F789" s="15">
        <v>40945.0</v>
      </c>
    </row>
    <row r="790">
      <c r="A790" s="11" t="s">
        <v>1660</v>
      </c>
      <c r="B790" s="12"/>
      <c r="C790" s="16" t="s">
        <v>9</v>
      </c>
      <c r="D790" s="11" t="s">
        <v>1661</v>
      </c>
      <c r="E790" s="13" t="s">
        <v>400</v>
      </c>
      <c r="F790" s="15">
        <v>40898.0</v>
      </c>
    </row>
    <row r="791">
      <c r="A791" s="11" t="s">
        <v>1662</v>
      </c>
      <c r="B791" s="12"/>
      <c r="C791" s="16" t="s">
        <v>9</v>
      </c>
      <c r="D791" s="11" t="s">
        <v>1663</v>
      </c>
      <c r="E791" s="13" t="s">
        <v>1664</v>
      </c>
      <c r="F791" s="15">
        <v>40906.0</v>
      </c>
    </row>
    <row r="792">
      <c r="A792" s="21" t="s">
        <v>1665</v>
      </c>
      <c r="B792" s="13" t="s">
        <v>1666</v>
      </c>
      <c r="C792" s="18" t="s">
        <v>19</v>
      </c>
      <c r="D792" s="11" t="s">
        <v>408</v>
      </c>
      <c r="E792" s="13" t="s">
        <v>1667</v>
      </c>
      <c r="F792" s="22">
        <v>40965.0</v>
      </c>
    </row>
    <row r="793">
      <c r="A793" s="5" t="s">
        <v>1668</v>
      </c>
      <c r="B793" s="6" t="s">
        <v>1669</v>
      </c>
      <c r="C793" s="18" t="s">
        <v>19</v>
      </c>
      <c r="D793" s="8" t="s">
        <v>1158</v>
      </c>
      <c r="E793" s="9" t="s">
        <v>1670</v>
      </c>
      <c r="F793" s="28">
        <v>41097.0</v>
      </c>
    </row>
    <row r="794">
      <c r="A794" s="21" t="s">
        <v>1671</v>
      </c>
      <c r="B794" s="26" t="s">
        <v>201</v>
      </c>
      <c r="C794" s="13" t="s">
        <v>19</v>
      </c>
      <c r="D794" s="11" t="s">
        <v>1672</v>
      </c>
      <c r="E794" s="13" t="s">
        <v>540</v>
      </c>
      <c r="F794" s="22">
        <v>40963.0</v>
      </c>
    </row>
    <row r="795">
      <c r="A795" s="11" t="s">
        <v>1673</v>
      </c>
      <c r="B795" s="12"/>
      <c r="C795" s="18" t="s">
        <v>19</v>
      </c>
      <c r="D795" s="14"/>
      <c r="E795" s="17"/>
      <c r="F795" s="15">
        <v>40889.0</v>
      </c>
    </row>
    <row r="796">
      <c r="A796" s="11" t="s">
        <v>1674</v>
      </c>
      <c r="B796" s="12"/>
      <c r="C796" s="16" t="s">
        <v>19</v>
      </c>
      <c r="D796" s="11" t="s">
        <v>1675</v>
      </c>
      <c r="E796" s="17"/>
      <c r="F796" s="15">
        <v>40897.0</v>
      </c>
    </row>
    <row r="797">
      <c r="A797" s="11" t="s">
        <v>1676</v>
      </c>
      <c r="B797" s="12"/>
      <c r="C797" s="16" t="s">
        <v>9</v>
      </c>
      <c r="D797" s="14"/>
      <c r="E797" s="13" t="s">
        <v>271</v>
      </c>
      <c r="F797" s="15">
        <v>40771.0</v>
      </c>
    </row>
    <row r="798">
      <c r="A798" s="11" t="s">
        <v>1677</v>
      </c>
      <c r="B798" s="12"/>
      <c r="C798" s="13" t="s">
        <v>9</v>
      </c>
      <c r="D798" s="11" t="s">
        <v>1678</v>
      </c>
      <c r="E798" s="17"/>
      <c r="F798" s="15">
        <v>40936.0</v>
      </c>
    </row>
    <row r="799">
      <c r="A799" s="11" t="s">
        <v>1679</v>
      </c>
      <c r="B799" s="12"/>
      <c r="C799" s="18" t="s">
        <v>19</v>
      </c>
      <c r="D799" s="14"/>
      <c r="E799" s="13" t="s">
        <v>189</v>
      </c>
      <c r="F799" s="15">
        <v>40793.0</v>
      </c>
    </row>
    <row r="800">
      <c r="A800" s="29" t="s">
        <v>1680</v>
      </c>
      <c r="B800" s="12"/>
      <c r="C800" s="13" t="s">
        <v>19</v>
      </c>
      <c r="D800" s="8" t="s">
        <v>1681</v>
      </c>
      <c r="E800" s="6" t="s">
        <v>274</v>
      </c>
      <c r="F800" s="28">
        <v>41006.0</v>
      </c>
    </row>
    <row r="801">
      <c r="A801" s="11" t="s">
        <v>1680</v>
      </c>
      <c r="B801" s="12"/>
      <c r="C801" s="18" t="s">
        <v>19</v>
      </c>
      <c r="D801" s="8" t="s">
        <v>1681</v>
      </c>
      <c r="E801" s="13" t="s">
        <v>1682</v>
      </c>
      <c r="F801" s="15">
        <v>41006.0</v>
      </c>
    </row>
    <row r="802">
      <c r="A802" s="11" t="s">
        <v>1683</v>
      </c>
      <c r="B802" s="12"/>
      <c r="C802" s="16" t="s">
        <v>9</v>
      </c>
      <c r="D802" s="11" t="s">
        <v>1684</v>
      </c>
      <c r="E802" s="13" t="s">
        <v>50</v>
      </c>
      <c r="F802" s="15">
        <v>40898.0</v>
      </c>
    </row>
    <row r="803">
      <c r="A803" s="11" t="s">
        <v>1685</v>
      </c>
      <c r="B803" s="12"/>
      <c r="C803" s="18" t="s">
        <v>19</v>
      </c>
      <c r="D803" s="14"/>
      <c r="E803" s="17"/>
      <c r="F803" s="20"/>
    </row>
    <row r="804">
      <c r="A804" s="11" t="s">
        <v>1686</v>
      </c>
      <c r="B804" s="12"/>
      <c r="C804" s="16" t="s">
        <v>9</v>
      </c>
      <c r="D804" s="11" t="s">
        <v>1687</v>
      </c>
      <c r="E804" s="13" t="s">
        <v>203</v>
      </c>
      <c r="F804" s="15">
        <v>40905.0</v>
      </c>
    </row>
    <row r="805">
      <c r="A805" s="11" t="s">
        <v>1688</v>
      </c>
      <c r="B805" s="6" t="s">
        <v>1689</v>
      </c>
      <c r="C805" s="13" t="s">
        <v>19</v>
      </c>
      <c r="D805" s="8" t="s">
        <v>1690</v>
      </c>
      <c r="E805" s="13" t="s">
        <v>1691</v>
      </c>
      <c r="F805" s="38" t="s">
        <v>1692</v>
      </c>
    </row>
    <row r="806">
      <c r="A806" s="11" t="s">
        <v>1693</v>
      </c>
      <c r="B806" s="12"/>
      <c r="C806" s="16" t="s">
        <v>9</v>
      </c>
      <c r="D806" s="11" t="s">
        <v>1694</v>
      </c>
      <c r="E806" s="13" t="s">
        <v>1695</v>
      </c>
      <c r="F806" s="15">
        <v>40886.0</v>
      </c>
    </row>
    <row r="807">
      <c r="A807" s="11" t="s">
        <v>1696</v>
      </c>
      <c r="B807" s="12"/>
      <c r="C807" s="18" t="s">
        <v>19</v>
      </c>
      <c r="D807" s="14"/>
      <c r="E807" s="17"/>
      <c r="F807" s="20"/>
    </row>
    <row r="808">
      <c r="A808" s="11" t="s">
        <v>1697</v>
      </c>
      <c r="B808" s="12"/>
      <c r="C808" s="16" t="s">
        <v>19</v>
      </c>
      <c r="D808" s="14"/>
      <c r="E808" s="13" t="s">
        <v>279</v>
      </c>
      <c r="F808" s="15">
        <v>40816.0</v>
      </c>
    </row>
    <row r="809">
      <c r="A809" s="21" t="s">
        <v>1698</v>
      </c>
      <c r="B809" s="13" t="s">
        <v>953</v>
      </c>
      <c r="C809" s="13" t="s">
        <v>19</v>
      </c>
      <c r="D809" s="11" t="s">
        <v>1699</v>
      </c>
      <c r="E809" s="13" t="s">
        <v>1700</v>
      </c>
      <c r="F809" s="15">
        <v>40973.0</v>
      </c>
    </row>
    <row r="810">
      <c r="A810" s="11" t="s">
        <v>1701</v>
      </c>
      <c r="B810" s="12"/>
      <c r="C810" s="18" t="s">
        <v>19</v>
      </c>
      <c r="D810" s="14"/>
      <c r="E810" s="17"/>
      <c r="F810" s="20"/>
    </row>
    <row r="811">
      <c r="A811" s="11" t="s">
        <v>1702</v>
      </c>
      <c r="B811" s="12"/>
      <c r="C811" s="13" t="s">
        <v>19</v>
      </c>
      <c r="D811" s="11" t="s">
        <v>1703</v>
      </c>
      <c r="E811" s="13" t="s">
        <v>1704</v>
      </c>
      <c r="F811" s="15">
        <v>40949.0</v>
      </c>
    </row>
    <row r="812">
      <c r="A812" s="11" t="s">
        <v>1705</v>
      </c>
      <c r="B812" s="12"/>
      <c r="C812" s="18" t="s">
        <v>19</v>
      </c>
      <c r="D812" s="14"/>
      <c r="E812" s="17"/>
      <c r="F812" s="20"/>
    </row>
    <row r="813">
      <c r="A813" s="11" t="s">
        <v>1706</v>
      </c>
      <c r="B813" s="12"/>
      <c r="C813" s="13" t="s">
        <v>9</v>
      </c>
      <c r="D813" s="11" t="s">
        <v>1707</v>
      </c>
      <c r="E813" s="13" t="s">
        <v>1708</v>
      </c>
      <c r="F813" s="15">
        <v>40888.0</v>
      </c>
    </row>
    <row r="814">
      <c r="A814" s="11" t="s">
        <v>1709</v>
      </c>
      <c r="B814" s="12"/>
      <c r="C814" s="16" t="s">
        <v>1163</v>
      </c>
      <c r="D814" s="11" t="s">
        <v>1710</v>
      </c>
      <c r="E814" s="13" t="s">
        <v>1711</v>
      </c>
      <c r="F814" s="20"/>
    </row>
    <row r="815">
      <c r="A815" s="11" t="s">
        <v>1712</v>
      </c>
      <c r="B815" s="12"/>
      <c r="C815" s="16" t="s">
        <v>9</v>
      </c>
      <c r="D815" s="14"/>
      <c r="E815" s="13" t="s">
        <v>96</v>
      </c>
      <c r="F815" s="15">
        <v>40871.0</v>
      </c>
    </row>
    <row r="816">
      <c r="A816" s="11" t="s">
        <v>1713</v>
      </c>
      <c r="B816" s="12"/>
      <c r="C816" s="16" t="s">
        <v>9</v>
      </c>
      <c r="D816" s="11" t="s">
        <v>1714</v>
      </c>
      <c r="E816" s="13" t="s">
        <v>1715</v>
      </c>
      <c r="F816" s="15">
        <v>40909.0</v>
      </c>
    </row>
    <row r="817">
      <c r="A817" s="11" t="s">
        <v>1716</v>
      </c>
      <c r="B817" s="12"/>
      <c r="C817" s="16" t="s">
        <v>9</v>
      </c>
      <c r="D817" s="11" t="s">
        <v>1717</v>
      </c>
      <c r="E817" s="13" t="s">
        <v>382</v>
      </c>
      <c r="F817" s="15">
        <v>40904.0</v>
      </c>
    </row>
    <row r="818">
      <c r="A818" s="11" t="s">
        <v>1718</v>
      </c>
      <c r="B818" s="12"/>
      <c r="C818" s="13" t="s">
        <v>19</v>
      </c>
      <c r="D818" s="11" t="s">
        <v>1719</v>
      </c>
      <c r="E818" s="13" t="s">
        <v>1720</v>
      </c>
      <c r="F818" s="15">
        <v>40859.0</v>
      </c>
    </row>
    <row r="819">
      <c r="A819" s="11" t="s">
        <v>1721</v>
      </c>
      <c r="B819" s="12"/>
      <c r="C819" s="18" t="s">
        <v>19</v>
      </c>
      <c r="D819" s="11" t="s">
        <v>1722</v>
      </c>
      <c r="E819" s="13" t="s">
        <v>1723</v>
      </c>
      <c r="F819" s="15">
        <v>40834.0</v>
      </c>
    </row>
    <row r="820">
      <c r="A820" s="11" t="s">
        <v>1724</v>
      </c>
      <c r="B820" s="12"/>
      <c r="C820" s="18" t="s">
        <v>19</v>
      </c>
      <c r="D820" s="14"/>
      <c r="E820" s="17"/>
      <c r="F820" s="20"/>
    </row>
    <row r="821">
      <c r="A821" s="11" t="s">
        <v>1725</v>
      </c>
      <c r="B821" s="12"/>
      <c r="C821" s="18" t="s">
        <v>19</v>
      </c>
      <c r="D821" s="14"/>
      <c r="E821" s="17"/>
      <c r="F821" s="15">
        <v>40884.0</v>
      </c>
    </row>
    <row r="822">
      <c r="A822" s="11" t="s">
        <v>1726</v>
      </c>
      <c r="B822" s="12"/>
      <c r="C822" s="16" t="s">
        <v>9</v>
      </c>
      <c r="D822" s="11" t="s">
        <v>1727</v>
      </c>
      <c r="E822" s="13" t="s">
        <v>1728</v>
      </c>
      <c r="F822" s="15">
        <v>40932.0</v>
      </c>
    </row>
    <row r="823">
      <c r="A823" s="11" t="s">
        <v>1729</v>
      </c>
      <c r="B823" s="13" t="s">
        <v>8</v>
      </c>
      <c r="C823" s="16" t="s">
        <v>9</v>
      </c>
      <c r="D823" s="11" t="s">
        <v>1730</v>
      </c>
      <c r="E823" s="13">
        <v>6102.0</v>
      </c>
      <c r="F823" s="15">
        <v>40883.0</v>
      </c>
    </row>
    <row r="824">
      <c r="A824" s="11" t="s">
        <v>1731</v>
      </c>
      <c r="B824" s="12"/>
      <c r="C824" s="16" t="s">
        <v>9</v>
      </c>
      <c r="D824" s="11" t="s">
        <v>1732</v>
      </c>
      <c r="E824" s="13" t="s">
        <v>1733</v>
      </c>
      <c r="F824" s="20"/>
    </row>
    <row r="825">
      <c r="A825" s="11" t="s">
        <v>1734</v>
      </c>
      <c r="B825" s="12"/>
      <c r="C825" s="18" t="s">
        <v>19</v>
      </c>
      <c r="D825" s="11" t="s">
        <v>1735</v>
      </c>
      <c r="E825" s="13" t="s">
        <v>1736</v>
      </c>
      <c r="F825" s="15">
        <v>40910.0</v>
      </c>
    </row>
    <row r="826">
      <c r="A826" s="11" t="s">
        <v>1737</v>
      </c>
      <c r="B826" s="13" t="s">
        <v>1738</v>
      </c>
      <c r="C826" s="18" t="s">
        <v>19</v>
      </c>
      <c r="D826" s="11" t="s">
        <v>1739</v>
      </c>
      <c r="E826" s="17"/>
      <c r="F826" s="20"/>
    </row>
    <row r="827">
      <c r="A827" s="11" t="s">
        <v>1740</v>
      </c>
      <c r="B827" s="12"/>
      <c r="C827" s="18" t="s">
        <v>19</v>
      </c>
      <c r="D827" s="14"/>
      <c r="E827" s="17"/>
      <c r="F827" s="20"/>
    </row>
    <row r="828">
      <c r="A828" s="11" t="s">
        <v>1741</v>
      </c>
      <c r="B828" s="12"/>
      <c r="C828" s="13" t="s">
        <v>19</v>
      </c>
      <c r="D828" s="11" t="s">
        <v>1742</v>
      </c>
      <c r="E828" s="13" t="s">
        <v>1743</v>
      </c>
      <c r="F828" s="20"/>
    </row>
    <row r="829">
      <c r="A829" s="11" t="s">
        <v>1744</v>
      </c>
      <c r="B829" s="12"/>
      <c r="C829" s="16" t="s">
        <v>120</v>
      </c>
      <c r="D829" s="11" t="s">
        <v>1745</v>
      </c>
      <c r="E829" s="13" t="s">
        <v>50</v>
      </c>
      <c r="F829" s="15">
        <v>40900.0</v>
      </c>
    </row>
    <row r="830">
      <c r="A830" s="11" t="s">
        <v>1746</v>
      </c>
      <c r="B830" s="12"/>
      <c r="C830" s="13" t="s">
        <v>9</v>
      </c>
      <c r="D830" s="11" t="s">
        <v>350</v>
      </c>
      <c r="E830" s="13" t="s">
        <v>1747</v>
      </c>
      <c r="F830" s="20"/>
    </row>
    <row r="831">
      <c r="A831" s="11" t="s">
        <v>1748</v>
      </c>
      <c r="B831" s="12"/>
      <c r="C831" s="16" t="s">
        <v>9</v>
      </c>
      <c r="D831" s="14"/>
      <c r="E831" s="17"/>
      <c r="F831" s="20"/>
    </row>
    <row r="832">
      <c r="A832" s="11" t="s">
        <v>1749</v>
      </c>
      <c r="B832" s="12"/>
      <c r="C832" s="16" t="s">
        <v>9</v>
      </c>
      <c r="D832" s="11" t="s">
        <v>1750</v>
      </c>
      <c r="E832" s="13" t="s">
        <v>15</v>
      </c>
      <c r="F832" s="15">
        <v>40890.0</v>
      </c>
    </row>
    <row r="833">
      <c r="A833" s="11" t="s">
        <v>1751</v>
      </c>
      <c r="B833" s="12"/>
      <c r="C833" s="16" t="s">
        <v>1163</v>
      </c>
      <c r="D833" s="11" t="s">
        <v>1752</v>
      </c>
      <c r="E833" s="13" t="s">
        <v>66</v>
      </c>
      <c r="F833" s="15">
        <v>40890.0</v>
      </c>
    </row>
    <row r="834">
      <c r="A834" s="11" t="s">
        <v>1753</v>
      </c>
      <c r="B834" s="13" t="s">
        <v>659</v>
      </c>
      <c r="C834" s="16" t="s">
        <v>1163</v>
      </c>
      <c r="D834" s="11" t="s">
        <v>1754</v>
      </c>
      <c r="E834" s="13" t="s">
        <v>66</v>
      </c>
      <c r="F834" s="15">
        <v>40881.0</v>
      </c>
    </row>
    <row r="835">
      <c r="A835" s="11" t="s">
        <v>1755</v>
      </c>
      <c r="B835" s="13" t="s">
        <v>8</v>
      </c>
      <c r="C835" s="25" t="s">
        <v>120</v>
      </c>
      <c r="D835" s="11" t="s">
        <v>1756</v>
      </c>
      <c r="E835" s="13" t="s">
        <v>66</v>
      </c>
      <c r="F835" s="15">
        <v>40881.0</v>
      </c>
    </row>
    <row r="836">
      <c r="A836" s="11" t="s">
        <v>1757</v>
      </c>
      <c r="B836" s="13">
        <v>1.0</v>
      </c>
      <c r="C836" s="13" t="s">
        <v>19</v>
      </c>
      <c r="D836" s="14"/>
      <c r="E836" s="17"/>
      <c r="F836" s="20"/>
    </row>
    <row r="837">
      <c r="A837" s="51" t="s">
        <v>1758</v>
      </c>
      <c r="B837" s="12"/>
      <c r="C837" s="16" t="s">
        <v>9</v>
      </c>
      <c r="D837" s="11" t="s">
        <v>1759</v>
      </c>
      <c r="E837" s="13" t="s">
        <v>409</v>
      </c>
      <c r="F837" s="15">
        <v>40949.0</v>
      </c>
    </row>
    <row r="838">
      <c r="A838" s="11" t="s">
        <v>1760</v>
      </c>
      <c r="B838" s="12"/>
      <c r="C838" s="16" t="s">
        <v>9</v>
      </c>
      <c r="D838" s="11" t="s">
        <v>1761</v>
      </c>
      <c r="E838" s="13" t="s">
        <v>1762</v>
      </c>
      <c r="F838" s="15">
        <v>40923.0</v>
      </c>
    </row>
    <row r="839">
      <c r="A839" s="11" t="s">
        <v>1763</v>
      </c>
      <c r="B839" s="12"/>
      <c r="C839" s="16" t="s">
        <v>9</v>
      </c>
      <c r="D839" s="11" t="s">
        <v>1764</v>
      </c>
      <c r="E839" s="13">
        <v>6102.0</v>
      </c>
      <c r="F839" s="15">
        <v>40885.0</v>
      </c>
    </row>
    <row r="840">
      <c r="A840" s="11" t="s">
        <v>1765</v>
      </c>
      <c r="B840" s="12"/>
      <c r="C840" s="16" t="s">
        <v>9</v>
      </c>
      <c r="D840" s="14"/>
      <c r="E840" s="13" t="s">
        <v>1766</v>
      </c>
      <c r="F840" s="15">
        <v>40911.0</v>
      </c>
    </row>
    <row r="841">
      <c r="A841" s="11" t="s">
        <v>1767</v>
      </c>
      <c r="B841" s="12"/>
      <c r="C841" s="18" t="s">
        <v>19</v>
      </c>
      <c r="D841" s="14"/>
      <c r="E841" s="17"/>
      <c r="F841" s="20"/>
    </row>
    <row r="842">
      <c r="A842" s="11" t="s">
        <v>1768</v>
      </c>
      <c r="B842" s="12"/>
      <c r="C842" s="13" t="s">
        <v>19</v>
      </c>
      <c r="D842" s="11" t="s">
        <v>1769</v>
      </c>
      <c r="E842" s="13" t="s">
        <v>1770</v>
      </c>
      <c r="F842" s="15">
        <v>40901.0</v>
      </c>
    </row>
    <row r="843">
      <c r="A843" s="29" t="s">
        <v>1768</v>
      </c>
      <c r="B843" s="12"/>
      <c r="C843" s="27" t="s">
        <v>19</v>
      </c>
      <c r="D843" s="8" t="s">
        <v>1771</v>
      </c>
      <c r="E843" s="6" t="s">
        <v>274</v>
      </c>
      <c r="F843" s="28">
        <v>41013.0</v>
      </c>
    </row>
    <row r="844">
      <c r="A844" s="11" t="s">
        <v>1772</v>
      </c>
      <c r="B844" s="12"/>
      <c r="C844" s="16" t="s">
        <v>1163</v>
      </c>
      <c r="D844" s="14"/>
      <c r="E844" s="13" t="s">
        <v>856</v>
      </c>
      <c r="F844" s="15">
        <v>40793.0</v>
      </c>
    </row>
    <row r="845">
      <c r="A845" s="11" t="s">
        <v>1773</v>
      </c>
      <c r="B845" s="12"/>
      <c r="C845" s="16" t="s">
        <v>19</v>
      </c>
      <c r="D845" s="19" t="str">
        <f>HYPERLINK("http://www.icheats.org/forum/index.php?/topic/5110-diy-minomonsters-99-candy-hex-edit/","Hack Here.")</f>
        <v>Hack Here.</v>
      </c>
      <c r="E845" s="13" t="s">
        <v>518</v>
      </c>
      <c r="F845" s="15">
        <v>40907.0</v>
      </c>
    </row>
    <row r="846">
      <c r="A846" s="11" t="s">
        <v>1774</v>
      </c>
      <c r="B846" s="12"/>
      <c r="C846" s="16" t="s">
        <v>9</v>
      </c>
      <c r="D846" s="11" t="s">
        <v>1775</v>
      </c>
      <c r="E846" s="13" t="s">
        <v>585</v>
      </c>
      <c r="F846" s="15">
        <v>40904.0</v>
      </c>
    </row>
    <row r="847">
      <c r="A847" s="11" t="s">
        <v>1776</v>
      </c>
      <c r="B847" s="12"/>
      <c r="C847" s="16" t="s">
        <v>9</v>
      </c>
      <c r="D847" s="14"/>
      <c r="E847" s="17"/>
      <c r="F847" s="20"/>
    </row>
    <row r="848">
      <c r="A848" s="11" t="s">
        <v>1777</v>
      </c>
      <c r="B848" s="12"/>
      <c r="C848" s="16" t="s">
        <v>9</v>
      </c>
      <c r="D848" s="11" t="s">
        <v>1778</v>
      </c>
      <c r="E848" s="13" t="s">
        <v>1779</v>
      </c>
      <c r="F848" s="15">
        <v>40930.0</v>
      </c>
    </row>
    <row r="849">
      <c r="A849" s="11" t="s">
        <v>1780</v>
      </c>
      <c r="B849" s="12"/>
      <c r="C849" s="18" t="s">
        <v>19</v>
      </c>
      <c r="D849" s="14"/>
      <c r="E849" s="17"/>
      <c r="F849" s="20"/>
    </row>
    <row r="850">
      <c r="A850" s="21" t="s">
        <v>1781</v>
      </c>
      <c r="B850" s="13">
        <v>1.5</v>
      </c>
      <c r="C850" s="13" t="s">
        <v>9</v>
      </c>
      <c r="D850" s="11" t="s">
        <v>1782</v>
      </c>
      <c r="E850" s="13" t="s">
        <v>1783</v>
      </c>
      <c r="F850" s="15">
        <v>40972.0</v>
      </c>
    </row>
    <row r="851">
      <c r="A851" s="11" t="s">
        <v>1784</v>
      </c>
      <c r="B851" s="12"/>
      <c r="C851" s="18" t="s">
        <v>1481</v>
      </c>
      <c r="D851" s="11" t="s">
        <v>1785</v>
      </c>
      <c r="E851" s="13" t="s">
        <v>1786</v>
      </c>
      <c r="F851" s="22">
        <v>40960.0</v>
      </c>
    </row>
    <row r="852">
      <c r="A852" s="11" t="s">
        <v>1787</v>
      </c>
      <c r="B852" s="12"/>
      <c r="C852" s="18" t="s">
        <v>19</v>
      </c>
      <c r="D852" s="19" t="str">
        <f>HYPERLINK("http://xsellize.com/topic/170896-modern-combat-3-hack-assistant-v112-rank-90-infinite-ammo-infinite-gold-invisibility-1-shot-kill/","God mode and Infinite ammo hack available here.")</f>
        <v>God mode and Infinite ammo hack available here.</v>
      </c>
      <c r="E852" s="17"/>
      <c r="F852" s="20"/>
    </row>
    <row r="853">
      <c r="A853" s="11" t="s">
        <v>1788</v>
      </c>
      <c r="B853" s="12"/>
      <c r="C853" s="18" t="s">
        <v>9</v>
      </c>
      <c r="D853" s="14"/>
      <c r="E853" s="13" t="s">
        <v>72</v>
      </c>
      <c r="F853" s="15">
        <v>40918.0</v>
      </c>
    </row>
    <row r="854">
      <c r="A854" s="11" t="s">
        <v>1789</v>
      </c>
      <c r="B854" s="12"/>
      <c r="C854" s="18" t="s">
        <v>19</v>
      </c>
      <c r="D854" s="19" t="str">
        <f>HYPERLINK("http://www.sinfuliphone.com/showthread.php?t=107326","New Modern war hack")</f>
        <v>New Modern war hack</v>
      </c>
      <c r="E854" s="13" t="s">
        <v>1790</v>
      </c>
      <c r="F854" s="15">
        <v>40959.0</v>
      </c>
    </row>
    <row r="855">
      <c r="A855" s="11" t="s">
        <v>1791</v>
      </c>
      <c r="B855" s="12"/>
      <c r="C855" s="13" t="s">
        <v>9</v>
      </c>
      <c r="D855" s="11" t="s">
        <v>1792</v>
      </c>
      <c r="E855" s="13" t="s">
        <v>96</v>
      </c>
      <c r="F855" s="15">
        <v>40887.0</v>
      </c>
    </row>
    <row r="856">
      <c r="A856" s="11" t="s">
        <v>1793</v>
      </c>
      <c r="B856" s="12"/>
      <c r="C856" s="18" t="s">
        <v>19</v>
      </c>
      <c r="D856" s="11" t="s">
        <v>1794</v>
      </c>
      <c r="E856" s="13" t="s">
        <v>1795</v>
      </c>
      <c r="F856" s="15">
        <v>40924.0</v>
      </c>
    </row>
    <row r="857">
      <c r="A857" s="11" t="s">
        <v>1796</v>
      </c>
      <c r="B857" s="12"/>
      <c r="C857" s="13" t="s">
        <v>9</v>
      </c>
      <c r="D857" s="11" t="s">
        <v>1797</v>
      </c>
      <c r="E857" s="13" t="s">
        <v>1152</v>
      </c>
      <c r="F857" s="15">
        <v>40904.0</v>
      </c>
    </row>
    <row r="858">
      <c r="A858" s="11" t="s">
        <v>1798</v>
      </c>
      <c r="B858" s="12"/>
      <c r="C858" s="18" t="s">
        <v>19</v>
      </c>
      <c r="D858" s="11" t="s">
        <v>1799</v>
      </c>
      <c r="E858" s="13" t="s">
        <v>1800</v>
      </c>
      <c r="F858" s="15">
        <v>40927.0</v>
      </c>
    </row>
    <row r="859">
      <c r="A859" s="21" t="s">
        <v>1798</v>
      </c>
      <c r="B859" s="26" t="s">
        <v>1801</v>
      </c>
      <c r="C859" s="13" t="s">
        <v>19</v>
      </c>
      <c r="D859" s="11" t="s">
        <v>1802</v>
      </c>
      <c r="E859" s="13" t="s">
        <v>540</v>
      </c>
      <c r="F859" s="22">
        <v>40963.0</v>
      </c>
    </row>
    <row r="860">
      <c r="A860" s="11" t="s">
        <v>1803</v>
      </c>
      <c r="B860" s="12"/>
      <c r="C860" s="16" t="s">
        <v>9</v>
      </c>
      <c r="D860" s="14"/>
      <c r="E860" s="13" t="s">
        <v>1804</v>
      </c>
      <c r="F860" s="15">
        <v>40951.0</v>
      </c>
    </row>
    <row r="861">
      <c r="A861" s="29" t="s">
        <v>1805</v>
      </c>
      <c r="B861" s="12"/>
      <c r="C861" s="13" t="s">
        <v>9</v>
      </c>
      <c r="D861" s="8" t="s">
        <v>763</v>
      </c>
      <c r="E861" s="12"/>
      <c r="F861" s="28">
        <v>41005.0</v>
      </c>
    </row>
    <row r="862">
      <c r="A862" s="11" t="s">
        <v>1806</v>
      </c>
      <c r="B862" s="12"/>
      <c r="C862" s="16" t="s">
        <v>9</v>
      </c>
      <c r="D862" s="14"/>
      <c r="E862" s="13" t="s">
        <v>1069</v>
      </c>
      <c r="F862" s="15">
        <v>40872.0</v>
      </c>
    </row>
    <row r="863">
      <c r="A863" s="11" t="s">
        <v>1807</v>
      </c>
      <c r="B863" s="12"/>
      <c r="C863" s="16" t="s">
        <v>9</v>
      </c>
      <c r="D863" s="11" t="s">
        <v>1808</v>
      </c>
      <c r="E863" s="13" t="s">
        <v>1809</v>
      </c>
      <c r="F863" s="15">
        <v>40945.0</v>
      </c>
    </row>
    <row r="864">
      <c r="A864" s="21" t="s">
        <v>1810</v>
      </c>
      <c r="B864" s="13">
        <v>2.65</v>
      </c>
      <c r="C864" s="18" t="s">
        <v>19</v>
      </c>
      <c r="D864" s="11" t="s">
        <v>1811</v>
      </c>
      <c r="E864" s="13" t="s">
        <v>348</v>
      </c>
      <c r="F864" s="22">
        <v>40967.0</v>
      </c>
    </row>
    <row r="865">
      <c r="A865" s="11" t="s">
        <v>1812</v>
      </c>
      <c r="B865" s="12"/>
      <c r="C865" s="13" t="s">
        <v>9</v>
      </c>
      <c r="D865" s="11" t="s">
        <v>1813</v>
      </c>
      <c r="E865" s="13" t="s">
        <v>264</v>
      </c>
      <c r="F865" s="15">
        <v>40888.0</v>
      </c>
    </row>
    <row r="866">
      <c r="A866" s="5" t="s">
        <v>1814</v>
      </c>
      <c r="B866" s="12"/>
      <c r="C866" s="27" t="s">
        <v>19</v>
      </c>
      <c r="D866" s="8" t="s">
        <v>1815</v>
      </c>
      <c r="E866" s="9" t="s">
        <v>1816</v>
      </c>
      <c r="F866" s="23">
        <v>41165.0</v>
      </c>
    </row>
    <row r="867">
      <c r="A867" s="11" t="s">
        <v>1817</v>
      </c>
      <c r="B867" s="12"/>
      <c r="C867" s="16" t="s">
        <v>9</v>
      </c>
      <c r="D867" s="14"/>
      <c r="E867" s="13" t="s">
        <v>820</v>
      </c>
      <c r="F867" s="15">
        <v>40876.0</v>
      </c>
    </row>
    <row r="868">
      <c r="A868" s="11" t="s">
        <v>1818</v>
      </c>
      <c r="B868" s="12"/>
      <c r="C868" s="16" t="s">
        <v>9</v>
      </c>
      <c r="D868" s="14"/>
      <c r="E868" s="13" t="s">
        <v>585</v>
      </c>
      <c r="F868" s="15">
        <v>40906.0</v>
      </c>
    </row>
    <row r="869">
      <c r="A869" s="11" t="s">
        <v>1819</v>
      </c>
      <c r="B869" s="12"/>
      <c r="C869" s="16" t="s">
        <v>9</v>
      </c>
      <c r="D869" s="14"/>
      <c r="E869" s="17"/>
      <c r="F869" s="20"/>
    </row>
    <row r="870">
      <c r="A870" s="11" t="s">
        <v>1820</v>
      </c>
      <c r="B870" s="12"/>
      <c r="C870" s="18" t="s">
        <v>19</v>
      </c>
      <c r="D870" s="14"/>
      <c r="E870" s="13" t="s">
        <v>1821</v>
      </c>
      <c r="F870" s="20"/>
    </row>
    <row r="871">
      <c r="A871" s="5" t="s">
        <v>1822</v>
      </c>
      <c r="B871" s="6" t="s">
        <v>1823</v>
      </c>
      <c r="C871" s="7" t="s">
        <v>9</v>
      </c>
      <c r="D871" s="8" t="s">
        <v>311</v>
      </c>
      <c r="E871" s="17"/>
      <c r="F871" s="39"/>
    </row>
    <row r="872">
      <c r="A872" s="11" t="s">
        <v>1824</v>
      </c>
      <c r="B872" s="12"/>
      <c r="C872" s="13" t="s">
        <v>9</v>
      </c>
      <c r="D872" s="11" t="s">
        <v>770</v>
      </c>
      <c r="E872" s="13" t="s">
        <v>203</v>
      </c>
      <c r="F872" s="15">
        <v>40915.0</v>
      </c>
    </row>
    <row r="873">
      <c r="A873" s="11" t="s">
        <v>1825</v>
      </c>
      <c r="B873" s="6">
        <v>1.1</v>
      </c>
      <c r="C873" s="18" t="s">
        <v>19</v>
      </c>
      <c r="D873" s="8" t="s">
        <v>1826</v>
      </c>
      <c r="E873" s="37"/>
      <c r="F873" s="41"/>
    </row>
    <row r="874">
      <c r="A874" s="11" t="s">
        <v>1827</v>
      </c>
      <c r="B874" s="12"/>
      <c r="C874" s="16" t="s">
        <v>9</v>
      </c>
      <c r="D874" s="14"/>
      <c r="E874" s="13" t="s">
        <v>287</v>
      </c>
      <c r="F874" s="15">
        <v>40945.0</v>
      </c>
    </row>
    <row r="875">
      <c r="A875" s="11" t="s">
        <v>1828</v>
      </c>
      <c r="B875" s="12"/>
      <c r="C875" s="16" t="s">
        <v>9</v>
      </c>
      <c r="D875" s="14"/>
      <c r="E875" s="13" t="s">
        <v>287</v>
      </c>
      <c r="F875" s="15">
        <v>40945.0</v>
      </c>
    </row>
    <row r="876">
      <c r="A876" s="11" t="s">
        <v>1829</v>
      </c>
      <c r="B876" s="12"/>
      <c r="C876" s="18" t="s">
        <v>19</v>
      </c>
      <c r="D876" s="11" t="s">
        <v>1830</v>
      </c>
      <c r="E876" s="13" t="s">
        <v>435</v>
      </c>
      <c r="F876" s="15">
        <v>40884.0</v>
      </c>
    </row>
    <row r="877">
      <c r="A877" s="11" t="s">
        <v>1831</v>
      </c>
      <c r="B877" s="12"/>
      <c r="C877" s="18" t="s">
        <v>19</v>
      </c>
      <c r="D877" s="11" t="s">
        <v>1832</v>
      </c>
      <c r="E877" s="13" t="s">
        <v>1833</v>
      </c>
      <c r="F877" s="15">
        <v>40915.0</v>
      </c>
    </row>
    <row r="878">
      <c r="A878" s="11" t="s">
        <v>1834</v>
      </c>
      <c r="B878" s="12"/>
      <c r="C878" s="13" t="s">
        <v>9</v>
      </c>
      <c r="D878" s="8" t="s">
        <v>1412</v>
      </c>
      <c r="E878" s="13" t="s">
        <v>1413</v>
      </c>
      <c r="F878" s="38" t="s">
        <v>1835</v>
      </c>
    </row>
    <row r="879">
      <c r="A879" s="11" t="s">
        <v>1836</v>
      </c>
      <c r="B879" s="12"/>
      <c r="C879" s="13" t="s">
        <v>9</v>
      </c>
      <c r="D879" s="11" t="s">
        <v>1837</v>
      </c>
      <c r="E879" s="13" t="s">
        <v>1838</v>
      </c>
      <c r="F879" s="15">
        <v>40888.0</v>
      </c>
    </row>
    <row r="880">
      <c r="A880" s="11" t="s">
        <v>1839</v>
      </c>
      <c r="B880" s="13">
        <v>1.1</v>
      </c>
      <c r="C880" s="13" t="s">
        <v>9</v>
      </c>
      <c r="D880" s="11" t="s">
        <v>1840</v>
      </c>
      <c r="E880" s="13" t="s">
        <v>464</v>
      </c>
      <c r="F880" s="22">
        <v>40959.0</v>
      </c>
    </row>
    <row r="881">
      <c r="A881" s="11" t="s">
        <v>1841</v>
      </c>
      <c r="B881" s="12"/>
      <c r="C881" s="16" t="s">
        <v>9</v>
      </c>
      <c r="D881" s="14"/>
      <c r="E881" s="13" t="s">
        <v>435</v>
      </c>
      <c r="F881" s="15">
        <v>40884.0</v>
      </c>
    </row>
    <row r="882">
      <c r="A882" s="11" t="s">
        <v>1842</v>
      </c>
      <c r="B882" s="6">
        <v>1.5</v>
      </c>
      <c r="C882" s="16" t="s">
        <v>9</v>
      </c>
      <c r="D882" s="8" t="s">
        <v>1843</v>
      </c>
      <c r="E882" s="9" t="s">
        <v>79</v>
      </c>
      <c r="F882" s="15">
        <v>41041.0</v>
      </c>
    </row>
    <row r="883">
      <c r="A883" s="11" t="s">
        <v>1844</v>
      </c>
      <c r="B883" s="12"/>
      <c r="C883" s="16" t="s">
        <v>9</v>
      </c>
      <c r="D883" s="11" t="s">
        <v>1845</v>
      </c>
      <c r="E883" s="17"/>
      <c r="F883" s="15">
        <v>40939.0</v>
      </c>
    </row>
    <row r="884">
      <c r="A884" s="11" t="s">
        <v>1846</v>
      </c>
      <c r="B884" s="12"/>
      <c r="C884" s="16" t="s">
        <v>9</v>
      </c>
      <c r="D884" s="14"/>
      <c r="E884" s="13" t="s">
        <v>136</v>
      </c>
      <c r="F884" s="15">
        <v>40793.7604166667</v>
      </c>
    </row>
    <row r="885">
      <c r="A885" s="11" t="s">
        <v>1847</v>
      </c>
      <c r="B885" s="12"/>
      <c r="C885" s="16" t="s">
        <v>9</v>
      </c>
      <c r="D885" s="11" t="s">
        <v>1848</v>
      </c>
      <c r="E885" s="13" t="s">
        <v>106</v>
      </c>
      <c r="F885" s="15">
        <v>40939.0</v>
      </c>
    </row>
    <row r="886">
      <c r="A886" s="11" t="s">
        <v>1849</v>
      </c>
      <c r="B886" s="12"/>
      <c r="C886" s="18" t="s">
        <v>19</v>
      </c>
      <c r="D886" s="11" t="s">
        <v>1850</v>
      </c>
      <c r="E886" s="13" t="s">
        <v>603</v>
      </c>
      <c r="F886" s="15">
        <v>40888.0</v>
      </c>
    </row>
    <row r="887">
      <c r="A887" s="11" t="s">
        <v>1851</v>
      </c>
      <c r="B887" s="12"/>
      <c r="C887" s="13" t="s">
        <v>9</v>
      </c>
      <c r="D887" s="11" t="s">
        <v>1852</v>
      </c>
      <c r="E887" s="13" t="s">
        <v>1853</v>
      </c>
      <c r="F887" s="15">
        <v>40913.0</v>
      </c>
    </row>
    <row r="888">
      <c r="A888" s="11" t="s">
        <v>1854</v>
      </c>
      <c r="B888" s="12"/>
      <c r="C888" s="13" t="s">
        <v>9</v>
      </c>
      <c r="D888" s="11" t="s">
        <v>1855</v>
      </c>
      <c r="E888" s="13" t="s">
        <v>261</v>
      </c>
      <c r="F888" s="15">
        <v>40928.0</v>
      </c>
    </row>
    <row r="889">
      <c r="A889" s="5" t="s">
        <v>1854</v>
      </c>
      <c r="B889" s="12"/>
      <c r="C889" s="27" t="s">
        <v>19</v>
      </c>
      <c r="D889" s="8" t="s">
        <v>1856</v>
      </c>
      <c r="E889" s="9" t="s">
        <v>1857</v>
      </c>
      <c r="F889" s="28">
        <v>41105.0</v>
      </c>
    </row>
    <row r="890">
      <c r="A890" s="11" t="s">
        <v>1858</v>
      </c>
      <c r="B890" s="12"/>
      <c r="C890" s="16" t="s">
        <v>9</v>
      </c>
      <c r="D890" s="14"/>
      <c r="E890" s="17"/>
      <c r="F890" s="20"/>
    </row>
    <row r="891">
      <c r="A891" s="11" t="s">
        <v>1859</v>
      </c>
      <c r="B891" s="12"/>
      <c r="C891" s="18" t="s">
        <v>19</v>
      </c>
      <c r="D891" s="14"/>
      <c r="E891" s="17"/>
      <c r="F891" s="20"/>
    </row>
    <row r="892">
      <c r="A892" s="11" t="s">
        <v>1860</v>
      </c>
      <c r="B892" s="12"/>
      <c r="C892" s="16" t="s">
        <v>9</v>
      </c>
      <c r="D892" s="14"/>
      <c r="E892" s="13" t="s">
        <v>435</v>
      </c>
      <c r="F892" s="15">
        <v>40884.0</v>
      </c>
    </row>
    <row r="893">
      <c r="A893" s="11" t="s">
        <v>1861</v>
      </c>
      <c r="B893" s="12"/>
      <c r="C893" s="13" t="s">
        <v>9</v>
      </c>
      <c r="D893" s="11" t="s">
        <v>1862</v>
      </c>
      <c r="E893" s="13" t="s">
        <v>1863</v>
      </c>
      <c r="F893" s="15">
        <v>40908.0</v>
      </c>
    </row>
    <row r="894">
      <c r="A894" s="5" t="s">
        <v>1861</v>
      </c>
      <c r="B894" s="6" t="s">
        <v>1864</v>
      </c>
      <c r="C894" s="40" t="s">
        <v>19</v>
      </c>
      <c r="D894" s="8" t="s">
        <v>1865</v>
      </c>
      <c r="E894" s="9" t="s">
        <v>1866</v>
      </c>
      <c r="F894" s="23">
        <v>41161.0</v>
      </c>
    </row>
    <row r="895">
      <c r="A895" s="5" t="s">
        <v>1867</v>
      </c>
      <c r="B895" s="12"/>
      <c r="C895" s="7" t="s">
        <v>9</v>
      </c>
      <c r="D895" s="8" t="s">
        <v>525</v>
      </c>
      <c r="E895" s="9" t="s">
        <v>1868</v>
      </c>
      <c r="F895" s="23">
        <v>41171.0</v>
      </c>
    </row>
    <row r="896">
      <c r="A896" s="11" t="s">
        <v>1869</v>
      </c>
      <c r="B896" s="12"/>
      <c r="C896" s="16" t="s">
        <v>9</v>
      </c>
      <c r="D896" s="14"/>
      <c r="E896" s="13" t="s">
        <v>175</v>
      </c>
      <c r="F896" s="15">
        <v>40793.0</v>
      </c>
    </row>
    <row r="897">
      <c r="A897" s="11" t="s">
        <v>1870</v>
      </c>
      <c r="B897" s="12"/>
      <c r="C897" s="16" t="s">
        <v>9</v>
      </c>
      <c r="D897" s="11" t="s">
        <v>1871</v>
      </c>
      <c r="E897" s="13" t="s">
        <v>23</v>
      </c>
      <c r="F897" s="15">
        <v>40926.0</v>
      </c>
    </row>
    <row r="898">
      <c r="A898" s="11" t="s">
        <v>1872</v>
      </c>
      <c r="B898" s="12"/>
      <c r="C898" s="16" t="s">
        <v>9</v>
      </c>
      <c r="D898" s="11" t="s">
        <v>1871</v>
      </c>
      <c r="E898" s="13" t="s">
        <v>23</v>
      </c>
      <c r="F898" s="15">
        <v>40926.0</v>
      </c>
    </row>
    <row r="899">
      <c r="A899" s="11" t="s">
        <v>1873</v>
      </c>
      <c r="B899" s="12"/>
      <c r="C899" s="16" t="s">
        <v>9</v>
      </c>
      <c r="D899" s="11" t="s">
        <v>1874</v>
      </c>
      <c r="E899" s="13" t="s">
        <v>23</v>
      </c>
      <c r="F899" s="15">
        <v>40926.0</v>
      </c>
    </row>
    <row r="900">
      <c r="A900" s="11" t="s">
        <v>1875</v>
      </c>
      <c r="B900" s="12"/>
      <c r="C900" s="13" t="s">
        <v>120</v>
      </c>
      <c r="D900" s="11" t="s">
        <v>1876</v>
      </c>
      <c r="E900" s="13" t="s">
        <v>1877</v>
      </c>
      <c r="F900" s="15">
        <v>40920.0</v>
      </c>
    </row>
    <row r="901">
      <c r="A901" s="11" t="s">
        <v>1878</v>
      </c>
      <c r="B901" s="12"/>
      <c r="C901" s="18" t="s">
        <v>19</v>
      </c>
      <c r="D901" s="19" t="str">
        <f>HYPERLINK("http://www.youtube.com/watch?v=AlbOt6EhUFY","Hack Here, very easy.")</f>
        <v>Hack Here, very easy.</v>
      </c>
      <c r="E901" s="13" t="s">
        <v>1879</v>
      </c>
      <c r="F901" s="15">
        <v>40919.0</v>
      </c>
    </row>
    <row r="902">
      <c r="A902" s="11" t="s">
        <v>1880</v>
      </c>
      <c r="B902" s="12"/>
      <c r="C902" s="16" t="s">
        <v>9</v>
      </c>
      <c r="D902" s="11" t="s">
        <v>1881</v>
      </c>
      <c r="E902" s="17"/>
      <c r="F902" s="20"/>
    </row>
    <row r="903">
      <c r="A903" s="11" t="s">
        <v>1882</v>
      </c>
      <c r="B903" s="13" t="s">
        <v>1883</v>
      </c>
      <c r="C903" s="13" t="s">
        <v>19</v>
      </c>
      <c r="D903" s="11" t="s">
        <v>1884</v>
      </c>
      <c r="E903" s="13" t="s">
        <v>461</v>
      </c>
      <c r="F903" s="15">
        <v>40946.0</v>
      </c>
    </row>
    <row r="904">
      <c r="A904" s="11" t="s">
        <v>1882</v>
      </c>
      <c r="B904" s="12"/>
      <c r="C904" s="18" t="s">
        <v>19</v>
      </c>
      <c r="D904" s="11" t="s">
        <v>1885</v>
      </c>
      <c r="E904" s="17"/>
      <c r="F904" s="15">
        <v>40948.0</v>
      </c>
    </row>
    <row r="905">
      <c r="A905" s="11" t="s">
        <v>1886</v>
      </c>
      <c r="B905" s="12"/>
      <c r="C905" s="16" t="s">
        <v>9</v>
      </c>
      <c r="D905" s="11" t="s">
        <v>1887</v>
      </c>
      <c r="E905" s="17"/>
      <c r="F905" s="20"/>
    </row>
    <row r="906">
      <c r="A906" s="11" t="s">
        <v>1888</v>
      </c>
      <c r="B906" s="12"/>
      <c r="C906" s="16" t="s">
        <v>9</v>
      </c>
      <c r="D906" s="11" t="s">
        <v>1889</v>
      </c>
      <c r="E906" s="13" t="s">
        <v>66</v>
      </c>
      <c r="F906" s="15">
        <v>40897.0</v>
      </c>
    </row>
    <row r="907">
      <c r="A907" s="5" t="s">
        <v>1888</v>
      </c>
      <c r="B907" s="12"/>
      <c r="C907" s="27" t="s">
        <v>19</v>
      </c>
      <c r="D907" s="8" t="s">
        <v>1890</v>
      </c>
      <c r="E907" s="17"/>
      <c r="F907" s="10">
        <v>41103.0</v>
      </c>
    </row>
    <row r="908">
      <c r="A908" s="11" t="s">
        <v>1891</v>
      </c>
      <c r="B908" s="12"/>
      <c r="C908" s="25" t="s">
        <v>120</v>
      </c>
      <c r="D908" s="11" t="s">
        <v>1892</v>
      </c>
      <c r="E908" s="13" t="s">
        <v>279</v>
      </c>
      <c r="F908" s="15">
        <v>40799.7717361111</v>
      </c>
    </row>
    <row r="909">
      <c r="A909" s="11" t="s">
        <v>1893</v>
      </c>
      <c r="B909" s="12"/>
      <c r="C909" s="16" t="s">
        <v>9</v>
      </c>
      <c r="D909" s="11" t="s">
        <v>1894</v>
      </c>
      <c r="E909" s="13" t="s">
        <v>403</v>
      </c>
      <c r="F909" s="15">
        <v>40922.0</v>
      </c>
    </row>
    <row r="910">
      <c r="A910" s="11" t="s">
        <v>1895</v>
      </c>
      <c r="B910" s="12"/>
      <c r="C910" s="18" t="s">
        <v>19</v>
      </c>
      <c r="D910" s="14"/>
      <c r="E910" s="17"/>
      <c r="F910" s="20"/>
    </row>
    <row r="911">
      <c r="A911" s="11" t="s">
        <v>1896</v>
      </c>
      <c r="B911" s="12"/>
      <c r="C911" s="13" t="s">
        <v>9</v>
      </c>
      <c r="D911" s="11" t="s">
        <v>1897</v>
      </c>
      <c r="E911" s="13" t="s">
        <v>15</v>
      </c>
      <c r="F911" s="15">
        <v>40937.0</v>
      </c>
    </row>
    <row r="912">
      <c r="A912" s="11" t="s">
        <v>1898</v>
      </c>
      <c r="B912" s="12"/>
      <c r="C912" s="16" t="s">
        <v>9</v>
      </c>
      <c r="D912" s="11" t="s">
        <v>1899</v>
      </c>
      <c r="E912" s="13" t="s">
        <v>1900</v>
      </c>
      <c r="F912" s="15">
        <v>40947.0</v>
      </c>
    </row>
    <row r="913">
      <c r="A913" s="11" t="s">
        <v>1901</v>
      </c>
      <c r="B913" s="12"/>
      <c r="C913" s="18" t="s">
        <v>19</v>
      </c>
      <c r="D913" s="14"/>
      <c r="E913" s="17"/>
      <c r="F913" s="20"/>
    </row>
    <row r="914">
      <c r="A914" s="11" t="s">
        <v>1902</v>
      </c>
      <c r="B914" s="12"/>
      <c r="C914" s="18" t="s">
        <v>19</v>
      </c>
      <c r="D914" s="14"/>
      <c r="E914" s="17"/>
      <c r="F914" s="20"/>
    </row>
    <row r="915">
      <c r="A915" s="11" t="s">
        <v>1903</v>
      </c>
      <c r="B915" s="12"/>
      <c r="C915" s="18" t="s">
        <v>19</v>
      </c>
      <c r="D915" s="11" t="s">
        <v>1904</v>
      </c>
      <c r="E915" s="13" t="s">
        <v>189</v>
      </c>
      <c r="F915" s="15">
        <v>40883.0</v>
      </c>
    </row>
    <row r="916">
      <c r="A916" s="11" t="s">
        <v>1905</v>
      </c>
      <c r="B916" s="12"/>
      <c r="C916" s="18" t="s">
        <v>19</v>
      </c>
      <c r="D916" s="11" t="s">
        <v>1906</v>
      </c>
      <c r="E916" s="13" t="s">
        <v>175</v>
      </c>
      <c r="F916" s="15">
        <v>40793.9138888889</v>
      </c>
    </row>
    <row r="917">
      <c r="A917" s="11" t="s">
        <v>1907</v>
      </c>
      <c r="B917" s="12"/>
      <c r="C917" s="16" t="s">
        <v>9</v>
      </c>
      <c r="D917" s="11" t="s">
        <v>1908</v>
      </c>
      <c r="E917" s="17"/>
      <c r="F917" s="15">
        <v>40897.0</v>
      </c>
    </row>
    <row r="918">
      <c r="A918" s="11" t="s">
        <v>1909</v>
      </c>
      <c r="B918" s="12"/>
      <c r="C918" s="18" t="s">
        <v>120</v>
      </c>
      <c r="D918" s="11" t="s">
        <v>1910</v>
      </c>
      <c r="E918" s="13" t="s">
        <v>279</v>
      </c>
      <c r="F918" s="15">
        <v>40799.0</v>
      </c>
    </row>
    <row r="919">
      <c r="A919" s="11" t="s">
        <v>1911</v>
      </c>
      <c r="B919" s="12"/>
      <c r="C919" s="18" t="s">
        <v>19</v>
      </c>
      <c r="D919" s="14"/>
      <c r="E919" s="17"/>
      <c r="F919" s="20"/>
    </row>
    <row r="920">
      <c r="A920" s="21" t="s">
        <v>1912</v>
      </c>
      <c r="B920" s="26" t="s">
        <v>1913</v>
      </c>
      <c r="C920" s="13" t="s">
        <v>1481</v>
      </c>
      <c r="D920" s="19" t="str">
        <f>HYPERLINK("http://www.sinfuliphone.com/showthread.php?t=101860","NBA league gametime free hack!!!!.")</f>
        <v>NBA league gametime free hack!!!!.</v>
      </c>
      <c r="E920" s="13" t="s">
        <v>1914</v>
      </c>
      <c r="F920" s="22">
        <v>40966.0</v>
      </c>
    </row>
    <row r="921">
      <c r="A921" s="11" t="s">
        <v>1915</v>
      </c>
      <c r="B921" s="12"/>
      <c r="C921" s="18" t="s">
        <v>19</v>
      </c>
      <c r="D921" s="11" t="s">
        <v>1916</v>
      </c>
      <c r="E921" s="13" t="s">
        <v>1917</v>
      </c>
      <c r="F921" s="15">
        <v>40951.0</v>
      </c>
    </row>
    <row r="922">
      <c r="A922" s="52" t="s">
        <v>1918</v>
      </c>
      <c r="B922" s="6">
        <v>1.3</v>
      </c>
      <c r="C922" s="13" t="s">
        <v>9</v>
      </c>
      <c r="D922" s="8" t="s">
        <v>1919</v>
      </c>
      <c r="E922" s="9" t="s">
        <v>515</v>
      </c>
      <c r="F922" s="10">
        <v>41043.0</v>
      </c>
    </row>
    <row r="923">
      <c r="A923" s="35" t="s">
        <v>1920</v>
      </c>
      <c r="B923" s="6" t="s">
        <v>1864</v>
      </c>
      <c r="C923" s="6" t="s">
        <v>9</v>
      </c>
      <c r="D923" s="8" t="s">
        <v>1921</v>
      </c>
      <c r="E923" s="9" t="s">
        <v>1429</v>
      </c>
      <c r="F923" s="23">
        <v>41157.0</v>
      </c>
    </row>
    <row r="924">
      <c r="A924" s="11" t="s">
        <v>1922</v>
      </c>
      <c r="B924" s="12"/>
      <c r="C924" s="16" t="s">
        <v>9</v>
      </c>
      <c r="D924" s="11" t="s">
        <v>1923</v>
      </c>
      <c r="E924" s="13" t="s">
        <v>156</v>
      </c>
      <c r="F924" s="15">
        <v>40923.0</v>
      </c>
    </row>
    <row r="925">
      <c r="A925" s="5" t="s">
        <v>1924</v>
      </c>
      <c r="B925" s="6" t="s">
        <v>1925</v>
      </c>
      <c r="C925" s="27" t="s">
        <v>19</v>
      </c>
      <c r="D925" s="8" t="s">
        <v>1926</v>
      </c>
      <c r="E925" s="9" t="s">
        <v>1927</v>
      </c>
      <c r="F925" s="10">
        <v>41105.0</v>
      </c>
    </row>
    <row r="926">
      <c r="A926" s="11" t="s">
        <v>1928</v>
      </c>
      <c r="B926" s="12"/>
      <c r="C926" s="16" t="s">
        <v>9</v>
      </c>
      <c r="D926" s="11" t="s">
        <v>1929</v>
      </c>
      <c r="E926" s="13" t="s">
        <v>450</v>
      </c>
      <c r="F926" s="15">
        <v>40925.0</v>
      </c>
    </row>
    <row r="927">
      <c r="A927" s="11" t="s">
        <v>1930</v>
      </c>
      <c r="B927" s="12"/>
      <c r="C927" s="16" t="s">
        <v>9</v>
      </c>
      <c r="D927" s="14"/>
      <c r="E927" s="13" t="s">
        <v>331</v>
      </c>
      <c r="F927" s="15">
        <v>40792.7847222222</v>
      </c>
    </row>
    <row r="928">
      <c r="A928" s="11" t="s">
        <v>1931</v>
      </c>
      <c r="B928" s="12"/>
      <c r="C928" s="13" t="s">
        <v>9</v>
      </c>
      <c r="D928" s="11" t="s">
        <v>1932</v>
      </c>
      <c r="E928" s="13" t="s">
        <v>335</v>
      </c>
      <c r="F928" s="15">
        <v>40939.0</v>
      </c>
    </row>
    <row r="929">
      <c r="A929" s="5" t="s">
        <v>1933</v>
      </c>
      <c r="B929" s="6">
        <v>1.13</v>
      </c>
      <c r="C929" s="13" t="s">
        <v>120</v>
      </c>
      <c r="D929" s="8" t="s">
        <v>1934</v>
      </c>
      <c r="E929" s="9" t="s">
        <v>1935</v>
      </c>
      <c r="F929" s="28">
        <v>41097.0</v>
      </c>
    </row>
    <row r="930">
      <c r="A930" s="11" t="s">
        <v>1936</v>
      </c>
      <c r="B930" s="12"/>
      <c r="C930" s="18" t="s">
        <v>19</v>
      </c>
      <c r="D930" s="14"/>
      <c r="E930" s="13" t="s">
        <v>585</v>
      </c>
      <c r="F930" s="15">
        <v>40904.0</v>
      </c>
    </row>
    <row r="931">
      <c r="A931" s="11" t="s">
        <v>1937</v>
      </c>
      <c r="B931" s="12"/>
      <c r="C931" s="13" t="s">
        <v>19</v>
      </c>
      <c r="D931" s="19" t="str">
        <f>HYPERLINK("http://xsellize.com/topic/176027-nfl-pro-2012-hack-v102/","Money Hack HERE (Hex Edit).")</f>
        <v>Money Hack HERE (Hex Edit).</v>
      </c>
      <c r="E931" s="13" t="s">
        <v>72</v>
      </c>
      <c r="F931" s="15">
        <v>40922.0</v>
      </c>
    </row>
    <row r="932">
      <c r="A932" s="11" t="s">
        <v>1938</v>
      </c>
      <c r="B932" s="12"/>
      <c r="C932" s="16" t="s">
        <v>9</v>
      </c>
      <c r="D932" s="11" t="s">
        <v>1939</v>
      </c>
      <c r="E932" s="13" t="s">
        <v>1940</v>
      </c>
      <c r="F932" s="15">
        <v>40910.0</v>
      </c>
    </row>
    <row r="933">
      <c r="A933" s="11" t="s">
        <v>1941</v>
      </c>
      <c r="B933" s="12"/>
      <c r="C933" s="13" t="s">
        <v>9</v>
      </c>
      <c r="D933" s="11" t="s">
        <v>976</v>
      </c>
      <c r="E933" s="13" t="s">
        <v>203</v>
      </c>
      <c r="F933" s="15">
        <v>40915.0</v>
      </c>
    </row>
    <row r="934">
      <c r="A934" s="11" t="s">
        <v>1942</v>
      </c>
      <c r="B934" s="12"/>
      <c r="C934" s="16" t="s">
        <v>9</v>
      </c>
      <c r="D934" s="11" t="s">
        <v>1221</v>
      </c>
      <c r="E934" s="13" t="s">
        <v>1473</v>
      </c>
      <c r="F934" s="15">
        <v>40927.0</v>
      </c>
    </row>
    <row r="935">
      <c r="A935" s="11" t="s">
        <v>1943</v>
      </c>
      <c r="B935" s="12"/>
      <c r="C935" s="13" t="s">
        <v>19</v>
      </c>
      <c r="D935" s="19" t="str">
        <f>HYPERLINK("http://xsellize.com/topic/179102-ninja-farm-v100/","Purchase failure. Hack is here, thanks to LucasYu.")</f>
        <v>Purchase failure. Hack is here, thanks to LucasYu.</v>
      </c>
      <c r="E935" s="13" t="s">
        <v>1944</v>
      </c>
      <c r="F935" s="15">
        <v>40947.0</v>
      </c>
    </row>
    <row r="936">
      <c r="A936" s="11" t="s">
        <v>1945</v>
      </c>
      <c r="B936" s="12"/>
      <c r="C936" s="13" t="s">
        <v>9</v>
      </c>
      <c r="D936" s="11" t="s">
        <v>1946</v>
      </c>
      <c r="E936" s="13" t="s">
        <v>1947</v>
      </c>
      <c r="F936" s="20"/>
    </row>
    <row r="937">
      <c r="A937" s="11" t="s">
        <v>1948</v>
      </c>
      <c r="B937" s="12"/>
      <c r="C937" s="16" t="s">
        <v>120</v>
      </c>
      <c r="D937" s="19" t="str">
        <f>HYPERLINK("http://store.heaveniphone.com/2011/10/ninja-saga.html","Newest version patchs iAP Cracker, use older version instead, buy all things you want, then upgrade (not lose save), download old version here.")</f>
        <v>Newest version patchs iAP Cracker, use older version instead, buy all things you want, then upgrade (not lose save), download old version here.</v>
      </c>
      <c r="E937" s="13" t="s">
        <v>1949</v>
      </c>
      <c r="F937" s="15">
        <v>40898.0</v>
      </c>
    </row>
    <row r="938">
      <c r="A938" s="5" t="s">
        <v>1950</v>
      </c>
      <c r="B938" s="6" t="s">
        <v>1951</v>
      </c>
      <c r="C938" s="6" t="s">
        <v>9</v>
      </c>
      <c r="D938" s="8" t="s">
        <v>1952</v>
      </c>
      <c r="E938" s="9" t="s">
        <v>1953</v>
      </c>
      <c r="F938" s="23">
        <v>41164.0</v>
      </c>
    </row>
    <row r="939">
      <c r="A939" s="11" t="s">
        <v>1954</v>
      </c>
      <c r="B939" s="12"/>
      <c r="C939" s="18" t="s">
        <v>19</v>
      </c>
      <c r="D939" s="14"/>
      <c r="E939" s="17"/>
      <c r="F939" s="20"/>
    </row>
    <row r="940">
      <c r="A940" s="11" t="s">
        <v>1955</v>
      </c>
      <c r="B940" s="12"/>
      <c r="C940" s="16" t="s">
        <v>9</v>
      </c>
      <c r="D940" s="11" t="s">
        <v>1956</v>
      </c>
      <c r="E940" s="13" t="s">
        <v>1957</v>
      </c>
      <c r="F940" s="15">
        <v>40953.0</v>
      </c>
    </row>
    <row r="941">
      <c r="A941" s="11" t="s">
        <v>1958</v>
      </c>
      <c r="B941" s="12"/>
      <c r="C941" s="13" t="s">
        <v>9</v>
      </c>
      <c r="D941" s="14"/>
      <c r="E941" s="13" t="s">
        <v>156</v>
      </c>
      <c r="F941" s="15">
        <v>40891.0</v>
      </c>
    </row>
    <row r="942">
      <c r="A942" s="21" t="s">
        <v>1959</v>
      </c>
      <c r="B942" s="13">
        <v>1.8</v>
      </c>
      <c r="C942" s="18" t="s">
        <v>19</v>
      </c>
      <c r="D942" s="11" t="s">
        <v>1960</v>
      </c>
      <c r="E942" s="13" t="s">
        <v>1646</v>
      </c>
      <c r="F942" s="22">
        <v>40964.0</v>
      </c>
    </row>
    <row r="943">
      <c r="A943" s="5" t="s">
        <v>1961</v>
      </c>
      <c r="B943" s="6">
        <v>1.5</v>
      </c>
      <c r="C943" s="7" t="s">
        <v>9</v>
      </c>
      <c r="D943" s="8" t="s">
        <v>1881</v>
      </c>
      <c r="E943" s="9" t="s">
        <v>144</v>
      </c>
      <c r="F943" s="23">
        <v>41159.0</v>
      </c>
    </row>
    <row r="944">
      <c r="A944" s="5" t="s">
        <v>1962</v>
      </c>
      <c r="B944" s="6" t="s">
        <v>645</v>
      </c>
      <c r="C944" s="7" t="s">
        <v>9</v>
      </c>
      <c r="D944" s="8" t="s">
        <v>1963</v>
      </c>
      <c r="E944" s="9" t="s">
        <v>312</v>
      </c>
      <c r="F944" s="28">
        <v>41159.0</v>
      </c>
    </row>
    <row r="945">
      <c r="A945" s="11" t="s">
        <v>1964</v>
      </c>
      <c r="B945" s="12"/>
      <c r="C945" s="16" t="s">
        <v>9</v>
      </c>
      <c r="D945" s="11" t="s">
        <v>1965</v>
      </c>
      <c r="E945" s="13" t="s">
        <v>1966</v>
      </c>
      <c r="F945" s="15">
        <v>40947.0</v>
      </c>
    </row>
    <row r="946">
      <c r="A946" s="11" t="s">
        <v>1967</v>
      </c>
      <c r="B946" s="12"/>
      <c r="C946" s="18" t="s">
        <v>19</v>
      </c>
      <c r="D946" s="11" t="s">
        <v>1968</v>
      </c>
      <c r="E946" s="13" t="s">
        <v>315</v>
      </c>
      <c r="F946" s="15">
        <v>40908.0</v>
      </c>
    </row>
    <row r="947">
      <c r="A947" s="11" t="s">
        <v>1969</v>
      </c>
      <c r="B947" s="12"/>
      <c r="C947" s="13" t="s">
        <v>19</v>
      </c>
      <c r="D947" s="14"/>
      <c r="E947" s="37"/>
      <c r="F947" s="38" t="s">
        <v>1970</v>
      </c>
    </row>
    <row r="948">
      <c r="A948" s="11" t="s">
        <v>1971</v>
      </c>
      <c r="B948" s="12"/>
      <c r="C948" s="18" t="s">
        <v>19</v>
      </c>
      <c r="D948" s="14"/>
      <c r="E948" s="17"/>
      <c r="F948" s="20"/>
    </row>
    <row r="949">
      <c r="A949" s="11" t="s">
        <v>1972</v>
      </c>
      <c r="B949" s="12"/>
      <c r="C949" s="16" t="s">
        <v>9</v>
      </c>
      <c r="D949" s="11" t="s">
        <v>1973</v>
      </c>
      <c r="E949" s="13" t="s">
        <v>1974</v>
      </c>
      <c r="F949" s="15">
        <v>40926.0</v>
      </c>
    </row>
    <row r="950">
      <c r="A950" s="11" t="s">
        <v>1975</v>
      </c>
      <c r="B950" s="12"/>
      <c r="C950" s="18" t="s">
        <v>19</v>
      </c>
      <c r="D950" s="14"/>
      <c r="E950" s="17"/>
      <c r="F950" s="20"/>
    </row>
    <row r="951">
      <c r="A951" s="11" t="s">
        <v>1976</v>
      </c>
      <c r="B951" s="12"/>
      <c r="C951" s="18" t="s">
        <v>19</v>
      </c>
      <c r="D951" s="14"/>
      <c r="E951" s="17"/>
      <c r="F951" s="20"/>
    </row>
    <row r="952">
      <c r="A952" s="5" t="s">
        <v>1977</v>
      </c>
      <c r="B952" s="12"/>
      <c r="C952" s="40" t="s">
        <v>19</v>
      </c>
      <c r="D952" s="8" t="s">
        <v>1978</v>
      </c>
      <c r="E952" s="9" t="s">
        <v>1979</v>
      </c>
      <c r="F952" s="23">
        <v>41157.0</v>
      </c>
    </row>
    <row r="953">
      <c r="A953" s="29" t="s">
        <v>1980</v>
      </c>
      <c r="B953" s="6">
        <v>1.6</v>
      </c>
      <c r="C953" s="27" t="s">
        <v>19</v>
      </c>
      <c r="D953" s="8" t="s">
        <v>1981</v>
      </c>
      <c r="E953" s="6" t="s">
        <v>274</v>
      </c>
      <c r="F953" s="28">
        <v>41015.0</v>
      </c>
    </row>
    <row r="954">
      <c r="A954" s="11" t="s">
        <v>1982</v>
      </c>
      <c r="B954" s="12"/>
      <c r="C954" s="13" t="s">
        <v>9</v>
      </c>
      <c r="D954" s="14"/>
      <c r="E954" s="13" t="s">
        <v>40</v>
      </c>
      <c r="F954" s="15">
        <v>40816.0</v>
      </c>
    </row>
    <row r="955">
      <c r="A955" s="11" t="s">
        <v>1983</v>
      </c>
      <c r="B955" s="12"/>
      <c r="C955" s="18" t="s">
        <v>19</v>
      </c>
      <c r="D955" s="14"/>
      <c r="E955" s="17"/>
      <c r="F955" s="20"/>
    </row>
    <row r="956">
      <c r="A956" s="21" t="s">
        <v>1984</v>
      </c>
      <c r="B956" s="13">
        <v>2.5</v>
      </c>
      <c r="C956" s="16" t="s">
        <v>9</v>
      </c>
      <c r="D956" s="11" t="s">
        <v>1985</v>
      </c>
      <c r="E956" s="13" t="s">
        <v>1646</v>
      </c>
      <c r="F956" s="22">
        <v>40964.0</v>
      </c>
    </row>
    <row r="957">
      <c r="A957" s="11" t="s">
        <v>1986</v>
      </c>
      <c r="B957" s="12"/>
      <c r="C957" s="16" t="s">
        <v>9</v>
      </c>
      <c r="D957" s="11" t="s">
        <v>1987</v>
      </c>
      <c r="E957" s="13" t="s">
        <v>1988</v>
      </c>
      <c r="F957" s="15">
        <v>40891.0</v>
      </c>
    </row>
    <row r="958">
      <c r="A958" s="11" t="s">
        <v>1989</v>
      </c>
      <c r="B958" s="12"/>
      <c r="C958" s="18" t="s">
        <v>19</v>
      </c>
      <c r="D958" s="14"/>
      <c r="E958" s="17"/>
      <c r="F958" s="20"/>
    </row>
    <row r="959">
      <c r="A959" s="11" t="s">
        <v>1990</v>
      </c>
      <c r="B959" s="12"/>
      <c r="C959" s="13" t="s">
        <v>9</v>
      </c>
      <c r="D959" s="11" t="s">
        <v>1532</v>
      </c>
      <c r="E959" s="13" t="s">
        <v>115</v>
      </c>
      <c r="F959" s="15">
        <v>40954.0</v>
      </c>
    </row>
    <row r="960">
      <c r="A960" s="11" t="s">
        <v>1991</v>
      </c>
      <c r="B960" s="12"/>
      <c r="C960" s="13" t="s">
        <v>19</v>
      </c>
      <c r="D960" s="8" t="s">
        <v>1992</v>
      </c>
      <c r="E960" s="13" t="s">
        <v>1993</v>
      </c>
      <c r="F960" s="38" t="s">
        <v>1994</v>
      </c>
    </row>
    <row r="961">
      <c r="A961" s="11" t="s">
        <v>1995</v>
      </c>
      <c r="B961" s="12"/>
      <c r="C961" s="16" t="s">
        <v>9</v>
      </c>
      <c r="D961" s="11" t="s">
        <v>1996</v>
      </c>
      <c r="E961" s="17"/>
      <c r="F961" s="15">
        <v>40887.0</v>
      </c>
    </row>
    <row r="962">
      <c r="A962" s="11" t="s">
        <v>1997</v>
      </c>
      <c r="B962" s="12"/>
      <c r="C962" s="16" t="s">
        <v>9</v>
      </c>
      <c r="D962" s="14"/>
      <c r="E962" s="13" t="s">
        <v>175</v>
      </c>
      <c r="F962" s="15">
        <v>40793.0</v>
      </c>
    </row>
    <row r="963">
      <c r="A963" s="5" t="s">
        <v>1998</v>
      </c>
      <c r="B963" s="6">
        <v>1.1</v>
      </c>
      <c r="C963" s="13" t="s">
        <v>9</v>
      </c>
      <c r="D963" s="8" t="s">
        <v>1999</v>
      </c>
      <c r="E963" s="9" t="s">
        <v>515</v>
      </c>
      <c r="F963" s="10">
        <v>41043.0</v>
      </c>
    </row>
    <row r="964">
      <c r="A964" s="11" t="s">
        <v>2000</v>
      </c>
      <c r="B964" s="12"/>
      <c r="C964" s="16" t="s">
        <v>9</v>
      </c>
      <c r="D964" s="11" t="s">
        <v>2001</v>
      </c>
      <c r="E964" s="13" t="s">
        <v>1762</v>
      </c>
      <c r="F964" s="15">
        <v>40924.0</v>
      </c>
    </row>
    <row r="965">
      <c r="A965" s="11" t="s">
        <v>2002</v>
      </c>
      <c r="B965" s="12"/>
      <c r="C965" s="13" t="s">
        <v>9</v>
      </c>
      <c r="D965" s="11" t="s">
        <v>2003</v>
      </c>
      <c r="E965" s="13" t="s">
        <v>1149</v>
      </c>
      <c r="F965" s="15">
        <v>40955.0</v>
      </c>
    </row>
    <row r="966">
      <c r="A966" s="11" t="s">
        <v>2004</v>
      </c>
      <c r="B966" s="12"/>
      <c r="C966" s="13" t="s">
        <v>9</v>
      </c>
      <c r="D966" s="11" t="s">
        <v>2003</v>
      </c>
      <c r="E966" s="13" t="s">
        <v>1149</v>
      </c>
      <c r="F966" s="15">
        <v>40955.0</v>
      </c>
    </row>
    <row r="967">
      <c r="A967" s="21" t="s">
        <v>2005</v>
      </c>
      <c r="B967" s="13" t="s">
        <v>2006</v>
      </c>
      <c r="C967" s="16" t="s">
        <v>9</v>
      </c>
      <c r="D967" s="11" t="s">
        <v>2007</v>
      </c>
      <c r="E967" s="13" t="s">
        <v>2008</v>
      </c>
      <c r="F967" s="22">
        <v>40934.0</v>
      </c>
    </row>
    <row r="968">
      <c r="A968" s="5" t="s">
        <v>2009</v>
      </c>
      <c r="B968" s="6" t="s">
        <v>207</v>
      </c>
      <c r="C968" s="7" t="s">
        <v>9</v>
      </c>
      <c r="D968" s="8" t="s">
        <v>2010</v>
      </c>
      <c r="E968" s="9" t="s">
        <v>312</v>
      </c>
      <c r="F968" s="28">
        <v>41099.0</v>
      </c>
    </row>
    <row r="969">
      <c r="A969" s="21" t="s">
        <v>2011</v>
      </c>
      <c r="B969" s="13">
        <v>1.6</v>
      </c>
      <c r="C969" s="16" t="s">
        <v>9</v>
      </c>
      <c r="D969" s="11" t="s">
        <v>2012</v>
      </c>
      <c r="E969" s="13" t="s">
        <v>348</v>
      </c>
      <c r="F969" s="22">
        <v>40967.0</v>
      </c>
    </row>
    <row r="970">
      <c r="A970" s="11" t="s">
        <v>2013</v>
      </c>
      <c r="B970" s="12"/>
      <c r="C970" s="18" t="s">
        <v>19</v>
      </c>
      <c r="D970" s="14"/>
      <c r="E970" s="17"/>
      <c r="F970" s="20"/>
    </row>
    <row r="971">
      <c r="A971" s="5" t="s">
        <v>2014</v>
      </c>
      <c r="B971" s="6" t="s">
        <v>2015</v>
      </c>
      <c r="C971" s="7" t="s">
        <v>9</v>
      </c>
      <c r="D971" s="8" t="s">
        <v>2016</v>
      </c>
      <c r="E971" s="9" t="s">
        <v>118</v>
      </c>
      <c r="F971" s="23">
        <v>41178.0</v>
      </c>
    </row>
    <row r="972">
      <c r="A972" s="11" t="s">
        <v>2017</v>
      </c>
      <c r="B972" s="12"/>
      <c r="C972" s="18" t="s">
        <v>19</v>
      </c>
      <c r="D972" s="14"/>
      <c r="E972" s="13" t="s">
        <v>2018</v>
      </c>
      <c r="F972" s="15">
        <v>40892.0</v>
      </c>
    </row>
    <row r="973">
      <c r="A973" s="29" t="s">
        <v>2017</v>
      </c>
      <c r="B973" s="12"/>
      <c r="C973" s="27" t="s">
        <v>19</v>
      </c>
      <c r="D973" s="8" t="s">
        <v>2019</v>
      </c>
      <c r="E973" s="6" t="s">
        <v>274</v>
      </c>
      <c r="F973" s="28">
        <v>41010.0</v>
      </c>
    </row>
    <row r="974">
      <c r="A974" s="11" t="s">
        <v>2020</v>
      </c>
      <c r="B974" s="12"/>
      <c r="C974" s="13" t="s">
        <v>9</v>
      </c>
      <c r="D974" s="11" t="s">
        <v>2021</v>
      </c>
      <c r="E974" s="13" t="s">
        <v>2022</v>
      </c>
      <c r="F974" s="15">
        <v>40957.0</v>
      </c>
    </row>
    <row r="975">
      <c r="A975" s="11" t="s">
        <v>2023</v>
      </c>
      <c r="B975" s="12"/>
      <c r="C975" s="18" t="s">
        <v>19</v>
      </c>
      <c r="D975" s="19" t="str">
        <f>HYPERLINK("http://xsellize.com/topic/176977-sav-order-up-to-go-hack/","Coins Hack Here by BetaBot")</f>
        <v>Coins Hack Here by BetaBot</v>
      </c>
      <c r="E975" s="17"/>
      <c r="F975" s="20"/>
    </row>
    <row r="976">
      <c r="A976" s="11" t="s">
        <v>2024</v>
      </c>
      <c r="B976" s="12"/>
      <c r="C976" s="18" t="s">
        <v>19</v>
      </c>
      <c r="D976" s="19" t="str">
        <f>HYPERLINK("http://xsellize.com/topic/177146-the-oregon-trail-american-settler/","Hack Here.")</f>
        <v>Hack Here.</v>
      </c>
      <c r="E976" s="13" t="s">
        <v>2025</v>
      </c>
      <c r="F976" s="20"/>
    </row>
    <row r="977">
      <c r="A977" s="21" t="s">
        <v>2026</v>
      </c>
      <c r="B977" s="13">
        <v>1.4</v>
      </c>
      <c r="C977" s="16" t="s">
        <v>9</v>
      </c>
      <c r="D977" s="11" t="s">
        <v>2027</v>
      </c>
      <c r="E977" s="13" t="s">
        <v>43</v>
      </c>
      <c r="F977" s="22">
        <v>40964.0</v>
      </c>
    </row>
    <row r="978">
      <c r="A978" s="11" t="s">
        <v>2028</v>
      </c>
      <c r="B978" s="12"/>
      <c r="C978" s="18" t="s">
        <v>19</v>
      </c>
      <c r="D978" s="14"/>
      <c r="E978" s="17"/>
      <c r="F978" s="20"/>
    </row>
    <row r="979">
      <c r="A979" s="11" t="s">
        <v>2029</v>
      </c>
      <c r="B979" s="12"/>
      <c r="C979" s="25" t="s">
        <v>120</v>
      </c>
      <c r="D979" s="11" t="s">
        <v>2030</v>
      </c>
      <c r="E979" s="13" t="s">
        <v>1723</v>
      </c>
      <c r="F979" s="15">
        <v>40903.0</v>
      </c>
    </row>
    <row r="980">
      <c r="A980" s="11" t="s">
        <v>2031</v>
      </c>
      <c r="B980" s="12"/>
      <c r="C980" s="16" t="s">
        <v>9</v>
      </c>
      <c r="D980" s="14"/>
      <c r="E980" s="17"/>
      <c r="F980" s="15">
        <v>40885.0</v>
      </c>
    </row>
    <row r="981">
      <c r="A981" s="21" t="s">
        <v>2031</v>
      </c>
      <c r="B981" s="13" t="s">
        <v>701</v>
      </c>
      <c r="C981" s="13" t="s">
        <v>9</v>
      </c>
      <c r="D981" s="11" t="s">
        <v>728</v>
      </c>
      <c r="E981" s="13" t="s">
        <v>729</v>
      </c>
      <c r="F981" s="15">
        <v>40973.0</v>
      </c>
    </row>
    <row r="982">
      <c r="A982" s="11" t="s">
        <v>2032</v>
      </c>
      <c r="B982" s="12"/>
      <c r="C982" s="18" t="s">
        <v>19</v>
      </c>
      <c r="D982" s="11" t="s">
        <v>2033</v>
      </c>
      <c r="E982" s="13" t="s">
        <v>2034</v>
      </c>
      <c r="F982" s="15">
        <v>40938.0</v>
      </c>
    </row>
    <row r="983">
      <c r="A983" s="11" t="s">
        <v>2035</v>
      </c>
      <c r="B983" s="13" t="s">
        <v>2036</v>
      </c>
      <c r="C983" s="13" t="s">
        <v>9</v>
      </c>
      <c r="D983" s="11" t="s">
        <v>2037</v>
      </c>
      <c r="E983" s="13" t="s">
        <v>156</v>
      </c>
      <c r="F983" s="15">
        <v>40920.0</v>
      </c>
    </row>
    <row r="984">
      <c r="A984" s="11" t="s">
        <v>2038</v>
      </c>
      <c r="B984" s="12"/>
      <c r="C984" s="16" t="s">
        <v>9</v>
      </c>
      <c r="D984" s="11" t="s">
        <v>2039</v>
      </c>
      <c r="E984" s="13" t="s">
        <v>2040</v>
      </c>
      <c r="F984" s="15">
        <v>40926.0</v>
      </c>
    </row>
    <row r="985">
      <c r="A985" s="11" t="s">
        <v>2041</v>
      </c>
      <c r="B985" s="12"/>
      <c r="C985" s="13" t="s">
        <v>9</v>
      </c>
      <c r="D985" s="11" t="s">
        <v>2042</v>
      </c>
      <c r="E985" s="13" t="s">
        <v>1410</v>
      </c>
      <c r="F985" s="15">
        <v>40936.0</v>
      </c>
    </row>
    <row r="986">
      <c r="A986" s="11" t="s">
        <v>2043</v>
      </c>
      <c r="B986" s="12"/>
      <c r="C986" s="18" t="s">
        <v>19</v>
      </c>
      <c r="D986" s="19" t="str">
        <f>HYPERLINK("http://heaveniphone.com/iphone-kinh-nghiem-choi-game/66240-huong-dan-mo-khoa-full-maps-palm-heroes-2-deluxe-iphone-ipad-v2-2-2-a.html","Get full 73 Maps here.")</f>
        <v>Get full 73 Maps here.</v>
      </c>
      <c r="E986" s="13" t="s">
        <v>72</v>
      </c>
      <c r="F986" s="15">
        <v>40919.0</v>
      </c>
    </row>
    <row r="987">
      <c r="A987" s="21" t="s">
        <v>2044</v>
      </c>
      <c r="B987" s="13" t="s">
        <v>659</v>
      </c>
      <c r="C987" s="16" t="s">
        <v>9</v>
      </c>
      <c r="D987" s="11" t="s">
        <v>2045</v>
      </c>
      <c r="E987" s="13" t="s">
        <v>335</v>
      </c>
      <c r="F987" s="22">
        <v>40966.0</v>
      </c>
    </row>
    <row r="988">
      <c r="A988" s="11" t="s">
        <v>2046</v>
      </c>
      <c r="B988" s="12"/>
      <c r="C988" s="18" t="s">
        <v>19</v>
      </c>
      <c r="D988" s="11" t="s">
        <v>2047</v>
      </c>
      <c r="E988" s="13" t="s">
        <v>15</v>
      </c>
      <c r="F988" s="15">
        <v>40890.0</v>
      </c>
    </row>
    <row r="989">
      <c r="A989" s="11" t="s">
        <v>2048</v>
      </c>
      <c r="B989" s="12"/>
      <c r="C989" s="18" t="s">
        <v>19</v>
      </c>
      <c r="D989" s="14"/>
      <c r="E989" s="17"/>
      <c r="F989" s="20"/>
    </row>
    <row r="990">
      <c r="A990" s="11" t="s">
        <v>2049</v>
      </c>
      <c r="B990" s="12"/>
      <c r="C990" s="16" t="s">
        <v>9</v>
      </c>
      <c r="D990" s="11" t="s">
        <v>1358</v>
      </c>
      <c r="E990" s="17"/>
      <c r="F990" s="20"/>
    </row>
    <row r="991">
      <c r="A991" s="11" t="s">
        <v>2050</v>
      </c>
      <c r="B991" s="12"/>
      <c r="C991" s="16" t="s">
        <v>9</v>
      </c>
      <c r="D991" s="11" t="s">
        <v>1358</v>
      </c>
      <c r="E991" s="13" t="s">
        <v>72</v>
      </c>
      <c r="F991" s="15">
        <v>40922.0</v>
      </c>
    </row>
    <row r="992">
      <c r="A992" s="11" t="s">
        <v>2051</v>
      </c>
      <c r="B992" s="12"/>
      <c r="C992" s="16" t="s">
        <v>9</v>
      </c>
      <c r="D992" s="11" t="s">
        <v>2052</v>
      </c>
      <c r="E992" s="13" t="s">
        <v>409</v>
      </c>
      <c r="F992" s="15">
        <v>40950.0</v>
      </c>
    </row>
    <row r="993">
      <c r="A993" s="11" t="s">
        <v>2053</v>
      </c>
      <c r="B993" s="12"/>
      <c r="C993" s="16" t="s">
        <v>9</v>
      </c>
      <c r="D993" s="14"/>
      <c r="E993" s="13" t="s">
        <v>175</v>
      </c>
      <c r="F993" s="15">
        <v>40793.9138888889</v>
      </c>
    </row>
    <row r="994">
      <c r="A994" s="11" t="s">
        <v>2054</v>
      </c>
      <c r="B994" s="12"/>
      <c r="C994" s="16" t="s">
        <v>9</v>
      </c>
      <c r="D994" s="11" t="s">
        <v>2055</v>
      </c>
      <c r="E994" s="13" t="s">
        <v>2056</v>
      </c>
      <c r="F994" s="15">
        <v>40886.0</v>
      </c>
    </row>
    <row r="995">
      <c r="A995" s="11" t="s">
        <v>2057</v>
      </c>
      <c r="B995" s="12"/>
      <c r="C995" s="13" t="s">
        <v>9</v>
      </c>
      <c r="D995" s="11" t="s">
        <v>2058</v>
      </c>
      <c r="E995" s="13" t="s">
        <v>738</v>
      </c>
      <c r="F995" s="15">
        <v>40931.0</v>
      </c>
    </row>
    <row r="996">
      <c r="A996" s="11" t="s">
        <v>2059</v>
      </c>
      <c r="B996" s="12"/>
      <c r="C996" s="16" t="s">
        <v>9</v>
      </c>
      <c r="D996" s="11" t="s">
        <v>1730</v>
      </c>
      <c r="E996" s="13">
        <v>6102.0</v>
      </c>
      <c r="F996" s="15">
        <v>40883.0</v>
      </c>
    </row>
    <row r="997">
      <c r="A997" s="11" t="s">
        <v>2060</v>
      </c>
      <c r="B997" s="12"/>
      <c r="C997" s="18" t="s">
        <v>19</v>
      </c>
      <c r="D997" s="11" t="s">
        <v>2061</v>
      </c>
      <c r="E997" s="13" t="s">
        <v>2062</v>
      </c>
      <c r="F997" s="15">
        <v>40905.0</v>
      </c>
    </row>
    <row r="998">
      <c r="A998" s="11" t="s">
        <v>2063</v>
      </c>
      <c r="B998" s="12"/>
      <c r="C998" s="13" t="s">
        <v>9</v>
      </c>
      <c r="D998" s="11" t="s">
        <v>2064</v>
      </c>
      <c r="E998" s="13" t="s">
        <v>50</v>
      </c>
      <c r="F998" s="15">
        <v>40902.0</v>
      </c>
    </row>
    <row r="999">
      <c r="A999" s="11" t="s">
        <v>2065</v>
      </c>
      <c r="B999" s="12"/>
      <c r="C999" s="13" t="s">
        <v>9</v>
      </c>
      <c r="D999" s="11" t="s">
        <v>2066</v>
      </c>
      <c r="E999" s="13" t="s">
        <v>1149</v>
      </c>
      <c r="F999" s="15">
        <v>40954.0</v>
      </c>
    </row>
    <row r="1000">
      <c r="A1000" s="11" t="s">
        <v>2067</v>
      </c>
      <c r="B1000" s="12"/>
      <c r="C1000" s="18" t="s">
        <v>19</v>
      </c>
      <c r="D1000" s="11" t="s">
        <v>2068</v>
      </c>
      <c r="E1000" s="13" t="s">
        <v>435</v>
      </c>
      <c r="F1000" s="15">
        <v>40884.0</v>
      </c>
    </row>
    <row r="1001">
      <c r="A1001" s="11" t="s">
        <v>2069</v>
      </c>
      <c r="B1001" s="12"/>
      <c r="C1001" s="18" t="s">
        <v>19</v>
      </c>
      <c r="D1001" s="14"/>
      <c r="E1001" s="17"/>
      <c r="F1001" s="20"/>
    </row>
    <row r="1002">
      <c r="A1002" s="11" t="s">
        <v>2070</v>
      </c>
      <c r="B1002" s="13" t="s">
        <v>2071</v>
      </c>
      <c r="C1002" s="16" t="s">
        <v>9</v>
      </c>
      <c r="D1002" s="11" t="s">
        <v>2072</v>
      </c>
      <c r="E1002" s="13" t="s">
        <v>2073</v>
      </c>
      <c r="F1002" s="22">
        <v>40961.0</v>
      </c>
    </row>
    <row r="1003">
      <c r="A1003" s="11" t="s">
        <v>2074</v>
      </c>
      <c r="B1003" s="12"/>
      <c r="C1003" s="18" t="s">
        <v>19</v>
      </c>
      <c r="D1003" s="11" t="s">
        <v>895</v>
      </c>
      <c r="E1003" s="13" t="s">
        <v>54</v>
      </c>
      <c r="F1003" s="15">
        <v>40946.0</v>
      </c>
    </row>
    <row r="1004">
      <c r="A1004" s="11" t="s">
        <v>2075</v>
      </c>
      <c r="B1004" s="12"/>
      <c r="C1004" s="18" t="s">
        <v>19</v>
      </c>
      <c r="D1004" s="11" t="s">
        <v>2076</v>
      </c>
      <c r="E1004" s="13" t="s">
        <v>432</v>
      </c>
      <c r="F1004" s="15">
        <v>40931.0</v>
      </c>
    </row>
    <row r="1005">
      <c r="A1005" s="11" t="s">
        <v>2077</v>
      </c>
      <c r="B1005" s="12"/>
      <c r="C1005" s="13" t="s">
        <v>9</v>
      </c>
      <c r="D1005" s="14"/>
      <c r="E1005" s="17"/>
      <c r="F1005" s="20"/>
    </row>
    <row r="1006">
      <c r="A1006" s="11" t="s">
        <v>2078</v>
      </c>
      <c r="B1006" s="12"/>
      <c r="C1006" s="16" t="s">
        <v>9</v>
      </c>
      <c r="D1006" s="14"/>
      <c r="E1006" s="13" t="s">
        <v>129</v>
      </c>
      <c r="F1006" s="15">
        <v>40883.0</v>
      </c>
    </row>
    <row r="1007">
      <c r="A1007" s="11" t="s">
        <v>2079</v>
      </c>
      <c r="B1007" s="12"/>
      <c r="C1007" s="13" t="s">
        <v>19</v>
      </c>
      <c r="D1007" s="11" t="s">
        <v>2080</v>
      </c>
      <c r="E1007" s="13" t="s">
        <v>893</v>
      </c>
      <c r="F1007" s="15">
        <v>40950.0</v>
      </c>
    </row>
    <row r="1008">
      <c r="A1008" s="11" t="s">
        <v>2081</v>
      </c>
      <c r="B1008" s="12"/>
      <c r="C1008" s="18" t="s">
        <v>19</v>
      </c>
      <c r="D1008" s="19" t="str">
        <f>HYPERLINK("http://store.heaveniphone.com/2011/10/pes-2012--pro-evolution-soccer.html","Full premium version here. Btw, FIFA 12 is much better.")</f>
        <v>Full premium version here. Btw, FIFA 12 is much better.</v>
      </c>
      <c r="E1008" s="17"/>
      <c r="F1008" s="20"/>
    </row>
    <row r="1009">
      <c r="A1009" s="11" t="s">
        <v>2082</v>
      </c>
      <c r="B1009" s="12"/>
      <c r="C1009" s="16" t="s">
        <v>9</v>
      </c>
      <c r="D1009" s="11" t="s">
        <v>2083</v>
      </c>
      <c r="E1009" s="13" t="s">
        <v>521</v>
      </c>
      <c r="F1009" s="15">
        <v>40920.0</v>
      </c>
    </row>
    <row r="1010">
      <c r="A1010" s="11" t="s">
        <v>2084</v>
      </c>
      <c r="B1010" s="12"/>
      <c r="C1010" s="13" t="s">
        <v>9</v>
      </c>
      <c r="D1010" s="14"/>
      <c r="E1010" s="13" t="s">
        <v>2085</v>
      </c>
      <c r="F1010" s="15">
        <v>40907.0</v>
      </c>
    </row>
    <row r="1011">
      <c r="A1011" s="11" t="s">
        <v>2086</v>
      </c>
      <c r="B1011" s="12"/>
      <c r="C1011" s="53" t="s">
        <v>19</v>
      </c>
      <c r="D1011" s="14"/>
      <c r="E1011" s="17"/>
      <c r="F1011" s="15">
        <v>40912.0</v>
      </c>
    </row>
    <row r="1012">
      <c r="A1012" s="11" t="s">
        <v>2087</v>
      </c>
      <c r="B1012" s="12"/>
      <c r="C1012" s="18" t="s">
        <v>19</v>
      </c>
      <c r="D1012" s="14"/>
      <c r="E1012" s="17"/>
      <c r="F1012" s="20"/>
    </row>
    <row r="1013">
      <c r="A1013" s="35" t="s">
        <v>2088</v>
      </c>
      <c r="B1013" s="6" t="s">
        <v>659</v>
      </c>
      <c r="C1013" s="40" t="s">
        <v>19</v>
      </c>
      <c r="D1013" s="8" t="s">
        <v>2089</v>
      </c>
      <c r="E1013" s="9" t="s">
        <v>144</v>
      </c>
      <c r="F1013" s="23">
        <v>41161.0</v>
      </c>
    </row>
    <row r="1014">
      <c r="A1014" s="11" t="s">
        <v>2090</v>
      </c>
      <c r="B1014" s="12"/>
      <c r="C1014" s="16" t="s">
        <v>9</v>
      </c>
      <c r="D1014" s="11" t="s">
        <v>2091</v>
      </c>
      <c r="E1014" s="17"/>
      <c r="F1014" s="15">
        <v>40925.0</v>
      </c>
    </row>
    <row r="1015">
      <c r="A1015" s="11" t="s">
        <v>2092</v>
      </c>
      <c r="B1015" s="12"/>
      <c r="C1015" s="16" t="s">
        <v>9</v>
      </c>
      <c r="D1015" s="14"/>
      <c r="E1015" s="13" t="s">
        <v>66</v>
      </c>
      <c r="F1015" s="15">
        <v>40883.0</v>
      </c>
    </row>
    <row r="1016">
      <c r="A1016" s="11" t="s">
        <v>2093</v>
      </c>
      <c r="B1016" s="12"/>
      <c r="C1016" s="13" t="s">
        <v>9</v>
      </c>
      <c r="D1016" s="11" t="s">
        <v>2094</v>
      </c>
      <c r="E1016" s="13" t="s">
        <v>1071</v>
      </c>
      <c r="F1016" s="15">
        <v>40903.0</v>
      </c>
    </row>
    <row r="1017">
      <c r="A1017" s="11" t="s">
        <v>2095</v>
      </c>
      <c r="B1017" s="12"/>
      <c r="C1017" s="16" t="s">
        <v>9</v>
      </c>
      <c r="D1017" s="14"/>
      <c r="E1017" s="13" t="s">
        <v>203</v>
      </c>
      <c r="F1017" s="15">
        <v>40905.0</v>
      </c>
    </row>
    <row r="1018">
      <c r="A1018" s="11" t="s">
        <v>2096</v>
      </c>
      <c r="B1018" s="12"/>
      <c r="C1018" s="16" t="s">
        <v>9</v>
      </c>
      <c r="D1018" s="11" t="s">
        <v>2097</v>
      </c>
      <c r="E1018" s="13" t="s">
        <v>2098</v>
      </c>
      <c r="F1018" s="15">
        <v>40925.0</v>
      </c>
    </row>
    <row r="1019">
      <c r="A1019" s="11" t="s">
        <v>2099</v>
      </c>
      <c r="B1019" s="12"/>
      <c r="C1019" s="16" t="s">
        <v>9</v>
      </c>
      <c r="D1019" s="11" t="s">
        <v>2100</v>
      </c>
      <c r="E1019" s="17"/>
      <c r="F1019" s="20"/>
    </row>
    <row r="1020">
      <c r="A1020" s="11" t="s">
        <v>2101</v>
      </c>
      <c r="B1020" s="12"/>
      <c r="C1020" s="16" t="s">
        <v>9</v>
      </c>
      <c r="D1020" s="11" t="s">
        <v>2102</v>
      </c>
      <c r="E1020" s="13" t="s">
        <v>295</v>
      </c>
      <c r="F1020" s="15">
        <v>40947.0</v>
      </c>
    </row>
    <row r="1021">
      <c r="A1021" s="11" t="s">
        <v>2103</v>
      </c>
      <c r="B1021" s="12"/>
      <c r="C1021" s="16" t="s">
        <v>9</v>
      </c>
      <c r="D1021" s="14"/>
      <c r="E1021" s="13" t="s">
        <v>271</v>
      </c>
      <c r="F1021" s="15">
        <v>40793.7888888889</v>
      </c>
    </row>
    <row r="1022">
      <c r="A1022" s="11" t="s">
        <v>2104</v>
      </c>
      <c r="B1022" s="12"/>
      <c r="C1022" s="18" t="s">
        <v>19</v>
      </c>
      <c r="D1022" s="14"/>
      <c r="E1022" s="13" t="s">
        <v>596</v>
      </c>
      <c r="F1022" s="15">
        <v>40913.0</v>
      </c>
    </row>
    <row r="1023">
      <c r="A1023" s="11" t="s">
        <v>2105</v>
      </c>
      <c r="B1023" s="12"/>
      <c r="C1023" s="13" t="s">
        <v>9</v>
      </c>
      <c r="D1023" s="14"/>
      <c r="E1023" s="13" t="s">
        <v>156</v>
      </c>
      <c r="F1023" s="15">
        <v>40891.0</v>
      </c>
    </row>
    <row r="1024">
      <c r="A1024" s="11" t="s">
        <v>2106</v>
      </c>
      <c r="B1024" s="12"/>
      <c r="C1024" s="13" t="s">
        <v>9</v>
      </c>
      <c r="D1024" s="14"/>
      <c r="E1024" s="13" t="s">
        <v>72</v>
      </c>
      <c r="F1024" s="15">
        <v>40918.0</v>
      </c>
    </row>
    <row r="1025">
      <c r="A1025" s="11" t="s">
        <v>2107</v>
      </c>
      <c r="B1025" s="12"/>
      <c r="C1025" s="18" t="s">
        <v>19</v>
      </c>
      <c r="D1025" s="11" t="s">
        <v>2108</v>
      </c>
      <c r="E1025" s="13" t="s">
        <v>13</v>
      </c>
      <c r="F1025" s="15">
        <v>40948.0</v>
      </c>
    </row>
    <row r="1026">
      <c r="A1026" s="11" t="s">
        <v>2109</v>
      </c>
      <c r="B1026" s="12"/>
      <c r="C1026" s="16" t="s">
        <v>9</v>
      </c>
      <c r="D1026" s="11" t="s">
        <v>2110</v>
      </c>
      <c r="E1026" s="13" t="s">
        <v>15</v>
      </c>
      <c r="F1026" s="15">
        <v>40894.0</v>
      </c>
    </row>
    <row r="1027">
      <c r="A1027" s="11" t="s">
        <v>2111</v>
      </c>
      <c r="B1027" s="13" t="s">
        <v>2112</v>
      </c>
      <c r="C1027" s="13" t="s">
        <v>9</v>
      </c>
      <c r="D1027" s="11" t="s">
        <v>2110</v>
      </c>
      <c r="E1027" s="13" t="s">
        <v>13</v>
      </c>
      <c r="F1027" s="15">
        <v>40971.0</v>
      </c>
    </row>
    <row r="1028">
      <c r="A1028" s="11" t="s">
        <v>2113</v>
      </c>
      <c r="B1028" s="13">
        <v>2.5</v>
      </c>
      <c r="C1028" s="18" t="s">
        <v>19</v>
      </c>
      <c r="D1028" s="11" t="s">
        <v>2114</v>
      </c>
      <c r="E1028" s="13" t="s">
        <v>2115</v>
      </c>
      <c r="F1028" s="15">
        <v>40945.0</v>
      </c>
    </row>
    <row r="1029">
      <c r="A1029" s="11" t="s">
        <v>2116</v>
      </c>
      <c r="B1029" s="13">
        <v>2.6</v>
      </c>
      <c r="C1029" s="13" t="s">
        <v>19</v>
      </c>
      <c r="D1029" s="11" t="s">
        <v>2117</v>
      </c>
      <c r="E1029" s="13" t="s">
        <v>13</v>
      </c>
      <c r="F1029" s="15">
        <v>40971.0</v>
      </c>
    </row>
    <row r="1030">
      <c r="A1030" s="11" t="s">
        <v>2118</v>
      </c>
      <c r="B1030" s="12"/>
      <c r="C1030" s="18" t="s">
        <v>9</v>
      </c>
      <c r="D1030" s="11" t="s">
        <v>2119</v>
      </c>
      <c r="E1030" s="13" t="s">
        <v>179</v>
      </c>
      <c r="F1030" s="15">
        <v>40891.0</v>
      </c>
    </row>
    <row r="1031">
      <c r="A1031" s="11" t="s">
        <v>2120</v>
      </c>
      <c r="B1031" s="12"/>
      <c r="C1031" s="18" t="s">
        <v>19</v>
      </c>
      <c r="D1031" s="11" t="s">
        <v>99</v>
      </c>
      <c r="E1031" s="17"/>
      <c r="F1031" s="15">
        <v>40909.0</v>
      </c>
    </row>
    <row r="1032">
      <c r="A1032" s="11" t="s">
        <v>2121</v>
      </c>
      <c r="B1032" s="12"/>
      <c r="C1032" s="18" t="s">
        <v>19</v>
      </c>
      <c r="D1032" s="14"/>
      <c r="E1032" s="13" t="s">
        <v>2122</v>
      </c>
      <c r="F1032" s="15">
        <v>40884.0</v>
      </c>
    </row>
    <row r="1033">
      <c r="A1033" s="11" t="s">
        <v>2123</v>
      </c>
      <c r="B1033" s="12"/>
      <c r="C1033" s="18" t="s">
        <v>19</v>
      </c>
      <c r="D1033" s="11" t="s">
        <v>2124</v>
      </c>
      <c r="E1033" s="13" t="s">
        <v>50</v>
      </c>
      <c r="F1033" s="15">
        <v>40899.0</v>
      </c>
    </row>
    <row r="1034">
      <c r="A1034" s="11" t="s">
        <v>2125</v>
      </c>
      <c r="B1034" s="12"/>
      <c r="C1034" s="16" t="s">
        <v>9</v>
      </c>
      <c r="D1034" s="14"/>
      <c r="E1034" s="13" t="s">
        <v>488</v>
      </c>
      <c r="F1034" s="15">
        <v>40875.0</v>
      </c>
    </row>
    <row r="1035">
      <c r="A1035" s="11" t="s">
        <v>2126</v>
      </c>
      <c r="B1035" s="12"/>
      <c r="C1035" s="16" t="s">
        <v>9</v>
      </c>
      <c r="D1035" s="14"/>
      <c r="E1035" s="13" t="s">
        <v>175</v>
      </c>
      <c r="F1035" s="15">
        <v>40793.9138888889</v>
      </c>
    </row>
    <row r="1036">
      <c r="A1036" s="11" t="s">
        <v>2127</v>
      </c>
      <c r="B1036" s="12"/>
      <c r="C1036" s="16" t="s">
        <v>9</v>
      </c>
      <c r="D1036" s="11" t="s">
        <v>2128</v>
      </c>
      <c r="E1036" s="17"/>
      <c r="F1036" s="15">
        <v>40906.0</v>
      </c>
    </row>
    <row r="1037">
      <c r="A1037" s="5" t="s">
        <v>2129</v>
      </c>
      <c r="B1037" s="6" t="s">
        <v>2130</v>
      </c>
      <c r="C1037" s="7" t="s">
        <v>9</v>
      </c>
      <c r="D1037" s="8" t="s">
        <v>2131</v>
      </c>
      <c r="E1037" s="9" t="s">
        <v>2132</v>
      </c>
      <c r="F1037" s="28">
        <v>41096.0</v>
      </c>
    </row>
    <row r="1038">
      <c r="A1038" s="11" t="s">
        <v>2133</v>
      </c>
      <c r="B1038" s="12"/>
      <c r="C1038" s="13" t="s">
        <v>9</v>
      </c>
      <c r="D1038" s="11" t="s">
        <v>350</v>
      </c>
      <c r="E1038" s="13" t="s">
        <v>461</v>
      </c>
      <c r="F1038" s="15">
        <v>40946.0</v>
      </c>
    </row>
    <row r="1039">
      <c r="A1039" s="11" t="s">
        <v>2134</v>
      </c>
      <c r="B1039" s="12"/>
      <c r="C1039" s="16" t="s">
        <v>9</v>
      </c>
      <c r="D1039" s="11" t="s">
        <v>2135</v>
      </c>
      <c r="E1039" s="13" t="s">
        <v>2136</v>
      </c>
      <c r="F1039" s="20"/>
    </row>
    <row r="1040">
      <c r="A1040" s="11" t="s">
        <v>2137</v>
      </c>
      <c r="B1040" s="12"/>
      <c r="C1040" s="16" t="s">
        <v>9</v>
      </c>
      <c r="D1040" s="11" t="s">
        <v>1505</v>
      </c>
      <c r="E1040" s="13" t="s">
        <v>2138</v>
      </c>
      <c r="F1040" s="15">
        <v>40900.0</v>
      </c>
    </row>
    <row r="1041">
      <c r="A1041" s="11" t="s">
        <v>2139</v>
      </c>
      <c r="B1041" s="12"/>
      <c r="C1041" s="13" t="s">
        <v>9</v>
      </c>
      <c r="D1041" s="11" t="s">
        <v>2140</v>
      </c>
      <c r="E1041" s="13" t="s">
        <v>2141</v>
      </c>
      <c r="F1041" s="15">
        <v>40945.0</v>
      </c>
    </row>
    <row r="1042">
      <c r="A1042" s="11" t="s">
        <v>2142</v>
      </c>
      <c r="B1042" s="12"/>
      <c r="C1042" s="13" t="s">
        <v>9</v>
      </c>
      <c r="D1042" s="11" t="s">
        <v>2143</v>
      </c>
      <c r="E1042" s="13" t="s">
        <v>2144</v>
      </c>
      <c r="F1042" s="15">
        <v>40904.0</v>
      </c>
    </row>
    <row r="1043">
      <c r="A1043" s="11" t="s">
        <v>2145</v>
      </c>
      <c r="B1043" s="12"/>
      <c r="C1043" s="18" t="s">
        <v>19</v>
      </c>
      <c r="D1043" s="14"/>
      <c r="E1043" s="17"/>
      <c r="F1043" s="20"/>
    </row>
    <row r="1044">
      <c r="A1044" s="11" t="s">
        <v>2146</v>
      </c>
      <c r="B1044" s="12"/>
      <c r="C1044" s="18" t="s">
        <v>19</v>
      </c>
      <c r="D1044" s="14"/>
      <c r="E1044" s="17"/>
      <c r="F1044" s="20"/>
    </row>
    <row r="1045">
      <c r="A1045" s="11" t="s">
        <v>2147</v>
      </c>
      <c r="B1045" s="12"/>
      <c r="C1045" s="16" t="s">
        <v>9</v>
      </c>
      <c r="D1045" s="14"/>
      <c r="E1045" s="17"/>
      <c r="F1045" s="15">
        <v>40877.0</v>
      </c>
    </row>
    <row r="1046">
      <c r="A1046" s="11" t="s">
        <v>2147</v>
      </c>
      <c r="B1046" s="12"/>
      <c r="C1046" s="16" t="s">
        <v>9</v>
      </c>
      <c r="D1046" s="14"/>
      <c r="E1046" s="17"/>
      <c r="F1046" s="20"/>
    </row>
    <row r="1047">
      <c r="A1047" s="11" t="s">
        <v>2148</v>
      </c>
      <c r="B1047" s="12"/>
      <c r="C1047" s="16" t="s">
        <v>9</v>
      </c>
      <c r="D1047" s="11" t="s">
        <v>2149</v>
      </c>
      <c r="E1047" s="13" t="s">
        <v>2150</v>
      </c>
      <c r="F1047" s="15">
        <v>40885.0</v>
      </c>
    </row>
    <row r="1048">
      <c r="A1048" s="11" t="s">
        <v>2151</v>
      </c>
      <c r="B1048" s="12"/>
      <c r="C1048" s="18" t="s">
        <v>19</v>
      </c>
      <c r="D1048" s="11" t="s">
        <v>2152</v>
      </c>
      <c r="E1048" s="13" t="s">
        <v>2153</v>
      </c>
      <c r="F1048" s="15">
        <v>40903.0</v>
      </c>
    </row>
    <row r="1049">
      <c r="A1049" s="11" t="s">
        <v>2151</v>
      </c>
      <c r="B1049" s="12"/>
      <c r="C1049" s="13" t="s">
        <v>120</v>
      </c>
      <c r="D1049" s="11" t="s">
        <v>2154</v>
      </c>
      <c r="E1049" s="17"/>
      <c r="F1049" s="20"/>
    </row>
    <row r="1050">
      <c r="A1050" s="11" t="s">
        <v>2155</v>
      </c>
      <c r="B1050" s="12"/>
      <c r="C1050" s="18" t="s">
        <v>190</v>
      </c>
      <c r="D1050" s="11" t="s">
        <v>2156</v>
      </c>
      <c r="E1050" s="13" t="s">
        <v>279</v>
      </c>
      <c r="F1050" s="15">
        <v>40826.0</v>
      </c>
    </row>
    <row r="1051">
      <c r="A1051" s="29" t="s">
        <v>2155</v>
      </c>
      <c r="B1051" s="12"/>
      <c r="C1051" s="27" t="s">
        <v>19</v>
      </c>
      <c r="D1051" s="8" t="s">
        <v>2157</v>
      </c>
      <c r="E1051" s="6" t="s">
        <v>274</v>
      </c>
      <c r="F1051" s="28">
        <v>41010.0</v>
      </c>
    </row>
    <row r="1052">
      <c r="A1052" s="5" t="s">
        <v>2158</v>
      </c>
      <c r="B1052" s="6" t="s">
        <v>1669</v>
      </c>
      <c r="C1052" s="7" t="s">
        <v>9</v>
      </c>
      <c r="D1052" s="8" t="s">
        <v>2159</v>
      </c>
      <c r="E1052" s="9" t="s">
        <v>2160</v>
      </c>
      <c r="F1052" s="28">
        <v>41097.0</v>
      </c>
    </row>
    <row r="1053">
      <c r="A1053" s="11" t="s">
        <v>2161</v>
      </c>
      <c r="B1053" s="12"/>
      <c r="C1053" s="13" t="s">
        <v>19</v>
      </c>
      <c r="D1053" s="19" t="str">
        <f>HYPERLINK("http://xsellize.com/topic/176984-sav-pocket-potions-hack/","Coins, Diamonds Hack Here.")</f>
        <v>Coins, Diamonds Hack Here.</v>
      </c>
      <c r="E1053" s="13" t="s">
        <v>1473</v>
      </c>
      <c r="F1053" s="15">
        <v>40906.0</v>
      </c>
    </row>
    <row r="1054">
      <c r="A1054" s="21" t="s">
        <v>2162</v>
      </c>
      <c r="B1054" s="12"/>
      <c r="C1054" s="13" t="s">
        <v>19</v>
      </c>
      <c r="D1054" s="11" t="s">
        <v>2163</v>
      </c>
      <c r="E1054" s="17"/>
      <c r="F1054" s="15">
        <v>40973.0</v>
      </c>
    </row>
    <row r="1055">
      <c r="A1055" s="11" t="s">
        <v>2164</v>
      </c>
      <c r="B1055" s="6" t="s">
        <v>2165</v>
      </c>
      <c r="C1055" s="13" t="s">
        <v>9</v>
      </c>
      <c r="D1055" s="8" t="s">
        <v>2166</v>
      </c>
      <c r="E1055" s="13" t="s">
        <v>2167</v>
      </c>
      <c r="F1055" s="38" t="s">
        <v>2168</v>
      </c>
    </row>
    <row r="1056">
      <c r="A1056" s="11" t="s">
        <v>2169</v>
      </c>
      <c r="B1056" s="12"/>
      <c r="C1056" s="16" t="s">
        <v>9</v>
      </c>
      <c r="D1056" s="11" t="s">
        <v>2170</v>
      </c>
      <c r="E1056" s="13" t="s">
        <v>2171</v>
      </c>
      <c r="F1056" s="15">
        <v>40930.0</v>
      </c>
    </row>
    <row r="1057">
      <c r="A1057" s="11" t="s">
        <v>2172</v>
      </c>
      <c r="B1057" s="12"/>
      <c r="C1057" s="18" t="s">
        <v>19</v>
      </c>
      <c r="D1057" s="14"/>
      <c r="E1057" s="17"/>
      <c r="F1057" s="20"/>
    </row>
    <row r="1058">
      <c r="A1058" s="11" t="s">
        <v>2173</v>
      </c>
      <c r="B1058" s="12"/>
      <c r="C1058" s="18" t="s">
        <v>981</v>
      </c>
      <c r="D1058" s="11" t="s">
        <v>2174</v>
      </c>
      <c r="E1058" s="13" t="s">
        <v>2175</v>
      </c>
      <c r="F1058" s="15">
        <v>40906.0</v>
      </c>
    </row>
    <row r="1059">
      <c r="A1059" s="11" t="s">
        <v>2176</v>
      </c>
      <c r="B1059" s="12"/>
      <c r="C1059" s="18" t="s">
        <v>9</v>
      </c>
      <c r="D1059" s="14"/>
      <c r="E1059" s="17"/>
      <c r="F1059" s="20"/>
    </row>
    <row r="1060">
      <c r="A1060" s="11" t="s">
        <v>2177</v>
      </c>
      <c r="B1060" s="12"/>
      <c r="C1060" s="13" t="s">
        <v>9</v>
      </c>
      <c r="D1060" s="11" t="s">
        <v>192</v>
      </c>
      <c r="E1060" s="13" t="s">
        <v>23</v>
      </c>
      <c r="F1060" s="15">
        <v>40926.0</v>
      </c>
    </row>
    <row r="1061">
      <c r="A1061" s="11" t="s">
        <v>2178</v>
      </c>
      <c r="B1061" s="12"/>
      <c r="C1061" s="13" t="s">
        <v>9</v>
      </c>
      <c r="D1061" s="11" t="s">
        <v>39</v>
      </c>
      <c r="E1061" s="13" t="s">
        <v>40</v>
      </c>
      <c r="F1061" s="20"/>
    </row>
    <row r="1062">
      <c r="A1062" s="11" t="s">
        <v>2179</v>
      </c>
      <c r="B1062" s="12"/>
      <c r="C1062" s="13" t="s">
        <v>19</v>
      </c>
      <c r="D1062" s="11" t="s">
        <v>2180</v>
      </c>
      <c r="E1062" s="13" t="s">
        <v>2181</v>
      </c>
      <c r="F1062" s="15">
        <v>40917.0</v>
      </c>
    </row>
    <row r="1063">
      <c r="A1063" s="11" t="s">
        <v>2182</v>
      </c>
      <c r="B1063" s="12"/>
      <c r="C1063" s="18" t="s">
        <v>19</v>
      </c>
      <c r="D1063" s="14"/>
      <c r="E1063" s="17"/>
      <c r="F1063" s="20"/>
    </row>
    <row r="1064">
      <c r="A1064" s="11" t="s">
        <v>2183</v>
      </c>
      <c r="B1064" s="12"/>
      <c r="C1064" s="18" t="s">
        <v>19</v>
      </c>
      <c r="D1064" s="14"/>
      <c r="E1064" s="17"/>
      <c r="F1064" s="20"/>
    </row>
    <row r="1065">
      <c r="A1065" s="11" t="s">
        <v>2184</v>
      </c>
      <c r="B1065" s="12"/>
      <c r="C1065" s="18" t="s">
        <v>19</v>
      </c>
      <c r="D1065" s="11" t="s">
        <v>2185</v>
      </c>
      <c r="E1065" s="17"/>
      <c r="F1065" s="15">
        <v>40886.0</v>
      </c>
    </row>
    <row r="1066">
      <c r="A1066" s="11" t="s">
        <v>2186</v>
      </c>
      <c r="B1066" s="12"/>
      <c r="C1066" s="16" t="s">
        <v>9</v>
      </c>
      <c r="D1066" s="11" t="s">
        <v>2187</v>
      </c>
      <c r="E1066" s="13" t="s">
        <v>2188</v>
      </c>
      <c r="F1066" s="15">
        <v>40946.0</v>
      </c>
    </row>
    <row r="1067">
      <c r="A1067" s="11" t="s">
        <v>2189</v>
      </c>
      <c r="B1067" s="12"/>
      <c r="C1067" s="16" t="s">
        <v>9</v>
      </c>
      <c r="D1067" s="14"/>
      <c r="E1067" s="17"/>
      <c r="F1067" s="20"/>
    </row>
    <row r="1068">
      <c r="A1068" s="11" t="s">
        <v>2190</v>
      </c>
      <c r="B1068" s="12"/>
      <c r="C1068" s="16" t="s">
        <v>9</v>
      </c>
      <c r="D1068" s="14"/>
      <c r="E1068" s="13" t="s">
        <v>66</v>
      </c>
      <c r="F1068" s="15">
        <v>40881.0</v>
      </c>
    </row>
    <row r="1069">
      <c r="A1069" s="5" t="s">
        <v>2191</v>
      </c>
      <c r="B1069" s="6" t="s">
        <v>2192</v>
      </c>
      <c r="C1069" s="6" t="s">
        <v>9</v>
      </c>
      <c r="D1069" s="8" t="s">
        <v>2193</v>
      </c>
      <c r="E1069" s="9" t="s">
        <v>2194</v>
      </c>
      <c r="F1069" s="23">
        <v>41165.0</v>
      </c>
    </row>
    <row r="1070">
      <c r="A1070" s="5" t="s">
        <v>2195</v>
      </c>
      <c r="B1070" s="6" t="s">
        <v>727</v>
      </c>
      <c r="C1070" s="7" t="s">
        <v>9</v>
      </c>
      <c r="D1070" s="8" t="s">
        <v>2196</v>
      </c>
      <c r="E1070" s="17"/>
      <c r="F1070" s="28">
        <v>41104.0</v>
      </c>
    </row>
    <row r="1071">
      <c r="A1071" s="11" t="s">
        <v>2197</v>
      </c>
      <c r="B1071" s="12"/>
      <c r="C1071" s="16" t="s">
        <v>9</v>
      </c>
      <c r="D1071" s="11" t="s">
        <v>2198</v>
      </c>
      <c r="E1071" s="13" t="s">
        <v>2181</v>
      </c>
      <c r="F1071" s="15">
        <v>40912.0</v>
      </c>
    </row>
    <row r="1072">
      <c r="A1072" s="11" t="s">
        <v>2199</v>
      </c>
      <c r="B1072" s="12"/>
      <c r="C1072" s="16" t="s">
        <v>9</v>
      </c>
      <c r="D1072" s="14"/>
      <c r="E1072" s="13" t="s">
        <v>66</v>
      </c>
      <c r="F1072" s="15">
        <v>40883.0</v>
      </c>
    </row>
    <row r="1073">
      <c r="A1073" s="11" t="s">
        <v>2200</v>
      </c>
      <c r="B1073" s="12"/>
      <c r="C1073" s="18" t="s">
        <v>19</v>
      </c>
      <c r="D1073" s="19" t="str">
        <f>HYPERLINK("http://store.heaveniphone.com/2011/10/pes-2012--pro-evolution-soccer.html","Full premium version here. Btw, FIFA 12 is much better.")</f>
        <v>Full premium version here. Btw, FIFA 12 is much better.</v>
      </c>
      <c r="E1073" s="13" t="s">
        <v>279</v>
      </c>
      <c r="F1073" s="15">
        <v>40826.0</v>
      </c>
    </row>
    <row r="1074">
      <c r="A1074" s="11" t="s">
        <v>2201</v>
      </c>
      <c r="B1074" s="12"/>
      <c r="C1074" s="18" t="s">
        <v>19</v>
      </c>
      <c r="D1074" s="11" t="s">
        <v>2202</v>
      </c>
      <c r="E1074" s="17"/>
      <c r="F1074" s="20"/>
    </row>
    <row r="1075">
      <c r="A1075" s="11" t="s">
        <v>2203</v>
      </c>
      <c r="B1075" s="12"/>
      <c r="C1075" s="16" t="s">
        <v>9</v>
      </c>
      <c r="D1075" s="11" t="s">
        <v>2204</v>
      </c>
      <c r="E1075" s="13" t="s">
        <v>315</v>
      </c>
      <c r="F1075" s="15">
        <v>40908.0</v>
      </c>
    </row>
    <row r="1076">
      <c r="A1076" s="11" t="s">
        <v>2205</v>
      </c>
      <c r="B1076" s="12"/>
      <c r="C1076" s="16" t="s">
        <v>9</v>
      </c>
      <c r="D1076" s="11" t="s">
        <v>2206</v>
      </c>
      <c r="E1076" s="13" t="s">
        <v>387</v>
      </c>
      <c r="F1076" s="15">
        <v>40896.0</v>
      </c>
    </row>
    <row r="1077">
      <c r="A1077" s="11" t="s">
        <v>2207</v>
      </c>
      <c r="B1077" s="12"/>
      <c r="C1077" s="16" t="s">
        <v>9</v>
      </c>
      <c r="D1077" s="14"/>
      <c r="E1077" s="17"/>
      <c r="F1077" s="20"/>
    </row>
    <row r="1078">
      <c r="A1078" s="11" t="s">
        <v>2208</v>
      </c>
      <c r="B1078" s="12"/>
      <c r="C1078" s="18" t="s">
        <v>19</v>
      </c>
      <c r="D1078" s="14"/>
      <c r="E1078" s="17"/>
      <c r="F1078" s="20"/>
    </row>
    <row r="1079">
      <c r="A1079" s="11" t="s">
        <v>2209</v>
      </c>
      <c r="B1079" s="13" t="s">
        <v>2036</v>
      </c>
      <c r="C1079" s="16" t="s">
        <v>9</v>
      </c>
      <c r="D1079" s="11" t="s">
        <v>2210</v>
      </c>
      <c r="E1079" s="13" t="s">
        <v>2211</v>
      </c>
      <c r="F1079" s="20"/>
    </row>
    <row r="1080">
      <c r="A1080" s="11" t="s">
        <v>2212</v>
      </c>
      <c r="B1080" s="12"/>
      <c r="C1080" s="13" t="s">
        <v>19</v>
      </c>
      <c r="D1080" s="11" t="s">
        <v>2213</v>
      </c>
      <c r="E1080" s="13" t="s">
        <v>1149</v>
      </c>
      <c r="F1080" s="15">
        <v>40946.0</v>
      </c>
    </row>
    <row r="1081">
      <c r="A1081" s="11" t="s">
        <v>2214</v>
      </c>
      <c r="B1081" s="12"/>
      <c r="C1081" s="13" t="s">
        <v>19</v>
      </c>
      <c r="D1081" s="11" t="s">
        <v>2215</v>
      </c>
      <c r="E1081" s="13" t="s">
        <v>87</v>
      </c>
      <c r="F1081" s="15">
        <v>40897.0</v>
      </c>
    </row>
    <row r="1082">
      <c r="A1082" s="11" t="s">
        <v>2216</v>
      </c>
      <c r="B1082" s="12"/>
      <c r="C1082" s="18" t="s">
        <v>19</v>
      </c>
      <c r="D1082" s="11" t="s">
        <v>2217</v>
      </c>
      <c r="E1082" s="13" t="s">
        <v>279</v>
      </c>
      <c r="F1082" s="15">
        <v>40799.7719907407</v>
      </c>
    </row>
    <row r="1083">
      <c r="A1083" s="11" t="s">
        <v>2218</v>
      </c>
      <c r="B1083" s="12"/>
      <c r="C1083" s="16" t="s">
        <v>9</v>
      </c>
      <c r="D1083" s="14"/>
      <c r="E1083" s="13" t="s">
        <v>2219</v>
      </c>
      <c r="F1083" s="20"/>
    </row>
    <row r="1084">
      <c r="A1084" s="11" t="s">
        <v>2220</v>
      </c>
      <c r="B1084" s="12"/>
      <c r="C1084" s="13" t="s">
        <v>9</v>
      </c>
      <c r="D1084" s="11" t="s">
        <v>1006</v>
      </c>
      <c r="E1084" s="13" t="s">
        <v>1007</v>
      </c>
      <c r="F1084" s="20"/>
    </row>
    <row r="1085">
      <c r="A1085" s="11" t="s">
        <v>2221</v>
      </c>
      <c r="B1085" s="12"/>
      <c r="C1085" s="16" t="s">
        <v>9</v>
      </c>
      <c r="D1085" s="14"/>
      <c r="E1085" s="13" t="s">
        <v>96</v>
      </c>
      <c r="F1085" s="15">
        <v>40876.0</v>
      </c>
    </row>
    <row r="1086">
      <c r="A1086" s="11" t="s">
        <v>2222</v>
      </c>
      <c r="B1086" s="13" t="s">
        <v>142</v>
      </c>
      <c r="C1086" s="13" t="s">
        <v>9</v>
      </c>
      <c r="D1086" s="11" t="s">
        <v>2223</v>
      </c>
      <c r="E1086" s="13" t="s">
        <v>629</v>
      </c>
      <c r="F1086" s="15">
        <v>40937.0</v>
      </c>
    </row>
    <row r="1087">
      <c r="A1087" s="11" t="s">
        <v>2224</v>
      </c>
      <c r="B1087" s="12"/>
      <c r="C1087" s="13" t="s">
        <v>9</v>
      </c>
      <c r="D1087" s="11" t="s">
        <v>2225</v>
      </c>
      <c r="E1087" s="13" t="s">
        <v>1535</v>
      </c>
      <c r="F1087" s="15">
        <v>40891.0</v>
      </c>
    </row>
    <row r="1088">
      <c r="A1088" s="11" t="s">
        <v>2226</v>
      </c>
      <c r="B1088" s="12"/>
      <c r="C1088" s="16" t="s">
        <v>9</v>
      </c>
      <c r="D1088" s="14"/>
      <c r="E1088" s="13" t="s">
        <v>175</v>
      </c>
      <c r="F1088" s="15">
        <v>40793.9138888889</v>
      </c>
    </row>
    <row r="1089">
      <c r="A1089" s="11" t="s">
        <v>2227</v>
      </c>
      <c r="B1089" s="12"/>
      <c r="C1089" s="18" t="s">
        <v>19</v>
      </c>
      <c r="D1089" s="14"/>
      <c r="E1089" s="17"/>
      <c r="F1089" s="20"/>
    </row>
    <row r="1090">
      <c r="A1090" s="5" t="s">
        <v>2228</v>
      </c>
      <c r="B1090" s="6">
        <v>2.03</v>
      </c>
      <c r="C1090" s="27" t="s">
        <v>19</v>
      </c>
      <c r="D1090" s="8" t="s">
        <v>2089</v>
      </c>
      <c r="E1090" s="9" t="s">
        <v>144</v>
      </c>
      <c r="F1090" s="23">
        <v>41161.0</v>
      </c>
    </row>
    <row r="1091">
      <c r="A1091" s="11" t="s">
        <v>2229</v>
      </c>
      <c r="B1091" s="12"/>
      <c r="C1091" s="13" t="s">
        <v>9</v>
      </c>
      <c r="D1091" s="11" t="s">
        <v>2230</v>
      </c>
      <c r="E1091" s="17"/>
      <c r="F1091" s="20"/>
    </row>
    <row r="1092">
      <c r="A1092" s="11" t="s">
        <v>2231</v>
      </c>
      <c r="B1092" s="12"/>
      <c r="C1092" s="16" t="s">
        <v>9</v>
      </c>
      <c r="D1092" s="14"/>
      <c r="E1092" s="13" t="s">
        <v>136</v>
      </c>
      <c r="F1092" s="15">
        <v>40794.0368055556</v>
      </c>
    </row>
    <row r="1093">
      <c r="A1093" s="11" t="s">
        <v>2232</v>
      </c>
      <c r="B1093" s="12"/>
      <c r="C1093" s="13" t="s">
        <v>9</v>
      </c>
      <c r="D1093" s="11" t="s">
        <v>2233</v>
      </c>
      <c r="E1093" s="13" t="s">
        <v>40</v>
      </c>
      <c r="F1093" s="20"/>
    </row>
    <row r="1094">
      <c r="A1094" s="11" t="s">
        <v>2234</v>
      </c>
      <c r="B1094" s="12"/>
      <c r="C1094" s="16" t="s">
        <v>9</v>
      </c>
      <c r="D1094" s="11" t="s">
        <v>2235</v>
      </c>
      <c r="E1094" s="13" t="s">
        <v>2236</v>
      </c>
      <c r="F1094" s="15">
        <v>40949.0</v>
      </c>
    </row>
    <row r="1095">
      <c r="A1095" s="11" t="s">
        <v>2237</v>
      </c>
      <c r="B1095" s="12"/>
      <c r="C1095" s="13" t="s">
        <v>19</v>
      </c>
      <c r="D1095" s="11" t="s">
        <v>2238</v>
      </c>
      <c r="E1095" s="13" t="s">
        <v>2239</v>
      </c>
      <c r="F1095" s="15">
        <v>40955.0</v>
      </c>
    </row>
    <row r="1096">
      <c r="A1096" s="11" t="s">
        <v>2240</v>
      </c>
      <c r="B1096" s="12"/>
      <c r="C1096" s="16" t="s">
        <v>9</v>
      </c>
      <c r="D1096" s="11" t="s">
        <v>2241</v>
      </c>
      <c r="E1096" s="13" t="s">
        <v>387</v>
      </c>
      <c r="F1096" s="15">
        <v>40896.0</v>
      </c>
    </row>
    <row r="1097">
      <c r="A1097" s="11" t="s">
        <v>2242</v>
      </c>
      <c r="B1097" s="12"/>
      <c r="C1097" s="16" t="s">
        <v>9</v>
      </c>
      <c r="D1097" s="11" t="s">
        <v>2243</v>
      </c>
      <c r="E1097" s="13" t="s">
        <v>432</v>
      </c>
      <c r="F1097" s="15">
        <v>40948.0</v>
      </c>
    </row>
    <row r="1098">
      <c r="A1098" s="11" t="s">
        <v>2244</v>
      </c>
      <c r="B1098" s="12"/>
      <c r="C1098" s="16" t="s">
        <v>9</v>
      </c>
      <c r="D1098" s="14"/>
      <c r="E1098" s="13" t="s">
        <v>170</v>
      </c>
      <c r="F1098" s="15">
        <v>40910.0</v>
      </c>
    </row>
    <row r="1099">
      <c r="A1099" s="11" t="s">
        <v>2245</v>
      </c>
      <c r="B1099" s="12"/>
      <c r="C1099" s="18" t="s">
        <v>19</v>
      </c>
      <c r="D1099" s="19" t="str">
        <f>HYPERLINK("http://idwaneo.org/repo","Open Cydia and add source http://idwaneo.org/repo, then search and install Rally-X Rumble DLC.")</f>
        <v>Open Cydia and add source http://idwaneo.org/repo, then search and install Rally-X Rumble DLC.</v>
      </c>
      <c r="E1099" s="17"/>
      <c r="F1099" s="20"/>
    </row>
    <row r="1100">
      <c r="A1100" s="11" t="s">
        <v>2246</v>
      </c>
      <c r="B1100" s="12"/>
      <c r="C1100" s="13" t="s">
        <v>9</v>
      </c>
      <c r="D1100" s="11" t="s">
        <v>2247</v>
      </c>
      <c r="E1100" s="13" t="s">
        <v>72</v>
      </c>
      <c r="F1100" s="15">
        <v>40922.0</v>
      </c>
    </row>
    <row r="1101">
      <c r="A1101" s="11" t="s">
        <v>2248</v>
      </c>
      <c r="B1101" s="12"/>
      <c r="C1101" s="13" t="s">
        <v>9</v>
      </c>
      <c r="D1101" s="11" t="s">
        <v>2249</v>
      </c>
      <c r="E1101" s="13" t="s">
        <v>2250</v>
      </c>
      <c r="F1101" s="15">
        <v>40955.0</v>
      </c>
    </row>
    <row r="1102">
      <c r="A1102" s="11" t="s">
        <v>2251</v>
      </c>
      <c r="B1102" s="12"/>
      <c r="C1102" s="18" t="s">
        <v>19</v>
      </c>
      <c r="D1102" s="14"/>
      <c r="E1102" s="17"/>
      <c r="F1102" s="20"/>
    </row>
    <row r="1103">
      <c r="A1103" s="11" t="s">
        <v>2252</v>
      </c>
      <c r="B1103" s="12"/>
      <c r="C1103" s="18" t="s">
        <v>19</v>
      </c>
      <c r="D1103" s="19" t="str">
        <f>HYPERLINK("http://xsellize.com/topic/175201-real-soccer-2012-hack/","Coin, cash hack can be found here.")</f>
        <v>Coin, cash hack can be found here.</v>
      </c>
      <c r="E1103" s="13" t="s">
        <v>2253</v>
      </c>
      <c r="F1103" s="15">
        <v>40919.0</v>
      </c>
    </row>
    <row r="1104">
      <c r="A1104" s="11" t="s">
        <v>2254</v>
      </c>
      <c r="B1104" s="12"/>
      <c r="C1104" s="18" t="s">
        <v>19</v>
      </c>
      <c r="D1104" s="19" t="str">
        <f>HYPERLINK("http://xsellize.com/topic/174140-real-racing-2/","Hack here (very easy)")</f>
        <v>Hack here (very easy)</v>
      </c>
      <c r="E1104" s="13" t="s">
        <v>2255</v>
      </c>
      <c r="F1104" s="15">
        <v>40910.0</v>
      </c>
    </row>
    <row r="1105">
      <c r="A1105" s="11" t="s">
        <v>2256</v>
      </c>
      <c r="B1105" s="12"/>
      <c r="C1105" s="18" t="s">
        <v>19</v>
      </c>
      <c r="D1105" s="19" t="str">
        <f>HYPERLINK("http://xsellize.com/topic/175201-real-soccer-2012-hack/","Hack here (save hack)")</f>
        <v>Hack here (save hack)</v>
      </c>
      <c r="E1105" s="17"/>
      <c r="F1105" s="20"/>
    </row>
    <row r="1106">
      <c r="A1106" s="11" t="s">
        <v>2257</v>
      </c>
      <c r="B1106" s="12"/>
      <c r="C1106" s="13" t="s">
        <v>19</v>
      </c>
      <c r="D1106" s="19" t="str">
        <f>HYPERLINK("http://idwaneo.org/repo","Open Cydia and add source http://idwaneo.org/repo, then search and install Real Steel DLC.")</f>
        <v>Open Cydia and add source http://idwaneo.org/repo, then search and install Real Steel DLC.</v>
      </c>
      <c r="E1106" s="17"/>
      <c r="F1106" s="20"/>
    </row>
    <row r="1107">
      <c r="A1107" s="11" t="s">
        <v>2258</v>
      </c>
      <c r="B1107" s="12"/>
      <c r="C1107" s="13" t="s">
        <v>9</v>
      </c>
      <c r="D1107" s="14"/>
      <c r="E1107" s="13" t="s">
        <v>96</v>
      </c>
      <c r="F1107" s="15">
        <v>40903.0</v>
      </c>
    </row>
    <row r="1108">
      <c r="A1108" s="11" t="s">
        <v>2259</v>
      </c>
      <c r="B1108" s="12"/>
      <c r="C1108" s="16" t="s">
        <v>9</v>
      </c>
      <c r="D1108" s="14"/>
      <c r="E1108" s="17"/>
      <c r="F1108" s="20"/>
    </row>
    <row r="1109">
      <c r="A1109" s="11" t="s">
        <v>2260</v>
      </c>
      <c r="B1109" s="12"/>
      <c r="C1109" s="16" t="s">
        <v>9</v>
      </c>
      <c r="D1109" s="14"/>
      <c r="E1109" s="13" t="s">
        <v>2261</v>
      </c>
      <c r="F1109" s="15">
        <v>40944.0</v>
      </c>
    </row>
    <row r="1110">
      <c r="A1110" s="11" t="s">
        <v>2262</v>
      </c>
      <c r="B1110" s="12"/>
      <c r="C1110" s="16" t="s">
        <v>9</v>
      </c>
      <c r="D1110" s="11" t="s">
        <v>1477</v>
      </c>
      <c r="E1110" s="13" t="s">
        <v>2263</v>
      </c>
      <c r="F1110" s="15">
        <v>40897.0</v>
      </c>
    </row>
    <row r="1111">
      <c r="A1111" s="11" t="s">
        <v>2264</v>
      </c>
      <c r="B1111" s="12"/>
      <c r="C1111" s="16" t="s">
        <v>9</v>
      </c>
      <c r="D1111" s="14"/>
      <c r="E1111" s="13" t="s">
        <v>585</v>
      </c>
      <c r="F1111" s="15">
        <v>40905.0</v>
      </c>
    </row>
    <row r="1112">
      <c r="A1112" s="11" t="s">
        <v>2265</v>
      </c>
      <c r="B1112" s="12"/>
      <c r="C1112" s="16" t="s">
        <v>9</v>
      </c>
      <c r="D1112" s="14"/>
      <c r="E1112" s="13" t="s">
        <v>585</v>
      </c>
      <c r="F1112" s="15">
        <v>40905.0</v>
      </c>
    </row>
    <row r="1113">
      <c r="A1113" s="11" t="s">
        <v>2266</v>
      </c>
      <c r="B1113" s="12"/>
      <c r="C1113" s="16" t="s">
        <v>19</v>
      </c>
      <c r="D1113" s="11" t="s">
        <v>895</v>
      </c>
      <c r="E1113" s="13" t="s">
        <v>54</v>
      </c>
      <c r="F1113" s="15">
        <v>40946.0</v>
      </c>
    </row>
    <row r="1114">
      <c r="A1114" s="11" t="s">
        <v>2267</v>
      </c>
      <c r="B1114" s="12"/>
      <c r="C1114" s="18" t="s">
        <v>19</v>
      </c>
      <c r="D1114" s="11" t="s">
        <v>2268</v>
      </c>
      <c r="E1114" s="13" t="s">
        <v>432</v>
      </c>
      <c r="F1114" s="15">
        <v>40927.0</v>
      </c>
    </row>
    <row r="1115">
      <c r="A1115" s="11" t="s">
        <v>2269</v>
      </c>
      <c r="B1115" s="12"/>
      <c r="C1115" s="16" t="s">
        <v>9</v>
      </c>
      <c r="D1115" s="11" t="s">
        <v>2270</v>
      </c>
      <c r="E1115" s="13" t="s">
        <v>466</v>
      </c>
      <c r="F1115" s="15">
        <v>40952.0</v>
      </c>
    </row>
    <row r="1116">
      <c r="A1116" s="11" t="s">
        <v>2271</v>
      </c>
      <c r="B1116" s="12"/>
      <c r="C1116" s="16" t="s">
        <v>9</v>
      </c>
      <c r="D1116" s="14"/>
      <c r="E1116" s="17"/>
      <c r="F1116" s="20"/>
    </row>
    <row r="1117">
      <c r="A1117" s="11" t="s">
        <v>2272</v>
      </c>
      <c r="B1117" s="12"/>
      <c r="C1117" s="16" t="s">
        <v>9</v>
      </c>
      <c r="D1117" s="14"/>
      <c r="E1117" s="13" t="s">
        <v>106</v>
      </c>
      <c r="F1117" s="15">
        <v>40923.0</v>
      </c>
    </row>
    <row r="1118">
      <c r="A1118" s="11" t="s">
        <v>2273</v>
      </c>
      <c r="B1118" s="12"/>
      <c r="C1118" s="16" t="s">
        <v>9</v>
      </c>
      <c r="D1118" s="11" t="s">
        <v>2274</v>
      </c>
      <c r="E1118" s="13" t="s">
        <v>1186</v>
      </c>
      <c r="F1118" s="15">
        <v>40937.0</v>
      </c>
    </row>
    <row r="1119">
      <c r="A1119" s="11" t="s">
        <v>2275</v>
      </c>
      <c r="B1119" s="12"/>
      <c r="C1119" s="18" t="s">
        <v>19</v>
      </c>
      <c r="D1119" s="14"/>
      <c r="E1119" s="17"/>
      <c r="F1119" s="20"/>
    </row>
    <row r="1120">
      <c r="A1120" s="11" t="s">
        <v>2276</v>
      </c>
      <c r="B1120" s="12"/>
      <c r="C1120" s="18" t="s">
        <v>19</v>
      </c>
      <c r="D1120" s="14"/>
      <c r="E1120" s="17"/>
      <c r="F1120" s="20"/>
    </row>
    <row r="1121">
      <c r="A1121" s="11" t="s">
        <v>2277</v>
      </c>
      <c r="B1121" s="12"/>
      <c r="C1121" s="18" t="s">
        <v>19</v>
      </c>
      <c r="D1121" s="11" t="s">
        <v>2278</v>
      </c>
      <c r="E1121" s="17"/>
      <c r="F1121" s="20"/>
    </row>
    <row r="1122">
      <c r="A1122" s="11" t="s">
        <v>2279</v>
      </c>
      <c r="B1122" s="12"/>
      <c r="C1122" s="13" t="s">
        <v>9</v>
      </c>
      <c r="D1122" s="11" t="s">
        <v>39</v>
      </c>
      <c r="E1122" s="13" t="s">
        <v>40</v>
      </c>
      <c r="F1122" s="20"/>
    </row>
    <row r="1123">
      <c r="A1123" s="11" t="s">
        <v>2280</v>
      </c>
      <c r="B1123" s="12"/>
      <c r="C1123" s="13" t="s">
        <v>120</v>
      </c>
      <c r="D1123" s="11" t="s">
        <v>2281</v>
      </c>
      <c r="E1123" s="13" t="s">
        <v>1195</v>
      </c>
      <c r="F1123" s="15">
        <v>40931.0</v>
      </c>
    </row>
    <row r="1124">
      <c r="A1124" s="11" t="s">
        <v>2282</v>
      </c>
      <c r="B1124" s="12"/>
      <c r="C1124" s="16" t="s">
        <v>9</v>
      </c>
      <c r="D1124" s="11" t="s">
        <v>2283</v>
      </c>
      <c r="E1124" s="13" t="s">
        <v>66</v>
      </c>
      <c r="F1124" s="15">
        <v>40885.0</v>
      </c>
    </row>
    <row r="1125">
      <c r="A1125" s="11" t="s">
        <v>2284</v>
      </c>
      <c r="B1125" s="12"/>
      <c r="C1125" s="13" t="s">
        <v>9</v>
      </c>
      <c r="D1125" s="11" t="s">
        <v>976</v>
      </c>
      <c r="E1125" s="13" t="s">
        <v>203</v>
      </c>
      <c r="F1125" s="15">
        <v>40915.0</v>
      </c>
    </row>
    <row r="1126">
      <c r="A1126" s="11" t="s">
        <v>2285</v>
      </c>
      <c r="B1126" s="12"/>
      <c r="C1126" s="13" t="s">
        <v>9</v>
      </c>
      <c r="D1126" s="11" t="s">
        <v>1324</v>
      </c>
      <c r="E1126" s="13" t="s">
        <v>50</v>
      </c>
      <c r="F1126" s="15">
        <v>40901.0</v>
      </c>
    </row>
    <row r="1127">
      <c r="A1127" s="11" t="s">
        <v>2286</v>
      </c>
      <c r="B1127" s="12"/>
      <c r="C1127" s="13" t="s">
        <v>9</v>
      </c>
      <c r="D1127" s="11" t="s">
        <v>2287</v>
      </c>
      <c r="E1127" s="13" t="s">
        <v>2288</v>
      </c>
      <c r="F1127" s="15">
        <v>40887.0</v>
      </c>
    </row>
    <row r="1128">
      <c r="A1128" s="11" t="s">
        <v>2289</v>
      </c>
      <c r="B1128" s="12"/>
      <c r="C1128" s="18" t="s">
        <v>19</v>
      </c>
      <c r="D1128" s="11" t="s">
        <v>2290</v>
      </c>
      <c r="E1128" s="13" t="s">
        <v>50</v>
      </c>
      <c r="F1128" s="15">
        <v>40899.0</v>
      </c>
    </row>
    <row r="1129">
      <c r="A1129" s="11" t="s">
        <v>2291</v>
      </c>
      <c r="B1129" s="12"/>
      <c r="C1129" s="13" t="s">
        <v>9</v>
      </c>
      <c r="D1129" s="11" t="s">
        <v>2292</v>
      </c>
      <c r="E1129" s="13" t="s">
        <v>559</v>
      </c>
      <c r="F1129" s="15">
        <v>40887.0</v>
      </c>
    </row>
    <row r="1130">
      <c r="A1130" s="11" t="s">
        <v>2293</v>
      </c>
      <c r="B1130" s="12"/>
      <c r="C1130" s="16" t="s">
        <v>9</v>
      </c>
      <c r="D1130" s="14"/>
      <c r="E1130" s="17"/>
      <c r="F1130" s="20"/>
    </row>
    <row r="1131">
      <c r="A1131" s="11" t="s">
        <v>2294</v>
      </c>
      <c r="B1131" s="13">
        <v>1.2</v>
      </c>
      <c r="C1131" s="16" t="s">
        <v>9</v>
      </c>
      <c r="D1131" s="11" t="s">
        <v>2295</v>
      </c>
      <c r="E1131" s="13" t="s">
        <v>54</v>
      </c>
      <c r="F1131" s="15">
        <v>40933.0</v>
      </c>
    </row>
    <row r="1132">
      <c r="A1132" s="5" t="s">
        <v>2296</v>
      </c>
      <c r="B1132" s="12"/>
      <c r="C1132" s="6" t="s">
        <v>9</v>
      </c>
      <c r="D1132" s="8" t="s">
        <v>1921</v>
      </c>
      <c r="E1132" s="9" t="s">
        <v>2297</v>
      </c>
      <c r="F1132" s="23">
        <v>41157.0</v>
      </c>
    </row>
    <row r="1133">
      <c r="A1133" s="11" t="s">
        <v>2298</v>
      </c>
      <c r="B1133" s="12"/>
      <c r="C1133" s="18" t="s">
        <v>19</v>
      </c>
      <c r="D1133" s="14"/>
      <c r="E1133" s="17"/>
      <c r="F1133" s="20"/>
    </row>
    <row r="1134">
      <c r="A1134" s="11" t="s">
        <v>2299</v>
      </c>
      <c r="B1134" s="12"/>
      <c r="C1134" s="16" t="s">
        <v>9</v>
      </c>
      <c r="D1134" s="11" t="s">
        <v>1221</v>
      </c>
      <c r="E1134" s="13" t="s">
        <v>1473</v>
      </c>
      <c r="F1134" s="15">
        <v>40927.0</v>
      </c>
    </row>
    <row r="1135">
      <c r="A1135" s="11" t="s">
        <v>2300</v>
      </c>
      <c r="B1135" s="12"/>
      <c r="C1135" s="18" t="s">
        <v>19</v>
      </c>
      <c r="D1135" s="14"/>
      <c r="E1135" s="17"/>
      <c r="F1135" s="20"/>
    </row>
    <row r="1136">
      <c r="A1136" s="11" t="s">
        <v>2301</v>
      </c>
      <c r="B1136" s="12"/>
      <c r="C1136" s="13" t="s">
        <v>9</v>
      </c>
      <c r="D1136" s="14"/>
      <c r="E1136" s="13" t="s">
        <v>1900</v>
      </c>
      <c r="F1136" s="15">
        <v>40947.0</v>
      </c>
    </row>
    <row r="1137">
      <c r="A1137" s="11" t="s">
        <v>2302</v>
      </c>
      <c r="B1137" s="12"/>
      <c r="C1137" s="13" t="s">
        <v>9</v>
      </c>
      <c r="D1137" s="11" t="s">
        <v>2303</v>
      </c>
      <c r="E1137" s="13" t="s">
        <v>2304</v>
      </c>
      <c r="F1137" s="15">
        <v>40892.0</v>
      </c>
    </row>
    <row r="1138">
      <c r="A1138" s="11" t="s">
        <v>2305</v>
      </c>
      <c r="B1138" s="12"/>
      <c r="C1138" s="16" t="s">
        <v>9</v>
      </c>
      <c r="D1138" s="11" t="s">
        <v>2306</v>
      </c>
      <c r="E1138" s="13" t="s">
        <v>1354</v>
      </c>
      <c r="F1138" s="15">
        <v>40877.0</v>
      </c>
    </row>
    <row r="1139">
      <c r="A1139" s="11" t="s">
        <v>2307</v>
      </c>
      <c r="B1139" s="12"/>
      <c r="C1139" s="16" t="s">
        <v>9</v>
      </c>
      <c r="D1139" s="11" t="s">
        <v>2308</v>
      </c>
      <c r="E1139" s="13" t="s">
        <v>66</v>
      </c>
      <c r="F1139" s="15">
        <v>40897.0</v>
      </c>
    </row>
    <row r="1140">
      <c r="A1140" s="11" t="s">
        <v>2309</v>
      </c>
      <c r="B1140" s="12"/>
      <c r="C1140" s="16" t="s">
        <v>2310</v>
      </c>
      <c r="D1140" s="11" t="s">
        <v>2311</v>
      </c>
      <c r="E1140" s="17"/>
      <c r="F1140" s="20"/>
    </row>
    <row r="1141">
      <c r="A1141" s="11" t="s">
        <v>2312</v>
      </c>
      <c r="B1141" s="12"/>
      <c r="C1141" s="16" t="s">
        <v>9</v>
      </c>
      <c r="D1141" s="11" t="s">
        <v>2313</v>
      </c>
      <c r="E1141" s="13" t="s">
        <v>2314</v>
      </c>
      <c r="F1141" s="15">
        <v>40907.0</v>
      </c>
    </row>
    <row r="1142">
      <c r="A1142" s="11" t="s">
        <v>2315</v>
      </c>
      <c r="B1142" s="12"/>
      <c r="C1142" s="13" t="s">
        <v>9</v>
      </c>
      <c r="D1142" s="14"/>
      <c r="E1142" s="17"/>
      <c r="F1142" s="20"/>
    </row>
    <row r="1143">
      <c r="A1143" s="11" t="s">
        <v>2316</v>
      </c>
      <c r="B1143" s="12"/>
      <c r="C1143" s="13" t="s">
        <v>9</v>
      </c>
      <c r="D1143" s="11" t="s">
        <v>2317</v>
      </c>
      <c r="E1143" s="13" t="s">
        <v>13</v>
      </c>
      <c r="F1143" s="15">
        <v>40928.0</v>
      </c>
    </row>
    <row r="1144">
      <c r="A1144" s="11" t="s">
        <v>2318</v>
      </c>
      <c r="B1144" s="12"/>
      <c r="C1144" s="13" t="s">
        <v>9</v>
      </c>
      <c r="D1144" s="11" t="s">
        <v>2319</v>
      </c>
      <c r="E1144" s="13" t="s">
        <v>72</v>
      </c>
      <c r="F1144" s="15">
        <v>40918.0</v>
      </c>
    </row>
    <row r="1145">
      <c r="A1145" s="11" t="s">
        <v>2320</v>
      </c>
      <c r="B1145" s="12"/>
      <c r="C1145" s="16" t="s">
        <v>9</v>
      </c>
      <c r="D1145" s="11" t="s">
        <v>2321</v>
      </c>
      <c r="E1145" s="13" t="s">
        <v>2322</v>
      </c>
      <c r="F1145" s="15">
        <v>40926.0</v>
      </c>
    </row>
    <row r="1146">
      <c r="A1146" s="11" t="s">
        <v>2323</v>
      </c>
      <c r="B1146" s="12"/>
      <c r="C1146" s="13" t="s">
        <v>19</v>
      </c>
      <c r="D1146" s="11" t="s">
        <v>2324</v>
      </c>
      <c r="E1146" s="13" t="s">
        <v>461</v>
      </c>
      <c r="F1146" s="15">
        <v>40946.0</v>
      </c>
    </row>
    <row r="1147">
      <c r="A1147" s="11" t="s">
        <v>2325</v>
      </c>
      <c r="B1147" s="12"/>
      <c r="C1147" s="16" t="s">
        <v>9</v>
      </c>
      <c r="D1147" s="11" t="s">
        <v>1279</v>
      </c>
      <c r="E1147" s="13" t="s">
        <v>400</v>
      </c>
      <c r="F1147" s="15">
        <v>40898.0</v>
      </c>
    </row>
    <row r="1148">
      <c r="A1148" s="11" t="s">
        <v>2326</v>
      </c>
      <c r="B1148" s="12"/>
      <c r="C1148" s="18" t="s">
        <v>19</v>
      </c>
      <c r="D1148" s="14"/>
      <c r="E1148" s="13" t="s">
        <v>66</v>
      </c>
      <c r="F1148" s="15">
        <v>40881.0</v>
      </c>
    </row>
    <row r="1149">
      <c r="A1149" s="11" t="s">
        <v>2327</v>
      </c>
      <c r="B1149" s="12"/>
      <c r="C1149" s="18" t="s">
        <v>19</v>
      </c>
      <c r="D1149" s="14"/>
      <c r="E1149" s="17"/>
      <c r="F1149" s="20"/>
    </row>
    <row r="1150">
      <c r="A1150" s="11" t="s">
        <v>2328</v>
      </c>
      <c r="B1150" s="12"/>
      <c r="C1150" s="16" t="s">
        <v>9</v>
      </c>
      <c r="D1150" s="14"/>
      <c r="E1150" s="13" t="s">
        <v>521</v>
      </c>
      <c r="F1150" s="15">
        <v>40920.0</v>
      </c>
    </row>
    <row r="1151">
      <c r="A1151" s="11" t="s">
        <v>2329</v>
      </c>
      <c r="B1151" s="12"/>
      <c r="C1151" s="16" t="s">
        <v>9</v>
      </c>
      <c r="D1151" s="11" t="s">
        <v>2330</v>
      </c>
      <c r="E1151" s="13" t="s">
        <v>596</v>
      </c>
      <c r="F1151" s="15">
        <v>40913.0</v>
      </c>
    </row>
    <row r="1152">
      <c r="A1152" s="11" t="s">
        <v>2331</v>
      </c>
      <c r="B1152" s="12"/>
      <c r="C1152" s="16" t="s">
        <v>9</v>
      </c>
      <c r="D1152" s="11" t="s">
        <v>2332</v>
      </c>
      <c r="E1152" s="13" t="s">
        <v>2333</v>
      </c>
      <c r="F1152" s="15">
        <v>40882.0</v>
      </c>
    </row>
    <row r="1153">
      <c r="A1153" s="11" t="s">
        <v>2334</v>
      </c>
      <c r="B1153" s="12"/>
      <c r="C1153" s="18" t="s">
        <v>19</v>
      </c>
      <c r="D1153" s="11" t="s">
        <v>2335</v>
      </c>
      <c r="E1153" s="13" t="s">
        <v>1723</v>
      </c>
      <c r="F1153" s="15">
        <v>40882.0</v>
      </c>
    </row>
    <row r="1154">
      <c r="A1154" s="11" t="s">
        <v>2336</v>
      </c>
      <c r="B1154" s="12"/>
      <c r="C1154" s="16" t="s">
        <v>9</v>
      </c>
      <c r="D1154" s="14"/>
      <c r="E1154" s="13" t="s">
        <v>66</v>
      </c>
      <c r="F1154" s="15">
        <v>40905.0</v>
      </c>
    </row>
    <row r="1155">
      <c r="A1155" s="11" t="s">
        <v>2337</v>
      </c>
      <c r="B1155" s="12"/>
      <c r="C1155" s="16" t="s">
        <v>9</v>
      </c>
      <c r="D1155" s="11" t="s">
        <v>2338</v>
      </c>
      <c r="E1155" s="13" t="s">
        <v>2322</v>
      </c>
      <c r="F1155" s="15">
        <v>40926.0</v>
      </c>
    </row>
    <row r="1156">
      <c r="A1156" s="11" t="s">
        <v>2339</v>
      </c>
      <c r="B1156" s="12"/>
      <c r="C1156" s="13" t="s">
        <v>9</v>
      </c>
      <c r="D1156" s="14"/>
      <c r="E1156" s="13" t="s">
        <v>2340</v>
      </c>
      <c r="F1156" s="15">
        <v>40938.0</v>
      </c>
    </row>
    <row r="1157">
      <c r="A1157" s="11" t="s">
        <v>2341</v>
      </c>
      <c r="B1157" s="12"/>
      <c r="C1157" s="16" t="s">
        <v>19</v>
      </c>
      <c r="D1157" s="14"/>
      <c r="E1157" s="17"/>
      <c r="F1157" s="20"/>
    </row>
    <row r="1158">
      <c r="A1158" s="11" t="s">
        <v>2342</v>
      </c>
      <c r="B1158" s="12"/>
      <c r="C1158" s="18" t="s">
        <v>19</v>
      </c>
      <c r="D1158" s="11" t="s">
        <v>2343</v>
      </c>
      <c r="E1158" s="13" t="s">
        <v>2344</v>
      </c>
      <c r="F1158" s="15">
        <v>40928.0</v>
      </c>
    </row>
    <row r="1159">
      <c r="A1159" s="11" t="s">
        <v>2345</v>
      </c>
      <c r="B1159" s="12"/>
      <c r="C1159" s="16" t="s">
        <v>9</v>
      </c>
      <c r="D1159" s="11" t="s">
        <v>2346</v>
      </c>
      <c r="E1159" s="13" t="s">
        <v>66</v>
      </c>
      <c r="F1159" s="15">
        <v>40884.0</v>
      </c>
    </row>
    <row r="1160">
      <c r="A1160" s="11" t="s">
        <v>2347</v>
      </c>
      <c r="B1160" s="12"/>
      <c r="C1160" s="18" t="s">
        <v>19</v>
      </c>
      <c r="D1160" s="19" t="str">
        <f>HYPERLINK("http://idwaneo.org/repo","Open Cydia and add source http://idwaneo.org/repo, then search and install Scribblenauts DLC.")</f>
        <v>Open Cydia and add source http://idwaneo.org/repo, then search and install Scribblenauts DLC.</v>
      </c>
      <c r="E1160" s="13" t="s">
        <v>184</v>
      </c>
      <c r="F1160" s="15">
        <v>40927.0</v>
      </c>
    </row>
    <row r="1161">
      <c r="A1161" s="11" t="s">
        <v>2348</v>
      </c>
      <c r="B1161" s="12"/>
      <c r="C1161" s="16" t="s">
        <v>9</v>
      </c>
      <c r="D1161" s="11" t="s">
        <v>2349</v>
      </c>
      <c r="E1161" s="13" t="s">
        <v>2350</v>
      </c>
      <c r="F1161" s="15">
        <v>40945.0</v>
      </c>
    </row>
    <row r="1162">
      <c r="A1162" s="11" t="s">
        <v>2351</v>
      </c>
      <c r="B1162" s="12"/>
      <c r="C1162" s="16" t="s">
        <v>9</v>
      </c>
      <c r="D1162" s="11" t="s">
        <v>2352</v>
      </c>
      <c r="E1162" s="13" t="s">
        <v>23</v>
      </c>
      <c r="F1162" s="15">
        <v>40926.0</v>
      </c>
    </row>
    <row r="1163">
      <c r="A1163" s="11" t="s">
        <v>2353</v>
      </c>
      <c r="B1163" s="12"/>
      <c r="C1163" s="13" t="s">
        <v>19</v>
      </c>
      <c r="D1163" s="11" t="s">
        <v>2354</v>
      </c>
      <c r="E1163" s="13" t="s">
        <v>2355</v>
      </c>
      <c r="F1163" s="15">
        <v>40937.0</v>
      </c>
    </row>
    <row r="1164">
      <c r="A1164" s="29" t="s">
        <v>2353</v>
      </c>
      <c r="B1164" s="12"/>
      <c r="C1164" s="27" t="s">
        <v>19</v>
      </c>
      <c r="D1164" s="8" t="s">
        <v>2356</v>
      </c>
      <c r="E1164" s="6" t="s">
        <v>274</v>
      </c>
      <c r="F1164" s="28">
        <v>41013.0</v>
      </c>
    </row>
    <row r="1165">
      <c r="A1165" s="11" t="s">
        <v>2357</v>
      </c>
      <c r="B1165" s="12"/>
      <c r="C1165" s="16" t="s">
        <v>9</v>
      </c>
      <c r="D1165" s="11" t="s">
        <v>2358</v>
      </c>
      <c r="E1165" s="13" t="s">
        <v>606</v>
      </c>
      <c r="F1165" s="15">
        <v>40923.0</v>
      </c>
    </row>
    <row r="1166">
      <c r="A1166" s="11" t="s">
        <v>2359</v>
      </c>
      <c r="B1166" s="13" t="s">
        <v>500</v>
      </c>
      <c r="C1166" s="16" t="s">
        <v>9</v>
      </c>
      <c r="D1166" s="11" t="s">
        <v>2360</v>
      </c>
      <c r="E1166" s="13" t="s">
        <v>781</v>
      </c>
      <c r="F1166" s="22">
        <v>40960.0</v>
      </c>
    </row>
    <row r="1167">
      <c r="A1167" s="11" t="s">
        <v>2361</v>
      </c>
      <c r="B1167" s="12"/>
      <c r="C1167" s="18" t="s">
        <v>19</v>
      </c>
      <c r="D1167" s="11" t="s">
        <v>2362</v>
      </c>
      <c r="E1167" s="17"/>
      <c r="F1167" s="15">
        <v>40883.0</v>
      </c>
    </row>
    <row r="1168">
      <c r="A1168" s="11" t="s">
        <v>2363</v>
      </c>
      <c r="B1168" s="12"/>
      <c r="C1168" s="18" t="s">
        <v>19</v>
      </c>
      <c r="D1168" s="19" t="str">
        <f>HYPERLINK("http://www.icheats.org/forum/index.php?/topic/5210-diy-sentinel-3-homeworld-v-130-hack-for-non-jailbroken-and-jailbroken-idevices/","Hack can be found here")</f>
        <v>Hack can be found here</v>
      </c>
      <c r="E1168" s="13" t="s">
        <v>72</v>
      </c>
      <c r="F1168" s="15">
        <v>40918.0</v>
      </c>
    </row>
    <row r="1169">
      <c r="A1169" s="21" t="s">
        <v>2364</v>
      </c>
      <c r="B1169" s="26" t="s">
        <v>2365</v>
      </c>
      <c r="C1169" s="13" t="s">
        <v>1190</v>
      </c>
      <c r="D1169" s="11" t="s">
        <v>2366</v>
      </c>
      <c r="E1169" s="13" t="s">
        <v>160</v>
      </c>
      <c r="F1169" s="22">
        <v>40963.0</v>
      </c>
    </row>
    <row r="1170">
      <c r="A1170" s="11" t="s">
        <v>2367</v>
      </c>
      <c r="B1170" s="12"/>
      <c r="C1170" s="16" t="s">
        <v>9</v>
      </c>
      <c r="D1170" s="11" t="s">
        <v>619</v>
      </c>
      <c r="E1170" s="13" t="s">
        <v>620</v>
      </c>
      <c r="F1170" s="15">
        <v>40944.0</v>
      </c>
    </row>
    <row r="1171">
      <c r="A1171" s="11" t="s">
        <v>2368</v>
      </c>
      <c r="B1171" s="12"/>
      <c r="C1171" s="16" t="s">
        <v>9</v>
      </c>
      <c r="D1171" s="11" t="s">
        <v>350</v>
      </c>
      <c r="E1171" s="13" t="s">
        <v>34</v>
      </c>
      <c r="F1171" s="15">
        <v>40909.0</v>
      </c>
    </row>
    <row r="1172">
      <c r="A1172" s="11" t="s">
        <v>2369</v>
      </c>
      <c r="B1172" s="12"/>
      <c r="C1172" s="18" t="s">
        <v>19</v>
      </c>
      <c r="D1172" s="11" t="s">
        <v>2370</v>
      </c>
      <c r="E1172" s="13" t="s">
        <v>66</v>
      </c>
      <c r="F1172" s="15">
        <v>40905.0</v>
      </c>
    </row>
    <row r="1173">
      <c r="A1173" s="11" t="s">
        <v>2371</v>
      </c>
      <c r="B1173" s="12"/>
      <c r="C1173" s="18" t="s">
        <v>2372</v>
      </c>
      <c r="D1173" s="11" t="s">
        <v>2373</v>
      </c>
      <c r="E1173" s="17"/>
      <c r="F1173" s="15">
        <v>40944.0</v>
      </c>
    </row>
    <row r="1174">
      <c r="A1174" s="11" t="s">
        <v>2374</v>
      </c>
      <c r="B1174" s="12"/>
      <c r="C1174" s="18" t="s">
        <v>19</v>
      </c>
      <c r="D1174" s="11" t="s">
        <v>2375</v>
      </c>
      <c r="E1174" s="13" t="s">
        <v>632</v>
      </c>
      <c r="F1174" s="15">
        <v>40875.0</v>
      </c>
    </row>
    <row r="1175">
      <c r="A1175" s="11" t="s">
        <v>2376</v>
      </c>
      <c r="B1175" s="12"/>
      <c r="C1175" s="13" t="s">
        <v>9</v>
      </c>
      <c r="D1175" s="11" t="s">
        <v>2377</v>
      </c>
      <c r="E1175" s="13" t="s">
        <v>944</v>
      </c>
      <c r="F1175" s="15">
        <v>40956.0</v>
      </c>
    </row>
    <row r="1176">
      <c r="A1176" s="11" t="s">
        <v>2378</v>
      </c>
      <c r="B1176" s="12"/>
      <c r="C1176" s="16" t="s">
        <v>9</v>
      </c>
      <c r="D1176" s="11" t="s">
        <v>2379</v>
      </c>
      <c r="E1176" s="13" t="s">
        <v>2122</v>
      </c>
      <c r="F1176" s="15">
        <v>40872.0</v>
      </c>
    </row>
    <row r="1177">
      <c r="A1177" s="11" t="s">
        <v>2380</v>
      </c>
      <c r="B1177" s="12"/>
      <c r="C1177" s="13" t="s">
        <v>9</v>
      </c>
      <c r="D1177" s="11" t="s">
        <v>2381</v>
      </c>
      <c r="E1177" s="13" t="s">
        <v>409</v>
      </c>
      <c r="F1177" s="15">
        <v>40953.0</v>
      </c>
    </row>
    <row r="1178">
      <c r="A1178" s="11" t="s">
        <v>2382</v>
      </c>
      <c r="B1178" s="12"/>
      <c r="C1178" s="18" t="s">
        <v>19</v>
      </c>
      <c r="D1178" s="11" t="s">
        <v>2383</v>
      </c>
      <c r="E1178" s="13" t="s">
        <v>96</v>
      </c>
      <c r="F1178" s="15">
        <v>40871.0</v>
      </c>
    </row>
    <row r="1179">
      <c r="A1179" s="11" t="s">
        <v>2384</v>
      </c>
      <c r="B1179" s="12"/>
      <c r="C1179" s="13" t="s">
        <v>9</v>
      </c>
      <c r="D1179" s="11" t="s">
        <v>2385</v>
      </c>
      <c r="E1179" s="13" t="s">
        <v>156</v>
      </c>
      <c r="F1179" s="15">
        <v>40920.0</v>
      </c>
    </row>
    <row r="1180">
      <c r="A1180" s="11" t="s">
        <v>2386</v>
      </c>
      <c r="B1180" s="12"/>
      <c r="C1180" s="18" t="s">
        <v>19</v>
      </c>
      <c r="D1180" s="11" t="s">
        <v>2387</v>
      </c>
      <c r="E1180" s="13" t="s">
        <v>54</v>
      </c>
      <c r="F1180" s="15">
        <v>40946.0</v>
      </c>
    </row>
    <row r="1181">
      <c r="A1181" s="11" t="s">
        <v>2388</v>
      </c>
      <c r="B1181" s="13">
        <v>1.4</v>
      </c>
      <c r="C1181" s="18" t="s">
        <v>981</v>
      </c>
      <c r="D1181" s="19" t="str">
        <f>HYPERLINK("http://www.icheats.org/forum/index.php?/topic/5463-sav-shoot-many-zombies-v12/unread/","1000000 coins, character hacks")</f>
        <v>1000000 coins, character hacks</v>
      </c>
      <c r="E1181" s="13" t="s">
        <v>2389</v>
      </c>
      <c r="F1181" s="22">
        <v>40937.0</v>
      </c>
    </row>
    <row r="1182">
      <c r="A1182" s="11" t="s">
        <v>2390</v>
      </c>
      <c r="B1182" s="12"/>
      <c r="C1182" s="13" t="s">
        <v>9</v>
      </c>
      <c r="D1182" s="11" t="s">
        <v>2391</v>
      </c>
      <c r="E1182" s="13" t="s">
        <v>2392</v>
      </c>
      <c r="F1182" s="15">
        <v>40917.0</v>
      </c>
    </row>
    <row r="1183">
      <c r="A1183" s="11" t="s">
        <v>2393</v>
      </c>
      <c r="B1183" s="13" t="s">
        <v>1823</v>
      </c>
      <c r="C1183" s="13" t="s">
        <v>9</v>
      </c>
      <c r="D1183" s="11" t="s">
        <v>2394</v>
      </c>
      <c r="E1183" s="13" t="s">
        <v>464</v>
      </c>
      <c r="F1183" s="22">
        <v>40959.0</v>
      </c>
    </row>
    <row r="1184">
      <c r="A1184" s="11" t="s">
        <v>2395</v>
      </c>
      <c r="B1184" s="12"/>
      <c r="C1184" s="18" t="s">
        <v>9</v>
      </c>
      <c r="D1184" s="14"/>
      <c r="E1184" s="17"/>
      <c r="F1184" s="20"/>
    </row>
    <row r="1185">
      <c r="A1185" s="11" t="s">
        <v>2396</v>
      </c>
      <c r="B1185" s="12"/>
      <c r="C1185" s="18" t="s">
        <v>9</v>
      </c>
      <c r="D1185" s="14"/>
      <c r="E1185" s="17"/>
      <c r="F1185" s="20"/>
    </row>
    <row r="1186">
      <c r="A1186" s="11" t="s">
        <v>2397</v>
      </c>
      <c r="B1186" s="12"/>
      <c r="C1186" s="18" t="s">
        <v>19</v>
      </c>
      <c r="D1186" s="19" t="str">
        <f>HYPERLINK("http://heaveniphone.com/iphone-kinh-nghiem-choi-game/45306-cap-nhat-god-mode-huong-dan-hack-silent-ops.html","God mode, ...Hack Here.")</f>
        <v>God mode, ...Hack Here.</v>
      </c>
      <c r="E1186" s="13" t="s">
        <v>50</v>
      </c>
      <c r="F1186" s="15">
        <v>40899.0</v>
      </c>
    </row>
    <row r="1187">
      <c r="A1187" s="11" t="s">
        <v>2398</v>
      </c>
      <c r="B1187" s="12"/>
      <c r="C1187" s="18" t="s">
        <v>19</v>
      </c>
      <c r="D1187" s="14"/>
      <c r="E1187" s="17"/>
      <c r="F1187" s="20"/>
    </row>
    <row r="1188">
      <c r="A1188" s="11" t="s">
        <v>2399</v>
      </c>
      <c r="B1188" s="12"/>
      <c r="C1188" s="13" t="s">
        <v>19</v>
      </c>
      <c r="D1188" s="19" t="str">
        <f>HYPERLINK("http://xsellize.com/topic/175372-six-guns-hack-v100/C645","Gold, stars, etc hack can be found here")</f>
        <v>Gold, stars, etc hack can be found here</v>
      </c>
      <c r="E1188" s="13" t="s">
        <v>2400</v>
      </c>
      <c r="F1188" s="15">
        <v>40919.0</v>
      </c>
    </row>
    <row r="1189">
      <c r="A1189" s="11" t="s">
        <v>2401</v>
      </c>
      <c r="B1189" s="12"/>
      <c r="C1189" s="16" t="s">
        <v>9</v>
      </c>
      <c r="D1189" s="11" t="s">
        <v>2402</v>
      </c>
      <c r="E1189" s="17"/>
      <c r="F1189" s="15">
        <v>40885.0</v>
      </c>
    </row>
    <row r="1190">
      <c r="A1190" s="11" t="s">
        <v>2403</v>
      </c>
      <c r="B1190" s="12"/>
      <c r="C1190" s="18" t="s">
        <v>19</v>
      </c>
      <c r="D1190" s="11" t="s">
        <v>2404</v>
      </c>
      <c r="E1190" s="17"/>
      <c r="F1190" s="20"/>
    </row>
    <row r="1191">
      <c r="A1191" s="11" t="s">
        <v>2405</v>
      </c>
      <c r="B1191" s="12"/>
      <c r="C1191" s="13" t="s">
        <v>9</v>
      </c>
      <c r="D1191" s="11" t="s">
        <v>2406</v>
      </c>
      <c r="E1191" s="13" t="s">
        <v>184</v>
      </c>
      <c r="F1191" s="15">
        <v>40927.0</v>
      </c>
    </row>
    <row r="1192">
      <c r="A1192" s="35" t="s">
        <v>2407</v>
      </c>
      <c r="B1192" s="12"/>
      <c r="C1192" s="6" t="s">
        <v>9</v>
      </c>
      <c r="D1192" s="8" t="s">
        <v>2408</v>
      </c>
      <c r="E1192" s="9" t="s">
        <v>1394</v>
      </c>
      <c r="F1192" s="23">
        <v>41157.0</v>
      </c>
    </row>
    <row r="1193">
      <c r="A1193" s="11" t="s">
        <v>2409</v>
      </c>
      <c r="B1193" s="12"/>
      <c r="C1193" s="18" t="s">
        <v>19</v>
      </c>
      <c r="D1193" s="14"/>
      <c r="E1193" s="17"/>
      <c r="F1193" s="20"/>
    </row>
    <row r="1194">
      <c r="A1194" s="11" t="s">
        <v>2410</v>
      </c>
      <c r="B1194" s="12"/>
      <c r="C1194" s="16" t="s">
        <v>9</v>
      </c>
      <c r="D1194" s="11" t="s">
        <v>2411</v>
      </c>
      <c r="E1194" s="13" t="s">
        <v>2412</v>
      </c>
      <c r="F1194" s="15">
        <v>40904.0</v>
      </c>
    </row>
    <row r="1195">
      <c r="A1195" s="11" t="s">
        <v>2413</v>
      </c>
      <c r="B1195" s="12"/>
      <c r="C1195" s="16" t="s">
        <v>9</v>
      </c>
      <c r="D1195" s="14"/>
      <c r="E1195" s="13" t="s">
        <v>66</v>
      </c>
      <c r="F1195" s="15">
        <v>40881.0</v>
      </c>
    </row>
    <row r="1196">
      <c r="A1196" s="11" t="s">
        <v>2414</v>
      </c>
      <c r="B1196" s="12"/>
      <c r="C1196" s="18" t="s">
        <v>19</v>
      </c>
      <c r="D1196" s="11" t="s">
        <v>2415</v>
      </c>
      <c r="E1196" s="13" t="s">
        <v>66</v>
      </c>
      <c r="F1196" s="15">
        <v>40885.0</v>
      </c>
    </row>
    <row r="1197">
      <c r="A1197" s="21" t="s">
        <v>2416</v>
      </c>
      <c r="B1197" s="13">
        <v>1.0</v>
      </c>
      <c r="C1197" s="16" t="s">
        <v>9</v>
      </c>
      <c r="D1197" s="11" t="s">
        <v>2417</v>
      </c>
      <c r="E1197" s="13" t="s">
        <v>2418</v>
      </c>
      <c r="F1197" s="22">
        <v>40964.0</v>
      </c>
    </row>
    <row r="1198">
      <c r="A1198" s="11" t="s">
        <v>2419</v>
      </c>
      <c r="B1198" s="12"/>
      <c r="C1198" s="13" t="s">
        <v>9</v>
      </c>
      <c r="D1198" s="11" t="s">
        <v>1279</v>
      </c>
      <c r="E1198" s="13" t="s">
        <v>203</v>
      </c>
      <c r="F1198" s="15">
        <v>40920.0</v>
      </c>
    </row>
    <row r="1199">
      <c r="A1199" s="5" t="s">
        <v>2420</v>
      </c>
      <c r="B1199" s="6" t="s">
        <v>777</v>
      </c>
      <c r="C1199" s="27" t="s">
        <v>19</v>
      </c>
      <c r="D1199" s="8" t="s">
        <v>368</v>
      </c>
      <c r="E1199" s="9" t="s">
        <v>2421</v>
      </c>
      <c r="F1199" s="23">
        <v>41166.0</v>
      </c>
    </row>
    <row r="1200">
      <c r="A1200" s="11" t="s">
        <v>2422</v>
      </c>
      <c r="B1200" s="12"/>
      <c r="C1200" s="18" t="s">
        <v>19</v>
      </c>
      <c r="D1200" s="14"/>
      <c r="E1200" s="17"/>
      <c r="F1200" s="20"/>
    </row>
    <row r="1201">
      <c r="A1201" s="5" t="s">
        <v>2423</v>
      </c>
      <c r="B1201" s="12"/>
      <c r="C1201" s="7" t="s">
        <v>9</v>
      </c>
      <c r="D1201" s="14"/>
      <c r="E1201" s="17"/>
      <c r="F1201" s="39"/>
    </row>
    <row r="1202">
      <c r="A1202" s="11" t="s">
        <v>2424</v>
      </c>
      <c r="B1202" s="6" t="s">
        <v>1823</v>
      </c>
      <c r="C1202" s="16" t="s">
        <v>9</v>
      </c>
      <c r="D1202" s="8" t="s">
        <v>2425</v>
      </c>
      <c r="E1202" s="13" t="s">
        <v>2426</v>
      </c>
      <c r="F1202" s="38" t="s">
        <v>1692</v>
      </c>
    </row>
    <row r="1203">
      <c r="A1203" s="11" t="s">
        <v>2427</v>
      </c>
      <c r="B1203" s="12"/>
      <c r="C1203" s="16" t="s">
        <v>9</v>
      </c>
      <c r="D1203" s="14"/>
      <c r="E1203" s="13" t="s">
        <v>96</v>
      </c>
      <c r="F1203" s="15">
        <v>40892.0</v>
      </c>
    </row>
    <row r="1204">
      <c r="A1204" s="11" t="s">
        <v>2428</v>
      </c>
      <c r="B1204" s="12"/>
      <c r="C1204" s="16" t="s">
        <v>9</v>
      </c>
      <c r="D1204" s="11" t="s">
        <v>1329</v>
      </c>
      <c r="E1204" s="13" t="s">
        <v>66</v>
      </c>
      <c r="F1204" s="15">
        <v>40885.0</v>
      </c>
    </row>
    <row r="1205">
      <c r="A1205" s="11" t="s">
        <v>2429</v>
      </c>
      <c r="B1205" s="12"/>
      <c r="C1205" s="13" t="s">
        <v>9</v>
      </c>
      <c r="D1205" s="11" t="s">
        <v>2430</v>
      </c>
      <c r="E1205" s="13" t="s">
        <v>551</v>
      </c>
      <c r="F1205" s="15">
        <v>40892.0</v>
      </c>
    </row>
    <row r="1206">
      <c r="A1206" s="11" t="s">
        <v>2431</v>
      </c>
      <c r="B1206" s="12"/>
      <c r="C1206" s="16" t="s">
        <v>9</v>
      </c>
      <c r="D1206" s="14"/>
      <c r="E1206" s="17"/>
      <c r="F1206" s="15">
        <v>40875.0</v>
      </c>
    </row>
    <row r="1207">
      <c r="A1207" s="11" t="s">
        <v>2432</v>
      </c>
      <c r="B1207" s="12"/>
      <c r="C1207" s="16" t="s">
        <v>9</v>
      </c>
      <c r="D1207" s="14"/>
      <c r="E1207" s="17"/>
      <c r="F1207" s="15">
        <v>40871.0</v>
      </c>
    </row>
    <row r="1208">
      <c r="A1208" s="11" t="s">
        <v>2433</v>
      </c>
      <c r="B1208" s="12"/>
      <c r="C1208" s="18" t="s">
        <v>19</v>
      </c>
      <c r="D1208" s="11" t="s">
        <v>2434</v>
      </c>
      <c r="E1208" s="13" t="s">
        <v>2435</v>
      </c>
      <c r="F1208" s="20"/>
    </row>
    <row r="1209">
      <c r="A1209" s="11" t="s">
        <v>2436</v>
      </c>
      <c r="B1209" s="12"/>
      <c r="C1209" s="16" t="s">
        <v>9</v>
      </c>
      <c r="D1209" s="11" t="s">
        <v>2437</v>
      </c>
      <c r="E1209" s="13" t="s">
        <v>965</v>
      </c>
      <c r="F1209" s="15">
        <v>40949.0</v>
      </c>
    </row>
    <row r="1210">
      <c r="A1210" s="11" t="s">
        <v>2438</v>
      </c>
      <c r="B1210" s="13">
        <v>3.5</v>
      </c>
      <c r="C1210" s="16" t="s">
        <v>9</v>
      </c>
      <c r="D1210" s="11" t="s">
        <v>2439</v>
      </c>
      <c r="E1210" s="13" t="s">
        <v>2440</v>
      </c>
      <c r="F1210" s="22">
        <v>40961.0</v>
      </c>
    </row>
    <row r="1211">
      <c r="A1211" s="5" t="s">
        <v>2441</v>
      </c>
      <c r="B1211" s="6" t="s">
        <v>8</v>
      </c>
      <c r="C1211" s="27" t="s">
        <v>1157</v>
      </c>
      <c r="D1211" s="8" t="s">
        <v>2442</v>
      </c>
      <c r="E1211" s="9" t="s">
        <v>2443</v>
      </c>
      <c r="F1211" s="28">
        <v>41099.0</v>
      </c>
    </row>
    <row r="1212">
      <c r="A1212" s="11" t="s">
        <v>2444</v>
      </c>
      <c r="B1212" s="12"/>
      <c r="C1212" s="13" t="s">
        <v>19</v>
      </c>
      <c r="D1212" s="19" t="str">
        <f>HYPERLINK("http://xsellize.com/topic/177259-sav-social-girl/","Save, Hack Here.")</f>
        <v>Save, Hack Here.</v>
      </c>
      <c r="E1212" s="13" t="s">
        <v>2445</v>
      </c>
      <c r="F1212" s="15">
        <v>40887.0</v>
      </c>
    </row>
    <row r="1213">
      <c r="A1213" s="29" t="s">
        <v>2444</v>
      </c>
      <c r="B1213" s="12"/>
      <c r="C1213" s="27" t="s">
        <v>19</v>
      </c>
      <c r="D1213" s="8" t="s">
        <v>2446</v>
      </c>
      <c r="E1213" s="6" t="s">
        <v>274</v>
      </c>
      <c r="F1213" s="28">
        <v>41010.0</v>
      </c>
    </row>
    <row r="1214">
      <c r="A1214" s="11" t="s">
        <v>2447</v>
      </c>
      <c r="B1214" s="12"/>
      <c r="C1214" s="13" t="s">
        <v>19</v>
      </c>
      <c r="D1214" s="11" t="s">
        <v>2448</v>
      </c>
      <c r="E1214" s="13" t="s">
        <v>1071</v>
      </c>
      <c r="F1214" s="15">
        <v>40903.0</v>
      </c>
    </row>
    <row r="1215">
      <c r="A1215" s="11" t="s">
        <v>2449</v>
      </c>
      <c r="B1215" s="12"/>
      <c r="C1215" s="13" t="s">
        <v>9</v>
      </c>
      <c r="D1215" s="11" t="s">
        <v>2450</v>
      </c>
      <c r="E1215" s="13" t="s">
        <v>2451</v>
      </c>
      <c r="F1215" s="15">
        <v>40828.0</v>
      </c>
    </row>
    <row r="1216">
      <c r="A1216" s="11" t="s">
        <v>2452</v>
      </c>
      <c r="B1216" s="12"/>
      <c r="C1216" s="16" t="s">
        <v>9</v>
      </c>
      <c r="D1216" s="14"/>
      <c r="E1216" s="13" t="s">
        <v>932</v>
      </c>
      <c r="F1216" s="15">
        <v>40912.0</v>
      </c>
    </row>
    <row r="1217">
      <c r="A1217" s="11" t="s">
        <v>2453</v>
      </c>
      <c r="B1217" s="12"/>
      <c r="C1217" s="16" t="s">
        <v>9</v>
      </c>
      <c r="D1217" s="14"/>
      <c r="E1217" s="13" t="s">
        <v>175</v>
      </c>
      <c r="F1217" s="15">
        <v>40793.9138888889</v>
      </c>
    </row>
    <row r="1218">
      <c r="A1218" s="11" t="s">
        <v>2454</v>
      </c>
      <c r="B1218" s="12"/>
      <c r="C1218" s="13" t="s">
        <v>19</v>
      </c>
      <c r="D1218" s="11" t="s">
        <v>2455</v>
      </c>
      <c r="E1218" s="13" t="s">
        <v>2456</v>
      </c>
      <c r="F1218" s="15">
        <v>40907.0</v>
      </c>
    </row>
    <row r="1219">
      <c r="A1219" s="5" t="s">
        <v>2457</v>
      </c>
      <c r="B1219" s="12"/>
      <c r="C1219" s="16" t="s">
        <v>9</v>
      </c>
      <c r="D1219" s="8" t="s">
        <v>2458</v>
      </c>
      <c r="E1219" s="9" t="s">
        <v>1378</v>
      </c>
      <c r="F1219" s="10">
        <v>41103.0</v>
      </c>
    </row>
    <row r="1220">
      <c r="A1220" s="11" t="s">
        <v>2459</v>
      </c>
      <c r="B1220" s="12"/>
      <c r="C1220" s="16" t="s">
        <v>9</v>
      </c>
      <c r="D1220" s="14"/>
      <c r="E1220" s="13" t="s">
        <v>15</v>
      </c>
      <c r="F1220" s="15">
        <v>40890.0</v>
      </c>
    </row>
    <row r="1221">
      <c r="A1221" s="21" t="s">
        <v>2460</v>
      </c>
      <c r="B1221" s="13">
        <v>1.03</v>
      </c>
      <c r="C1221" s="18" t="s">
        <v>19</v>
      </c>
      <c r="D1221" s="11" t="s">
        <v>2461</v>
      </c>
      <c r="E1221" s="13" t="s">
        <v>2462</v>
      </c>
      <c r="F1221" s="22">
        <v>40965.0</v>
      </c>
    </row>
    <row r="1222">
      <c r="A1222" s="11" t="s">
        <v>2463</v>
      </c>
      <c r="B1222" s="12"/>
      <c r="C1222" s="16" t="s">
        <v>9</v>
      </c>
      <c r="D1222" s="11" t="s">
        <v>2464</v>
      </c>
      <c r="E1222" s="13" t="s">
        <v>315</v>
      </c>
      <c r="F1222" s="15">
        <v>40909.0</v>
      </c>
    </row>
    <row r="1223">
      <c r="A1223" s="11" t="s">
        <v>2465</v>
      </c>
      <c r="B1223" s="13" t="s">
        <v>8</v>
      </c>
      <c r="C1223" s="18" t="s">
        <v>19</v>
      </c>
      <c r="D1223" s="11" t="s">
        <v>2466</v>
      </c>
      <c r="E1223" s="13" t="s">
        <v>409</v>
      </c>
      <c r="F1223" s="22">
        <v>40957.0</v>
      </c>
    </row>
    <row r="1224">
      <c r="A1224" s="11" t="s">
        <v>2467</v>
      </c>
      <c r="B1224" s="12"/>
      <c r="C1224" s="16" t="s">
        <v>9</v>
      </c>
      <c r="D1224" s="14"/>
      <c r="E1224" s="13" t="s">
        <v>435</v>
      </c>
      <c r="F1224" s="15">
        <v>40884.0</v>
      </c>
    </row>
    <row r="1225">
      <c r="A1225" s="11" t="s">
        <v>2468</v>
      </c>
      <c r="B1225" s="12"/>
      <c r="C1225" s="13" t="s">
        <v>19</v>
      </c>
      <c r="D1225" s="19" t="str">
        <f>HYPERLINK("http://xsellize.com/topic/177689-ida-space-station-frontier-hd-130/","Hack Here.")</f>
        <v>Hack Here.</v>
      </c>
      <c r="E1225" s="17"/>
      <c r="F1225" s="15">
        <v>40888.0</v>
      </c>
    </row>
    <row r="1226">
      <c r="A1226" s="11" t="s">
        <v>2469</v>
      </c>
      <c r="B1226" s="12"/>
      <c r="C1226" s="16" t="s">
        <v>9</v>
      </c>
      <c r="D1226" s="11" t="s">
        <v>2470</v>
      </c>
      <c r="E1226" s="13" t="s">
        <v>2471</v>
      </c>
      <c r="F1226" s="15">
        <v>40919.0</v>
      </c>
    </row>
    <row r="1227">
      <c r="A1227" s="21" t="s">
        <v>2472</v>
      </c>
      <c r="B1227" s="13">
        <v>1.1</v>
      </c>
      <c r="C1227" s="16" t="s">
        <v>9</v>
      </c>
      <c r="D1227" s="11" t="s">
        <v>2473</v>
      </c>
      <c r="E1227" s="13" t="s">
        <v>2474</v>
      </c>
      <c r="F1227" s="22">
        <v>40966.0</v>
      </c>
    </row>
    <row r="1228">
      <c r="A1228" s="29" t="s">
        <v>2475</v>
      </c>
      <c r="B1228" s="6">
        <v>1.3</v>
      </c>
      <c r="C1228" s="27" t="s">
        <v>19</v>
      </c>
      <c r="D1228" s="8" t="s">
        <v>2476</v>
      </c>
      <c r="E1228" s="6" t="s">
        <v>274</v>
      </c>
      <c r="F1228" s="28">
        <v>41010.0</v>
      </c>
    </row>
    <row r="1229">
      <c r="A1229" s="11" t="s">
        <v>2477</v>
      </c>
      <c r="B1229" s="12"/>
      <c r="C1229" s="16" t="s">
        <v>9</v>
      </c>
      <c r="D1229" s="11" t="s">
        <v>2478</v>
      </c>
      <c r="E1229" s="13" t="s">
        <v>944</v>
      </c>
      <c r="F1229" s="15">
        <v>40945.0</v>
      </c>
    </row>
    <row r="1230">
      <c r="A1230" s="11" t="s">
        <v>2479</v>
      </c>
      <c r="B1230" s="12"/>
      <c r="C1230" s="16" t="s">
        <v>9</v>
      </c>
      <c r="D1230" s="14"/>
      <c r="E1230" s="13" t="s">
        <v>66</v>
      </c>
      <c r="F1230" s="15">
        <v>40881.0</v>
      </c>
    </row>
    <row r="1231">
      <c r="A1231" s="11" t="s">
        <v>2480</v>
      </c>
      <c r="B1231" s="12"/>
      <c r="C1231" s="18" t="s">
        <v>19</v>
      </c>
      <c r="D1231" s="11" t="s">
        <v>2481</v>
      </c>
      <c r="E1231" s="13" t="s">
        <v>175</v>
      </c>
      <c r="F1231" s="15">
        <v>40793.0</v>
      </c>
    </row>
    <row r="1232">
      <c r="A1232" s="11" t="s">
        <v>2482</v>
      </c>
      <c r="B1232" s="12"/>
      <c r="C1232" s="18" t="s">
        <v>19</v>
      </c>
      <c r="D1232" s="11" t="s">
        <v>883</v>
      </c>
      <c r="E1232" s="13" t="s">
        <v>884</v>
      </c>
      <c r="F1232" s="15">
        <v>40953.0</v>
      </c>
    </row>
    <row r="1233">
      <c r="A1233" s="11" t="s">
        <v>2483</v>
      </c>
      <c r="B1233" s="12"/>
      <c r="C1233" s="16" t="s">
        <v>9</v>
      </c>
      <c r="D1233" s="11" t="s">
        <v>2484</v>
      </c>
      <c r="E1233" s="13" t="s">
        <v>2485</v>
      </c>
      <c r="F1233" s="15">
        <v>40930.0</v>
      </c>
    </row>
    <row r="1234">
      <c r="A1234" s="11" t="s">
        <v>2486</v>
      </c>
      <c r="B1234" s="12"/>
      <c r="C1234" s="13" t="s">
        <v>19</v>
      </c>
      <c r="D1234" s="14"/>
      <c r="E1234" s="13" t="s">
        <v>2487</v>
      </c>
      <c r="F1234" s="15">
        <v>40956.0</v>
      </c>
    </row>
    <row r="1235">
      <c r="A1235" s="11" t="s">
        <v>2488</v>
      </c>
      <c r="B1235" s="12"/>
      <c r="C1235" s="16" t="s">
        <v>9</v>
      </c>
      <c r="D1235" s="11" t="s">
        <v>353</v>
      </c>
      <c r="E1235" s="13" t="s">
        <v>184</v>
      </c>
      <c r="F1235" s="15">
        <v>40912.0</v>
      </c>
    </row>
    <row r="1236">
      <c r="A1236" s="11" t="s">
        <v>2489</v>
      </c>
      <c r="B1236" s="12"/>
      <c r="C1236" s="13" t="s">
        <v>19</v>
      </c>
      <c r="D1236" s="19" t="str">
        <f>HYPERLINK("http://xsellize.com/topic/178598-v105-spy-mouse-hack-with-kiska-unlocked/","Hack is here.")</f>
        <v>Hack is here.</v>
      </c>
      <c r="E1236" s="13" t="s">
        <v>287</v>
      </c>
      <c r="F1236" s="20"/>
    </row>
    <row r="1237">
      <c r="A1237" s="11" t="s">
        <v>2490</v>
      </c>
      <c r="B1237" s="12"/>
      <c r="C1237" s="16" t="s">
        <v>9</v>
      </c>
      <c r="D1237" s="11" t="s">
        <v>2491</v>
      </c>
      <c r="E1237" s="13" t="s">
        <v>1028</v>
      </c>
      <c r="F1237" s="15">
        <v>40882.0</v>
      </c>
    </row>
    <row r="1238">
      <c r="A1238" s="11" t="s">
        <v>2492</v>
      </c>
      <c r="B1238" s="12"/>
      <c r="C1238" s="18" t="s">
        <v>190</v>
      </c>
      <c r="D1238" s="11" t="s">
        <v>2493</v>
      </c>
      <c r="E1238" s="13" t="s">
        <v>2494</v>
      </c>
      <c r="F1238" s="15">
        <v>40935.0</v>
      </c>
    </row>
    <row r="1239">
      <c r="A1239" s="11" t="s">
        <v>2495</v>
      </c>
      <c r="B1239" s="12"/>
      <c r="C1239" s="16" t="s">
        <v>9</v>
      </c>
      <c r="D1239" s="11" t="s">
        <v>811</v>
      </c>
      <c r="E1239" s="13" t="s">
        <v>435</v>
      </c>
      <c r="F1239" s="15">
        <v>40884.0</v>
      </c>
    </row>
    <row r="1240">
      <c r="A1240" s="11" t="s">
        <v>2496</v>
      </c>
      <c r="B1240" s="12"/>
      <c r="C1240" s="16" t="s">
        <v>9</v>
      </c>
      <c r="D1240" s="14"/>
      <c r="E1240" s="13" t="s">
        <v>2497</v>
      </c>
      <c r="F1240" s="20"/>
    </row>
    <row r="1241">
      <c r="A1241" s="11" t="s">
        <v>2498</v>
      </c>
      <c r="B1241" s="12"/>
      <c r="C1241" s="18" t="s">
        <v>190</v>
      </c>
      <c r="D1241" s="11" t="s">
        <v>2499</v>
      </c>
      <c r="E1241" s="13" t="s">
        <v>279</v>
      </c>
      <c r="F1241" s="15">
        <v>40826.0</v>
      </c>
    </row>
    <row r="1242">
      <c r="A1242" s="29" t="s">
        <v>2498</v>
      </c>
      <c r="B1242" s="12"/>
      <c r="C1242" s="27" t="s">
        <v>19</v>
      </c>
      <c r="D1242" s="8" t="s">
        <v>2157</v>
      </c>
      <c r="E1242" s="6" t="s">
        <v>274</v>
      </c>
      <c r="F1242" s="48"/>
    </row>
    <row r="1243">
      <c r="A1243" s="11" t="s">
        <v>2500</v>
      </c>
      <c r="B1243" s="12"/>
      <c r="C1243" s="13" t="s">
        <v>9</v>
      </c>
      <c r="D1243" s="11" t="s">
        <v>2501</v>
      </c>
      <c r="E1243" s="13" t="s">
        <v>2502</v>
      </c>
      <c r="F1243" s="15">
        <v>40931.0</v>
      </c>
    </row>
    <row r="1244">
      <c r="A1244" s="21" t="s">
        <v>2503</v>
      </c>
      <c r="B1244" s="13">
        <v>1.1</v>
      </c>
      <c r="C1244" s="18" t="s">
        <v>19</v>
      </c>
      <c r="D1244" s="11" t="s">
        <v>2504</v>
      </c>
      <c r="E1244" s="13" t="s">
        <v>2497</v>
      </c>
      <c r="F1244" s="22">
        <v>40966.0</v>
      </c>
    </row>
    <row r="1245">
      <c r="A1245" s="11" t="s">
        <v>2505</v>
      </c>
      <c r="B1245" s="12"/>
      <c r="C1245" s="16" t="s">
        <v>9</v>
      </c>
      <c r="D1245" s="11" t="s">
        <v>2506</v>
      </c>
      <c r="E1245" s="13" t="s">
        <v>2507</v>
      </c>
      <c r="F1245" s="15">
        <v>40914.0</v>
      </c>
    </row>
    <row r="1246">
      <c r="A1246" s="11" t="s">
        <v>2508</v>
      </c>
      <c r="B1246" s="12"/>
      <c r="C1246" s="16" t="s">
        <v>9</v>
      </c>
      <c r="D1246" s="11" t="s">
        <v>2509</v>
      </c>
      <c r="E1246" s="13" t="s">
        <v>50</v>
      </c>
      <c r="F1246" s="15">
        <v>40900.0</v>
      </c>
    </row>
    <row r="1247">
      <c r="A1247" s="5" t="s">
        <v>2510</v>
      </c>
      <c r="B1247" s="6">
        <v>1.51</v>
      </c>
      <c r="C1247" s="16" t="s">
        <v>9</v>
      </c>
      <c r="D1247" s="8" t="s">
        <v>2511</v>
      </c>
      <c r="E1247" s="9" t="s">
        <v>2512</v>
      </c>
      <c r="F1247" s="10">
        <v>41103.0</v>
      </c>
    </row>
    <row r="1248">
      <c r="A1248" s="11" t="s">
        <v>2513</v>
      </c>
      <c r="B1248" s="12"/>
      <c r="C1248" s="16" t="s">
        <v>9</v>
      </c>
      <c r="D1248" s="11" t="s">
        <v>2514</v>
      </c>
      <c r="E1248" s="13" t="s">
        <v>2515</v>
      </c>
      <c r="F1248" s="15">
        <v>40863.0</v>
      </c>
    </row>
    <row r="1249">
      <c r="A1249" s="11" t="s">
        <v>2516</v>
      </c>
      <c r="B1249" s="12"/>
      <c r="C1249" s="18" t="s">
        <v>19</v>
      </c>
      <c r="D1249" s="11" t="s">
        <v>2517</v>
      </c>
      <c r="E1249" s="13" t="s">
        <v>432</v>
      </c>
      <c r="F1249" s="15">
        <v>40947.0</v>
      </c>
    </row>
    <row r="1250">
      <c r="A1250" s="21" t="s">
        <v>2518</v>
      </c>
      <c r="B1250" s="13" t="s">
        <v>727</v>
      </c>
      <c r="C1250" s="18" t="s">
        <v>19</v>
      </c>
      <c r="D1250" s="14"/>
      <c r="E1250" s="17"/>
      <c r="F1250" s="22">
        <v>40961.0</v>
      </c>
    </row>
    <row r="1251">
      <c r="A1251" s="11" t="s">
        <v>2519</v>
      </c>
      <c r="B1251" s="12"/>
      <c r="C1251" s="16" t="s">
        <v>9</v>
      </c>
      <c r="D1251" s="14"/>
      <c r="E1251" s="17"/>
      <c r="F1251" s="15">
        <v>40911.0</v>
      </c>
    </row>
    <row r="1252">
      <c r="A1252" s="21" t="s">
        <v>2520</v>
      </c>
      <c r="B1252" s="13" t="s">
        <v>2112</v>
      </c>
      <c r="C1252" s="16" t="s">
        <v>9</v>
      </c>
      <c r="D1252" s="11" t="s">
        <v>2521</v>
      </c>
      <c r="E1252" s="13" t="s">
        <v>1149</v>
      </c>
      <c r="F1252" s="22">
        <v>40966.0</v>
      </c>
    </row>
    <row r="1253">
      <c r="A1253" s="11" t="s">
        <v>2522</v>
      </c>
      <c r="B1253" s="12"/>
      <c r="C1253" s="18" t="s">
        <v>19</v>
      </c>
      <c r="D1253" s="11" t="s">
        <v>2523</v>
      </c>
      <c r="E1253" s="13" t="s">
        <v>596</v>
      </c>
      <c r="F1253" s="15">
        <v>40913.0</v>
      </c>
    </row>
    <row r="1254">
      <c r="A1254" s="11" t="s">
        <v>2524</v>
      </c>
      <c r="B1254" s="12"/>
      <c r="C1254" s="13" t="s">
        <v>9</v>
      </c>
      <c r="D1254" s="14"/>
      <c r="E1254" s="13" t="s">
        <v>2525</v>
      </c>
      <c r="F1254" s="15">
        <v>40959.0</v>
      </c>
    </row>
    <row r="1255">
      <c r="A1255" s="21" t="s">
        <v>2526</v>
      </c>
      <c r="B1255" s="26" t="s">
        <v>293</v>
      </c>
      <c r="C1255" s="16" t="s">
        <v>9</v>
      </c>
      <c r="D1255" s="11" t="s">
        <v>2527</v>
      </c>
      <c r="E1255" s="13" t="s">
        <v>2528</v>
      </c>
      <c r="F1255" s="22">
        <v>40963.0</v>
      </c>
    </row>
    <row r="1256">
      <c r="A1256" s="11" t="s">
        <v>2529</v>
      </c>
      <c r="B1256" s="12"/>
      <c r="C1256" s="16" t="s">
        <v>9</v>
      </c>
      <c r="D1256" s="11" t="s">
        <v>2530</v>
      </c>
      <c r="E1256" s="13" t="s">
        <v>2531</v>
      </c>
      <c r="F1256" s="15">
        <v>40910.0</v>
      </c>
    </row>
    <row r="1257">
      <c r="A1257" s="11" t="s">
        <v>2532</v>
      </c>
      <c r="B1257" s="12"/>
      <c r="C1257" s="13" t="s">
        <v>9</v>
      </c>
      <c r="D1257" s="11" t="s">
        <v>1116</v>
      </c>
      <c r="E1257" s="13" t="s">
        <v>50</v>
      </c>
      <c r="F1257" s="15">
        <v>40901.0</v>
      </c>
    </row>
    <row r="1258">
      <c r="A1258" s="11" t="s">
        <v>2533</v>
      </c>
      <c r="B1258" s="12"/>
      <c r="C1258" s="16" t="s">
        <v>9</v>
      </c>
      <c r="D1258" s="14"/>
      <c r="E1258" s="13" t="s">
        <v>175</v>
      </c>
      <c r="F1258" s="15">
        <v>40793.9138888889</v>
      </c>
    </row>
    <row r="1259">
      <c r="A1259" s="11" t="s">
        <v>2534</v>
      </c>
      <c r="B1259" s="12"/>
      <c r="C1259" s="13" t="s">
        <v>9</v>
      </c>
      <c r="D1259" s="11" t="s">
        <v>2535</v>
      </c>
      <c r="E1259" s="13" t="s">
        <v>2536</v>
      </c>
      <c r="F1259" s="15">
        <v>40937.0</v>
      </c>
    </row>
    <row r="1260">
      <c r="A1260" s="11" t="s">
        <v>2537</v>
      </c>
      <c r="B1260" s="12"/>
      <c r="C1260" s="16" t="s">
        <v>9</v>
      </c>
      <c r="D1260" s="11" t="s">
        <v>2538</v>
      </c>
      <c r="E1260" s="17"/>
      <c r="F1260" s="15">
        <v>40883.0</v>
      </c>
    </row>
    <row r="1261">
      <c r="A1261" s="11" t="s">
        <v>2539</v>
      </c>
      <c r="B1261" s="12"/>
      <c r="C1261" s="16" t="s">
        <v>9</v>
      </c>
      <c r="D1261" s="11" t="s">
        <v>2540</v>
      </c>
      <c r="E1261" s="13" t="s">
        <v>2541</v>
      </c>
      <c r="F1261" s="15">
        <v>40920.0</v>
      </c>
    </row>
    <row r="1262">
      <c r="A1262" s="11" t="s">
        <v>2542</v>
      </c>
      <c r="B1262" s="12"/>
      <c r="C1262" s="13" t="s">
        <v>9</v>
      </c>
      <c r="D1262" s="11" t="s">
        <v>595</v>
      </c>
      <c r="E1262" s="13" t="s">
        <v>50</v>
      </c>
      <c r="F1262" s="15">
        <v>40902.0</v>
      </c>
    </row>
    <row r="1263">
      <c r="A1263" s="11" t="s">
        <v>2543</v>
      </c>
      <c r="B1263" s="13">
        <v>1.5</v>
      </c>
      <c r="C1263" s="13" t="s">
        <v>9</v>
      </c>
      <c r="D1263" s="11" t="s">
        <v>2544</v>
      </c>
      <c r="E1263" s="13" t="s">
        <v>1149</v>
      </c>
      <c r="F1263" s="22">
        <v>40961.0</v>
      </c>
    </row>
    <row r="1264">
      <c r="A1264" s="11" t="s">
        <v>2545</v>
      </c>
      <c r="B1264" s="12"/>
      <c r="C1264" s="13" t="s">
        <v>9</v>
      </c>
      <c r="D1264" s="11" t="s">
        <v>2546</v>
      </c>
      <c r="E1264" s="13" t="s">
        <v>23</v>
      </c>
      <c r="F1264" s="15">
        <v>40926.0</v>
      </c>
    </row>
    <row r="1265">
      <c r="A1265" s="11" t="s">
        <v>2547</v>
      </c>
      <c r="B1265" s="12"/>
      <c r="C1265" s="13" t="s">
        <v>9</v>
      </c>
      <c r="D1265" s="11" t="s">
        <v>2546</v>
      </c>
      <c r="E1265" s="13" t="s">
        <v>23</v>
      </c>
      <c r="F1265" s="15">
        <v>40926.0</v>
      </c>
    </row>
    <row r="1266">
      <c r="A1266" s="11" t="s">
        <v>2548</v>
      </c>
      <c r="B1266" s="12"/>
      <c r="C1266" s="13" t="s">
        <v>19</v>
      </c>
      <c r="D1266" s="11" t="s">
        <v>2549</v>
      </c>
      <c r="E1266" s="13" t="s">
        <v>2445</v>
      </c>
      <c r="F1266" s="15">
        <v>40887.0</v>
      </c>
    </row>
    <row r="1267">
      <c r="A1267" s="11" t="s">
        <v>2550</v>
      </c>
      <c r="B1267" s="12"/>
      <c r="C1267" s="54" t="s">
        <v>19</v>
      </c>
      <c r="D1267" s="8" t="s">
        <v>2551</v>
      </c>
      <c r="E1267" s="13" t="s">
        <v>1081</v>
      </c>
      <c r="F1267" s="38" t="s">
        <v>1082</v>
      </c>
    </row>
    <row r="1268">
      <c r="A1268" s="11" t="s">
        <v>2552</v>
      </c>
      <c r="B1268" s="12"/>
      <c r="C1268" s="18" t="s">
        <v>19</v>
      </c>
      <c r="D1268" s="11" t="s">
        <v>2553</v>
      </c>
      <c r="E1268" s="13" t="s">
        <v>932</v>
      </c>
      <c r="F1268" s="15">
        <v>40912.0</v>
      </c>
    </row>
    <row r="1269">
      <c r="A1269" s="11" t="s">
        <v>2554</v>
      </c>
      <c r="B1269" s="12"/>
      <c r="C1269" s="16" t="s">
        <v>9</v>
      </c>
      <c r="D1269" s="14"/>
      <c r="E1269" s="17"/>
      <c r="F1269" s="15">
        <v>40899.0</v>
      </c>
    </row>
    <row r="1270">
      <c r="A1270" s="11" t="s">
        <v>2555</v>
      </c>
      <c r="B1270" s="12"/>
      <c r="C1270" s="16" t="s">
        <v>9</v>
      </c>
      <c r="D1270" s="14"/>
      <c r="E1270" s="13" t="s">
        <v>50</v>
      </c>
      <c r="F1270" s="15">
        <v>40900.0</v>
      </c>
    </row>
    <row r="1271">
      <c r="A1271" s="11" t="s">
        <v>2556</v>
      </c>
      <c r="B1271" s="12"/>
      <c r="C1271" s="13" t="s">
        <v>9</v>
      </c>
      <c r="D1271" s="11" t="s">
        <v>2557</v>
      </c>
      <c r="E1271" s="13" t="s">
        <v>551</v>
      </c>
      <c r="F1271" s="15">
        <v>40892.0</v>
      </c>
    </row>
    <row r="1272">
      <c r="A1272" s="11" t="s">
        <v>2558</v>
      </c>
      <c r="B1272" s="12"/>
      <c r="C1272" s="16" t="s">
        <v>19</v>
      </c>
      <c r="D1272" s="11" t="s">
        <v>2559</v>
      </c>
      <c r="E1272" s="17"/>
      <c r="F1272" s="15">
        <v>40902.0</v>
      </c>
    </row>
    <row r="1273">
      <c r="A1273" s="11" t="s">
        <v>2560</v>
      </c>
      <c r="B1273" s="12"/>
      <c r="C1273" s="13" t="s">
        <v>9</v>
      </c>
      <c r="D1273" s="11" t="s">
        <v>25</v>
      </c>
      <c r="E1273" s="13" t="s">
        <v>50</v>
      </c>
      <c r="F1273" s="15">
        <v>40901.0</v>
      </c>
    </row>
    <row r="1274">
      <c r="A1274" s="11" t="s">
        <v>2561</v>
      </c>
      <c r="B1274" s="12"/>
      <c r="C1274" s="18" t="s">
        <v>19</v>
      </c>
      <c r="D1274" s="11" t="s">
        <v>2562</v>
      </c>
      <c r="E1274" s="13" t="s">
        <v>96</v>
      </c>
      <c r="F1274" s="15">
        <v>40929.0</v>
      </c>
    </row>
    <row r="1275">
      <c r="A1275" s="11" t="s">
        <v>2563</v>
      </c>
      <c r="B1275" s="12"/>
      <c r="C1275" s="13" t="s">
        <v>9</v>
      </c>
      <c r="D1275" s="8" t="s">
        <v>1412</v>
      </c>
      <c r="E1275" s="13" t="s">
        <v>1413</v>
      </c>
      <c r="F1275" s="38" t="s">
        <v>2564</v>
      </c>
    </row>
    <row r="1276">
      <c r="A1276" s="11" t="s">
        <v>2565</v>
      </c>
      <c r="B1276" s="12"/>
      <c r="C1276" s="13" t="s">
        <v>9</v>
      </c>
      <c r="D1276" s="11" t="s">
        <v>2566</v>
      </c>
      <c r="E1276" s="13" t="s">
        <v>1723</v>
      </c>
      <c r="F1276" s="15">
        <v>40908.0</v>
      </c>
    </row>
    <row r="1277">
      <c r="A1277" s="11" t="s">
        <v>2567</v>
      </c>
      <c r="B1277" s="12"/>
      <c r="C1277" s="13" t="s">
        <v>9</v>
      </c>
      <c r="D1277" s="11" t="s">
        <v>2568</v>
      </c>
      <c r="E1277" s="13" t="s">
        <v>264</v>
      </c>
      <c r="F1277" s="15">
        <v>40888.0</v>
      </c>
    </row>
    <row r="1278">
      <c r="A1278" s="11" t="s">
        <v>2569</v>
      </c>
      <c r="B1278" s="12"/>
      <c r="C1278" s="13" t="s">
        <v>9</v>
      </c>
      <c r="D1278" s="11" t="s">
        <v>2570</v>
      </c>
      <c r="E1278" s="13" t="s">
        <v>1007</v>
      </c>
      <c r="F1278" s="20"/>
    </row>
    <row r="1279">
      <c r="A1279" s="11" t="s">
        <v>2571</v>
      </c>
      <c r="B1279" s="12"/>
      <c r="C1279" s="16" t="s">
        <v>9</v>
      </c>
      <c r="D1279" s="11" t="s">
        <v>2572</v>
      </c>
      <c r="E1279" s="13" t="s">
        <v>2573</v>
      </c>
      <c r="F1279" s="15">
        <v>40898.0</v>
      </c>
    </row>
    <row r="1280">
      <c r="A1280" s="11" t="s">
        <v>2574</v>
      </c>
      <c r="B1280" s="12"/>
      <c r="C1280" s="16" t="s">
        <v>19</v>
      </c>
      <c r="D1280" s="19" t="str">
        <f>HYPERLINK("http://xsellize.com/topic/176983-sweet-shop-v101/","Hack Here Very Easy.")</f>
        <v>Hack Here Very Easy.</v>
      </c>
      <c r="E1280" s="17"/>
      <c r="F1280" s="20"/>
    </row>
    <row r="1281">
      <c r="A1281" s="11" t="s">
        <v>2575</v>
      </c>
      <c r="B1281" s="12"/>
      <c r="C1281" s="16" t="s">
        <v>9</v>
      </c>
      <c r="D1281" s="14"/>
      <c r="E1281" s="13" t="s">
        <v>175</v>
      </c>
      <c r="F1281" s="15">
        <v>40793.9138888889</v>
      </c>
    </row>
    <row r="1282">
      <c r="A1282" s="21" t="s">
        <v>2576</v>
      </c>
      <c r="B1282" s="13" t="s">
        <v>2577</v>
      </c>
      <c r="C1282" s="13" t="s">
        <v>19</v>
      </c>
      <c r="D1282" s="11" t="s">
        <v>2578</v>
      </c>
      <c r="E1282" s="13" t="s">
        <v>2579</v>
      </c>
      <c r="F1282" s="15">
        <v>40971.0</v>
      </c>
    </row>
    <row r="1283">
      <c r="A1283" s="11" t="s">
        <v>2580</v>
      </c>
      <c r="B1283" s="13" t="s">
        <v>2581</v>
      </c>
      <c r="C1283" s="18" t="s">
        <v>19</v>
      </c>
      <c r="D1283" s="11" t="s">
        <v>2582</v>
      </c>
      <c r="E1283" s="13" t="s">
        <v>324</v>
      </c>
      <c r="F1283" s="22">
        <v>40958.0</v>
      </c>
    </row>
    <row r="1284">
      <c r="A1284" s="11" t="s">
        <v>2583</v>
      </c>
      <c r="B1284" s="12"/>
      <c r="C1284" s="16" t="s">
        <v>9</v>
      </c>
      <c r="D1284" s="14"/>
      <c r="E1284" s="17"/>
      <c r="F1284" s="20"/>
    </row>
    <row r="1285">
      <c r="A1285" s="11" t="s">
        <v>2584</v>
      </c>
      <c r="B1285" s="12"/>
      <c r="C1285" s="16" t="s">
        <v>9</v>
      </c>
      <c r="D1285" s="14"/>
      <c r="E1285" s="13" t="s">
        <v>66</v>
      </c>
      <c r="F1285" s="15">
        <v>40905.0</v>
      </c>
    </row>
    <row r="1286">
      <c r="A1286" s="11" t="s">
        <v>2585</v>
      </c>
      <c r="B1286" s="12"/>
      <c r="C1286" s="13" t="s">
        <v>9</v>
      </c>
      <c r="D1286" s="14"/>
      <c r="E1286" s="13" t="s">
        <v>34</v>
      </c>
      <c r="F1286" s="15">
        <v>40949.0</v>
      </c>
    </row>
    <row r="1287">
      <c r="A1287" s="11" t="s">
        <v>2586</v>
      </c>
      <c r="B1287" s="12"/>
      <c r="C1287" s="13" t="s">
        <v>9</v>
      </c>
      <c r="D1287" s="11" t="s">
        <v>2587</v>
      </c>
      <c r="E1287" s="13" t="s">
        <v>87</v>
      </c>
      <c r="F1287" s="15">
        <v>40900.0</v>
      </c>
    </row>
    <row r="1288">
      <c r="A1288" s="11" t="s">
        <v>2588</v>
      </c>
      <c r="B1288" s="12"/>
      <c r="C1288" s="13" t="s">
        <v>9</v>
      </c>
      <c r="D1288" s="11" t="s">
        <v>2589</v>
      </c>
      <c r="E1288" s="13" t="s">
        <v>432</v>
      </c>
      <c r="F1288" s="15">
        <v>40937.0</v>
      </c>
    </row>
    <row r="1289">
      <c r="A1289" s="11" t="s">
        <v>2590</v>
      </c>
      <c r="B1289" s="12"/>
      <c r="C1289" s="16" t="s">
        <v>9</v>
      </c>
      <c r="D1289" s="11" t="s">
        <v>1477</v>
      </c>
      <c r="E1289" s="13" t="s">
        <v>66</v>
      </c>
      <c r="F1289" s="15">
        <v>40881.0</v>
      </c>
    </row>
    <row r="1290">
      <c r="A1290" s="11" t="s">
        <v>2591</v>
      </c>
      <c r="B1290" s="12"/>
      <c r="C1290" s="16" t="s">
        <v>9</v>
      </c>
      <c r="D1290" s="11" t="s">
        <v>2592</v>
      </c>
      <c r="E1290" s="13" t="s">
        <v>271</v>
      </c>
      <c r="F1290" s="15">
        <v>40793.7888888889</v>
      </c>
    </row>
    <row r="1291">
      <c r="A1291" s="11" t="s">
        <v>2593</v>
      </c>
      <c r="B1291" s="12"/>
      <c r="C1291" s="16" t="s">
        <v>9</v>
      </c>
      <c r="D1291" s="14"/>
      <c r="E1291" s="13" t="s">
        <v>2594</v>
      </c>
      <c r="F1291" s="15">
        <v>40911.0</v>
      </c>
    </row>
    <row r="1292">
      <c r="A1292" s="11" t="s">
        <v>2595</v>
      </c>
      <c r="B1292" s="12"/>
      <c r="C1292" s="16" t="s">
        <v>120</v>
      </c>
      <c r="D1292" s="11" t="s">
        <v>2596</v>
      </c>
      <c r="E1292" s="13" t="s">
        <v>2597</v>
      </c>
      <c r="F1292" s="15">
        <v>40889.0</v>
      </c>
    </row>
    <row r="1293">
      <c r="A1293" s="11" t="s">
        <v>2598</v>
      </c>
      <c r="B1293" s="12"/>
      <c r="C1293" s="18" t="s">
        <v>19</v>
      </c>
      <c r="D1293" s="19" t="str">
        <f>HYPERLINK("http://xsellize.com/topic/175485-talking-jimmy-hack-full-in-app-purchases-v-120/","Unlock Full In App Purchases here")</f>
        <v>Unlock Full In App Purchases here</v>
      </c>
      <c r="E1293" s="13" t="s">
        <v>72</v>
      </c>
      <c r="F1293" s="15">
        <v>40919.0</v>
      </c>
    </row>
    <row r="1294">
      <c r="A1294" s="11" t="s">
        <v>2599</v>
      </c>
      <c r="B1294" s="12"/>
      <c r="C1294" s="16" t="s">
        <v>9</v>
      </c>
      <c r="D1294" s="14"/>
      <c r="E1294" s="17"/>
      <c r="F1294" s="20"/>
    </row>
    <row r="1295">
      <c r="A1295" s="11" t="s">
        <v>2600</v>
      </c>
      <c r="B1295" s="12"/>
      <c r="C1295" s="16" t="s">
        <v>9</v>
      </c>
      <c r="D1295" s="14"/>
      <c r="E1295" s="13" t="s">
        <v>72</v>
      </c>
      <c r="F1295" s="15">
        <v>40922.0</v>
      </c>
    </row>
    <row r="1296">
      <c r="A1296" s="11" t="s">
        <v>2601</v>
      </c>
      <c r="B1296" s="12"/>
      <c r="C1296" s="13" t="s">
        <v>9</v>
      </c>
      <c r="D1296" s="11" t="s">
        <v>2602</v>
      </c>
      <c r="E1296" s="13" t="s">
        <v>387</v>
      </c>
      <c r="F1296" s="15">
        <v>40896.0</v>
      </c>
    </row>
    <row r="1297">
      <c r="A1297" s="11" t="s">
        <v>2603</v>
      </c>
      <c r="B1297" s="12"/>
      <c r="C1297" s="16" t="s">
        <v>9</v>
      </c>
      <c r="D1297" s="14"/>
      <c r="E1297" s="17"/>
      <c r="F1297" s="20"/>
    </row>
    <row r="1298">
      <c r="A1298" s="11" t="s">
        <v>2604</v>
      </c>
      <c r="B1298" s="12"/>
      <c r="C1298" s="16" t="s">
        <v>9</v>
      </c>
      <c r="D1298" s="14"/>
      <c r="E1298" s="17"/>
      <c r="F1298" s="20"/>
    </row>
    <row r="1299">
      <c r="A1299" s="11" t="s">
        <v>2605</v>
      </c>
      <c r="B1299" s="12"/>
      <c r="C1299" s="16" t="s">
        <v>9</v>
      </c>
      <c r="D1299" s="14"/>
      <c r="E1299" s="13" t="s">
        <v>856</v>
      </c>
      <c r="F1299" s="15">
        <v>40793.8013888889</v>
      </c>
    </row>
    <row r="1300">
      <c r="A1300" s="11" t="s">
        <v>2606</v>
      </c>
      <c r="B1300" s="12"/>
      <c r="C1300" s="13" t="s">
        <v>9</v>
      </c>
      <c r="D1300" s="11" t="s">
        <v>2607</v>
      </c>
      <c r="E1300" s="13" t="s">
        <v>1007</v>
      </c>
      <c r="F1300" s="20"/>
    </row>
    <row r="1301">
      <c r="A1301" s="11" t="s">
        <v>2608</v>
      </c>
      <c r="B1301" s="12"/>
      <c r="C1301" s="16" t="s">
        <v>9</v>
      </c>
      <c r="D1301" s="11" t="s">
        <v>2609</v>
      </c>
      <c r="E1301" s="13" t="s">
        <v>409</v>
      </c>
      <c r="F1301" s="15">
        <v>40944.0</v>
      </c>
    </row>
    <row r="1302">
      <c r="A1302" s="11" t="s">
        <v>2610</v>
      </c>
      <c r="B1302" s="12"/>
      <c r="C1302" s="13" t="s">
        <v>9</v>
      </c>
      <c r="D1302" s="14"/>
      <c r="E1302" s="13" t="s">
        <v>50</v>
      </c>
      <c r="F1302" s="15">
        <v>40902.0</v>
      </c>
    </row>
    <row r="1303">
      <c r="A1303" s="5" t="s">
        <v>2611</v>
      </c>
      <c r="B1303" s="12"/>
      <c r="C1303" s="27" t="s">
        <v>19</v>
      </c>
      <c r="D1303" s="8" t="s">
        <v>634</v>
      </c>
      <c r="E1303" s="9" t="s">
        <v>635</v>
      </c>
      <c r="F1303" s="23">
        <v>41160.0</v>
      </c>
    </row>
    <row r="1304">
      <c r="A1304" s="11" t="s">
        <v>2612</v>
      </c>
      <c r="B1304" s="12"/>
      <c r="C1304" s="16" t="s">
        <v>9</v>
      </c>
      <c r="D1304" s="14"/>
      <c r="E1304" s="13" t="s">
        <v>962</v>
      </c>
      <c r="F1304" s="15">
        <v>40899.0</v>
      </c>
    </row>
    <row r="1305">
      <c r="A1305" s="11" t="s">
        <v>2613</v>
      </c>
      <c r="B1305" s="12"/>
      <c r="C1305" s="13" t="s">
        <v>19</v>
      </c>
      <c r="D1305" s="19" t="str">
        <f>HYPERLINK("http://www.icheats.org/forum/index.php?/topic/5121-diy-tap-pet-hotel-coin-and-treats-hack/","Tap Pet Hotel Coin And Treats hack")</f>
        <v>Tap Pet Hotel Coin And Treats hack</v>
      </c>
      <c r="E1305" s="13" t="s">
        <v>72</v>
      </c>
      <c r="F1305" s="15">
        <v>40919.0</v>
      </c>
    </row>
    <row r="1306">
      <c r="A1306" s="11" t="s">
        <v>2614</v>
      </c>
      <c r="B1306" s="12"/>
      <c r="C1306" s="18" t="s">
        <v>19</v>
      </c>
      <c r="D1306" s="11" t="s">
        <v>2615</v>
      </c>
      <c r="E1306" s="17"/>
      <c r="F1306" s="15">
        <v>40911.0</v>
      </c>
    </row>
    <row r="1307">
      <c r="A1307" s="11" t="s">
        <v>2616</v>
      </c>
      <c r="B1307" s="12"/>
      <c r="C1307" s="16" t="s">
        <v>9</v>
      </c>
      <c r="D1307" s="14"/>
      <c r="E1307" s="17"/>
      <c r="F1307" s="20"/>
    </row>
    <row r="1308">
      <c r="A1308" s="11" t="s">
        <v>2617</v>
      </c>
      <c r="B1308" s="12"/>
      <c r="C1308" s="18" t="s">
        <v>19</v>
      </c>
      <c r="D1308" s="14"/>
      <c r="E1308" s="17"/>
      <c r="F1308" s="15">
        <v>40909.0</v>
      </c>
    </row>
    <row r="1309">
      <c r="A1309" s="35" t="s">
        <v>2618</v>
      </c>
      <c r="B1309" s="12"/>
      <c r="C1309" s="6" t="s">
        <v>9</v>
      </c>
      <c r="D1309" s="8" t="s">
        <v>143</v>
      </c>
      <c r="E1309" s="9" t="s">
        <v>635</v>
      </c>
      <c r="F1309" s="23">
        <v>41160.0</v>
      </c>
    </row>
    <row r="1310">
      <c r="A1310" s="11" t="s">
        <v>2619</v>
      </c>
      <c r="B1310" s="12"/>
      <c r="C1310" s="18" t="s">
        <v>19</v>
      </c>
      <c r="D1310" s="14"/>
      <c r="E1310" s="17"/>
      <c r="F1310" s="15">
        <v>40909.0</v>
      </c>
    </row>
    <row r="1311">
      <c r="A1311" s="11" t="s">
        <v>2620</v>
      </c>
      <c r="B1311" s="12"/>
      <c r="C1311" s="18" t="s">
        <v>19</v>
      </c>
      <c r="D1311" s="19" t="str">
        <f>HYPERLINK("http://xsellize.com/topic/49557-official-tap-tap-revenge-premium-track-packs/","All songs here.")</f>
        <v>All songs here.</v>
      </c>
      <c r="E1311" s="13" t="s">
        <v>2621</v>
      </c>
      <c r="F1311" s="15">
        <v>40919.0</v>
      </c>
    </row>
    <row r="1312">
      <c r="A1312" s="11" t="s">
        <v>2620</v>
      </c>
      <c r="B1312" s="12"/>
      <c r="C1312" s="13" t="s">
        <v>19</v>
      </c>
      <c r="D1312" s="19" t="str">
        <f>HYPERLINK("http://www.icheats.org/forum/index.php?/topic/4546-ida-tap-tap-revenge-4-v41-3/","Hack here by Mack")</f>
        <v>Hack here by Mack</v>
      </c>
      <c r="E1312" s="17"/>
      <c r="F1312" s="20"/>
    </row>
    <row r="1313">
      <c r="A1313" s="5" t="s">
        <v>2622</v>
      </c>
      <c r="B1313" s="6">
        <v>1.0</v>
      </c>
      <c r="C1313" s="27" t="s">
        <v>19</v>
      </c>
      <c r="D1313" s="8" t="s">
        <v>2623</v>
      </c>
      <c r="E1313" s="9" t="s">
        <v>2624</v>
      </c>
      <c r="F1313" s="10">
        <v>41104.0</v>
      </c>
    </row>
    <row r="1314">
      <c r="A1314" s="11" t="s">
        <v>2625</v>
      </c>
      <c r="B1314" s="12"/>
      <c r="C1314" s="13" t="s">
        <v>19</v>
      </c>
      <c r="D1314" s="14"/>
      <c r="E1314" s="17"/>
      <c r="F1314" s="20"/>
    </row>
    <row r="1315">
      <c r="A1315" s="29" t="s">
        <v>2626</v>
      </c>
      <c r="B1315" s="6" t="s">
        <v>8</v>
      </c>
      <c r="C1315" s="27" t="s">
        <v>19</v>
      </c>
      <c r="D1315" s="8" t="s">
        <v>2627</v>
      </c>
      <c r="E1315" s="6" t="s">
        <v>274</v>
      </c>
      <c r="F1315" s="28">
        <v>41014.0</v>
      </c>
    </row>
    <row r="1316">
      <c r="A1316" s="11" t="s">
        <v>2628</v>
      </c>
      <c r="B1316" s="12"/>
      <c r="C1316" s="18" t="s">
        <v>19</v>
      </c>
      <c r="D1316" s="19" t="str">
        <f>HYPERLINK("http://xsellize.com/topic/49557-official-tap-tap-revenge-premium-track-packs/","All songs here.")</f>
        <v>All songs here.</v>
      </c>
      <c r="E1316" s="17"/>
      <c r="F1316" s="20"/>
    </row>
    <row r="1317">
      <c r="A1317" s="11" t="s">
        <v>2629</v>
      </c>
      <c r="B1317" s="13">
        <v>1.5</v>
      </c>
      <c r="C1317" s="13" t="s">
        <v>1481</v>
      </c>
      <c r="D1317" s="19" t="str">
        <f>HYPERLINK("http:://repo.hackyouriphone.org","Add repo: http:://repo.hackyouriphone.org and Download Techno Kitten DLC")</f>
        <v>Add repo: http:://repo.hackyouriphone.org and Download Techno Kitten DLC</v>
      </c>
      <c r="E1317" s="13" t="s">
        <v>2630</v>
      </c>
      <c r="F1317" s="22">
        <v>40962.0</v>
      </c>
    </row>
    <row r="1318">
      <c r="A1318" s="11" t="s">
        <v>2631</v>
      </c>
      <c r="B1318" s="12"/>
      <c r="C1318" s="16" t="s">
        <v>9</v>
      </c>
      <c r="D1318" s="14"/>
      <c r="E1318" s="13" t="s">
        <v>2632</v>
      </c>
      <c r="F1318" s="15">
        <v>40882.0</v>
      </c>
    </row>
    <row r="1319">
      <c r="A1319" s="11" t="s">
        <v>2633</v>
      </c>
      <c r="B1319" s="12"/>
      <c r="C1319" s="13" t="s">
        <v>9</v>
      </c>
      <c r="D1319" s="8" t="s">
        <v>2634</v>
      </c>
      <c r="E1319" s="13" t="s">
        <v>187</v>
      </c>
      <c r="F1319" s="15">
        <v>41067.0</v>
      </c>
    </row>
    <row r="1320">
      <c r="A1320" s="11" t="s">
        <v>2635</v>
      </c>
      <c r="B1320" s="12"/>
      <c r="C1320" s="13" t="s">
        <v>9</v>
      </c>
      <c r="D1320" s="11" t="s">
        <v>2636</v>
      </c>
      <c r="E1320" s="13" t="s">
        <v>551</v>
      </c>
      <c r="F1320" s="15">
        <v>40892.0</v>
      </c>
    </row>
    <row r="1321">
      <c r="A1321" s="11" t="s">
        <v>2637</v>
      </c>
      <c r="B1321" s="12"/>
      <c r="C1321" s="18" t="s">
        <v>19</v>
      </c>
      <c r="D1321" s="14"/>
      <c r="E1321" s="17"/>
      <c r="F1321" s="20"/>
    </row>
    <row r="1322">
      <c r="A1322" s="11" t="s">
        <v>2638</v>
      </c>
      <c r="B1322" s="12"/>
      <c r="C1322" s="18" t="s">
        <v>19</v>
      </c>
      <c r="D1322" s="14"/>
      <c r="E1322" s="17"/>
      <c r="F1322" s="20"/>
    </row>
    <row r="1323">
      <c r="A1323" s="11" t="s">
        <v>2639</v>
      </c>
      <c r="B1323" s="12"/>
      <c r="C1323" s="25" t="s">
        <v>120</v>
      </c>
      <c r="D1323" s="11" t="s">
        <v>2640</v>
      </c>
      <c r="E1323" s="13" t="s">
        <v>2641</v>
      </c>
      <c r="F1323" s="15">
        <v>40896.0</v>
      </c>
    </row>
    <row r="1324">
      <c r="A1324" s="11" t="s">
        <v>2642</v>
      </c>
      <c r="B1324" s="12"/>
      <c r="C1324" s="16" t="s">
        <v>9</v>
      </c>
      <c r="D1324" s="11" t="s">
        <v>2643</v>
      </c>
      <c r="E1324" s="13" t="s">
        <v>2644</v>
      </c>
      <c r="F1324" s="15">
        <v>40902.0</v>
      </c>
    </row>
    <row r="1325">
      <c r="A1325" s="11" t="s">
        <v>2645</v>
      </c>
      <c r="B1325" s="12"/>
      <c r="C1325" s="18" t="s">
        <v>19</v>
      </c>
      <c r="D1325" s="14"/>
      <c r="E1325" s="17"/>
      <c r="F1325" s="20"/>
    </row>
    <row r="1326">
      <c r="A1326" s="11" t="s">
        <v>2646</v>
      </c>
      <c r="B1326" s="12"/>
      <c r="C1326" s="25" t="s">
        <v>120</v>
      </c>
      <c r="D1326" s="11" t="s">
        <v>2647</v>
      </c>
      <c r="E1326" s="13" t="s">
        <v>66</v>
      </c>
      <c r="F1326" s="15">
        <v>40913.0</v>
      </c>
    </row>
    <row r="1327">
      <c r="A1327" s="11" t="s">
        <v>2648</v>
      </c>
      <c r="B1327" s="13">
        <v>1.5</v>
      </c>
      <c r="C1327" s="13" t="s">
        <v>9</v>
      </c>
      <c r="D1327" s="11" t="s">
        <v>652</v>
      </c>
      <c r="E1327" s="13" t="s">
        <v>72</v>
      </c>
      <c r="F1327" s="15">
        <v>40959.0</v>
      </c>
    </row>
    <row r="1328">
      <c r="A1328" s="11" t="s">
        <v>2649</v>
      </c>
      <c r="B1328" s="12"/>
      <c r="C1328" s="13" t="s">
        <v>9</v>
      </c>
      <c r="D1328" s="11" t="s">
        <v>652</v>
      </c>
      <c r="E1328" s="13" t="s">
        <v>2650</v>
      </c>
      <c r="F1328" s="15">
        <v>40891.0</v>
      </c>
    </row>
    <row r="1329">
      <c r="A1329" s="11" t="s">
        <v>2651</v>
      </c>
      <c r="B1329" s="12"/>
      <c r="C1329" s="13" t="s">
        <v>9</v>
      </c>
      <c r="D1329" s="14"/>
      <c r="E1329" s="13" t="s">
        <v>856</v>
      </c>
      <c r="F1329" s="15">
        <v>40793.0</v>
      </c>
    </row>
    <row r="1330">
      <c r="A1330" s="11" t="s">
        <v>2652</v>
      </c>
      <c r="B1330" s="12"/>
      <c r="C1330" s="16" t="s">
        <v>9</v>
      </c>
      <c r="D1330" s="14"/>
      <c r="E1330" s="13" t="s">
        <v>9</v>
      </c>
      <c r="F1330" s="20"/>
    </row>
    <row r="1331">
      <c r="A1331" s="11" t="s">
        <v>2653</v>
      </c>
      <c r="B1331" s="12"/>
      <c r="C1331" s="18" t="s">
        <v>120</v>
      </c>
      <c r="D1331" s="11" t="s">
        <v>2654</v>
      </c>
      <c r="E1331" s="17"/>
      <c r="F1331" s="15">
        <v>40900.0</v>
      </c>
    </row>
    <row r="1332">
      <c r="A1332" s="11" t="s">
        <v>2655</v>
      </c>
      <c r="B1332" s="12"/>
      <c r="C1332" s="18" t="s">
        <v>19</v>
      </c>
      <c r="D1332" s="11" t="s">
        <v>2656</v>
      </c>
      <c r="E1332" s="13" t="s">
        <v>2657</v>
      </c>
      <c r="F1332" s="15">
        <v>40954.0</v>
      </c>
    </row>
    <row r="1333">
      <c r="A1333" s="11" t="s">
        <v>2658</v>
      </c>
      <c r="B1333" s="12"/>
      <c r="C1333" s="16" t="s">
        <v>9</v>
      </c>
      <c r="D1333" s="11" t="s">
        <v>2659</v>
      </c>
      <c r="E1333" s="13" t="s">
        <v>2660</v>
      </c>
      <c r="F1333" s="15">
        <v>40912.0</v>
      </c>
    </row>
    <row r="1334">
      <c r="A1334" s="11" t="s">
        <v>2661</v>
      </c>
      <c r="B1334" s="12"/>
      <c r="C1334" s="16" t="s">
        <v>9</v>
      </c>
      <c r="D1334" s="11" t="s">
        <v>2662</v>
      </c>
      <c r="E1334" s="13" t="s">
        <v>156</v>
      </c>
      <c r="F1334" s="15">
        <v>40899.0</v>
      </c>
    </row>
    <row r="1335">
      <c r="A1335" s="11" t="s">
        <v>2663</v>
      </c>
      <c r="B1335" s="12"/>
      <c r="C1335" s="16" t="s">
        <v>9</v>
      </c>
      <c r="D1335" s="14"/>
      <c r="E1335" s="13" t="s">
        <v>2664</v>
      </c>
      <c r="F1335" s="15">
        <v>40886.0</v>
      </c>
    </row>
    <row r="1336">
      <c r="A1336" s="11" t="s">
        <v>2665</v>
      </c>
      <c r="B1336" s="12"/>
      <c r="C1336" s="16" t="s">
        <v>9</v>
      </c>
      <c r="D1336" s="11" t="s">
        <v>1329</v>
      </c>
      <c r="E1336" s="13" t="s">
        <v>66</v>
      </c>
      <c r="F1336" s="15">
        <v>40885.0</v>
      </c>
    </row>
    <row r="1337">
      <c r="A1337" s="11" t="s">
        <v>2666</v>
      </c>
      <c r="B1337" s="12"/>
      <c r="C1337" s="16" t="s">
        <v>120</v>
      </c>
      <c r="D1337" s="11" t="s">
        <v>2667</v>
      </c>
      <c r="E1337" s="13" t="s">
        <v>50</v>
      </c>
      <c r="F1337" s="15">
        <v>40901.0</v>
      </c>
    </row>
    <row r="1338">
      <c r="A1338" s="11" t="s">
        <v>2668</v>
      </c>
      <c r="B1338" s="12"/>
      <c r="C1338" s="18" t="s">
        <v>19</v>
      </c>
      <c r="D1338" s="14"/>
      <c r="E1338" s="17"/>
      <c r="F1338" s="20"/>
    </row>
    <row r="1339">
      <c r="A1339" s="11" t="s">
        <v>2669</v>
      </c>
      <c r="B1339" s="12"/>
      <c r="C1339" s="18" t="s">
        <v>19</v>
      </c>
      <c r="D1339" s="19" t="str">
        <f>HYPERLINK("http://www.icheats.org/forum/index.php?/topic/5271-sav-the-nightworld-v101/","Chip Hack Here.")</f>
        <v>Chip Hack Here.</v>
      </c>
      <c r="E1339" s="13" t="s">
        <v>50</v>
      </c>
      <c r="F1339" s="15">
        <v>40902.0</v>
      </c>
    </row>
    <row r="1340">
      <c r="A1340" s="11" t="s">
        <v>2670</v>
      </c>
      <c r="B1340" s="12"/>
      <c r="C1340" s="13" t="s">
        <v>19</v>
      </c>
      <c r="D1340" s="19" t="str">
        <f>HYPERLINK("http://xsellize.com/topic/177146-the-oregon-trail-american-settler/"," Hack Here.")</f>
        <v> Hack Here.</v>
      </c>
      <c r="E1340" s="13" t="s">
        <v>72</v>
      </c>
      <c r="F1340" s="15">
        <v>40918.0</v>
      </c>
    </row>
    <row r="1341">
      <c r="A1341" s="11" t="s">
        <v>2671</v>
      </c>
      <c r="B1341" s="13">
        <v>6.0</v>
      </c>
      <c r="C1341" s="13" t="s">
        <v>120</v>
      </c>
      <c r="D1341" s="11" t="s">
        <v>2672</v>
      </c>
      <c r="E1341" s="13" t="s">
        <v>127</v>
      </c>
      <c r="F1341" s="15">
        <v>40918.0</v>
      </c>
    </row>
    <row r="1342">
      <c r="A1342" s="5" t="s">
        <v>2673</v>
      </c>
      <c r="B1342" s="6" t="s">
        <v>8</v>
      </c>
      <c r="C1342" s="16" t="s">
        <v>9</v>
      </c>
      <c r="D1342" s="8" t="s">
        <v>2674</v>
      </c>
      <c r="E1342" s="9" t="s">
        <v>2675</v>
      </c>
      <c r="F1342" s="10">
        <v>41103.0</v>
      </c>
    </row>
    <row r="1343">
      <c r="A1343" s="5" t="s">
        <v>2676</v>
      </c>
      <c r="B1343" s="12"/>
      <c r="C1343" s="27" t="s">
        <v>19</v>
      </c>
      <c r="D1343" s="8" t="s">
        <v>2677</v>
      </c>
      <c r="E1343" s="9" t="s">
        <v>2678</v>
      </c>
      <c r="F1343" s="23">
        <v>41535.0</v>
      </c>
    </row>
    <row r="1344">
      <c r="A1344" s="21" t="s">
        <v>2679</v>
      </c>
      <c r="B1344" s="13" t="s">
        <v>8</v>
      </c>
      <c r="C1344" s="18" t="s">
        <v>19</v>
      </c>
      <c r="D1344" s="19" t="str">
        <f>HYPERLINK("http://www.mediafire.com/?olxcttuzdvurn22","Simpsons tapped out hack.(mediafire)")</f>
        <v>Simpsons tapped out hack.(mediafire)</v>
      </c>
      <c r="E1344" s="13" t="s">
        <v>2630</v>
      </c>
      <c r="F1344" s="22">
        <v>40966.0</v>
      </c>
    </row>
    <row r="1345">
      <c r="A1345" s="21" t="s">
        <v>2680</v>
      </c>
      <c r="B1345" s="12"/>
      <c r="C1345" s="13" t="s">
        <v>19</v>
      </c>
      <c r="D1345" s="11" t="s">
        <v>2681</v>
      </c>
      <c r="E1345" s="13" t="s">
        <v>729</v>
      </c>
      <c r="F1345" s="15">
        <v>40973.0</v>
      </c>
    </row>
    <row r="1346">
      <c r="A1346" s="11" t="s">
        <v>2682</v>
      </c>
      <c r="B1346" s="12"/>
      <c r="C1346" s="13" t="s">
        <v>9</v>
      </c>
      <c r="D1346" s="11" t="s">
        <v>2683</v>
      </c>
      <c r="E1346" s="17"/>
      <c r="F1346" s="20"/>
    </row>
    <row r="1347">
      <c r="A1347" s="11" t="s">
        <v>2684</v>
      </c>
      <c r="B1347" s="13">
        <v>1.5</v>
      </c>
      <c r="C1347" s="18" t="s">
        <v>120</v>
      </c>
      <c r="D1347" s="19" t="str">
        <f>HYPERLINK("http://pastebin.com/gwWmK9uJ","See instructions here.")</f>
        <v>See instructions here.</v>
      </c>
      <c r="E1347" s="17"/>
      <c r="F1347" s="15">
        <v>41109.0</v>
      </c>
    </row>
    <row r="1348">
      <c r="A1348" s="11" t="s">
        <v>2685</v>
      </c>
      <c r="B1348" s="12"/>
      <c r="C1348" s="18" t="s">
        <v>19</v>
      </c>
      <c r="D1348" s="14"/>
      <c r="E1348" s="17"/>
      <c r="F1348" s="20"/>
    </row>
    <row r="1349">
      <c r="A1349" s="11" t="s">
        <v>2686</v>
      </c>
      <c r="B1349" s="12"/>
      <c r="C1349" s="18" t="s">
        <v>19</v>
      </c>
      <c r="D1349" s="11" t="s">
        <v>2687</v>
      </c>
      <c r="E1349" s="13" t="s">
        <v>279</v>
      </c>
      <c r="F1349" s="15">
        <v>40826.4436458333</v>
      </c>
    </row>
    <row r="1350">
      <c r="A1350" s="11" t="s">
        <v>2688</v>
      </c>
      <c r="B1350" s="12"/>
      <c r="C1350" s="18" t="s">
        <v>19</v>
      </c>
      <c r="D1350" s="11" t="s">
        <v>2689</v>
      </c>
      <c r="E1350" s="13" t="s">
        <v>279</v>
      </c>
      <c r="F1350" s="15">
        <v>40826.4435648148</v>
      </c>
    </row>
    <row r="1351">
      <c r="A1351" s="29" t="s">
        <v>2690</v>
      </c>
      <c r="B1351" s="12"/>
      <c r="C1351" s="13" t="s">
        <v>9</v>
      </c>
      <c r="D1351" s="8" t="s">
        <v>2691</v>
      </c>
      <c r="E1351" s="6" t="s">
        <v>2692</v>
      </c>
      <c r="F1351" s="28">
        <v>41005.0</v>
      </c>
    </row>
    <row r="1352">
      <c r="A1352" s="11" t="s">
        <v>2693</v>
      </c>
      <c r="B1352" s="12"/>
      <c r="C1352" s="18" t="s">
        <v>19</v>
      </c>
      <c r="D1352" s="11" t="s">
        <v>2694</v>
      </c>
      <c r="E1352" s="13" t="s">
        <v>279</v>
      </c>
      <c r="F1352" s="15">
        <v>40799.7721064815</v>
      </c>
    </row>
    <row r="1353">
      <c r="A1353" s="11" t="s">
        <v>2695</v>
      </c>
      <c r="B1353" s="12"/>
      <c r="C1353" s="18" t="s">
        <v>19</v>
      </c>
      <c r="D1353" s="14"/>
      <c r="E1353" s="17"/>
      <c r="F1353" s="20"/>
    </row>
    <row r="1354">
      <c r="A1354" s="11" t="s">
        <v>2696</v>
      </c>
      <c r="B1354" s="12"/>
      <c r="C1354" s="18" t="s">
        <v>19</v>
      </c>
      <c r="D1354" s="14"/>
      <c r="E1354" s="13" t="s">
        <v>861</v>
      </c>
      <c r="F1354" s="15">
        <v>40885.0</v>
      </c>
    </row>
    <row r="1355">
      <c r="A1355" s="11" t="s">
        <v>2697</v>
      </c>
      <c r="B1355" s="13" t="s">
        <v>286</v>
      </c>
      <c r="C1355" s="18" t="s">
        <v>19</v>
      </c>
      <c r="D1355" s="19" t="str">
        <f>HYPERLINK("http://www.icheatr.com/2011/12/third-blade-hack.html","Third Blade Iphone Gold Hack / Cheat")</f>
        <v>Third Blade Iphone Gold Hack / Cheat</v>
      </c>
      <c r="E1355" s="13" t="s">
        <v>2698</v>
      </c>
      <c r="F1355" s="15">
        <v>40912.0</v>
      </c>
    </row>
    <row r="1356">
      <c r="A1356" s="11" t="s">
        <v>2699</v>
      </c>
      <c r="B1356" s="12"/>
      <c r="C1356" s="18" t="s">
        <v>120</v>
      </c>
      <c r="D1356" s="19" t="str">
        <f>HYPERLINK("http://xsellize.com/topic/164717-three-kingdoms-td-fate-of-wei/","Hack Here by Mila.")</f>
        <v>Hack Here by Mila.</v>
      </c>
      <c r="E1356" s="17"/>
      <c r="F1356" s="15">
        <v>40882.0</v>
      </c>
    </row>
    <row r="1357">
      <c r="A1357" s="11" t="s">
        <v>2700</v>
      </c>
      <c r="B1357" s="12"/>
      <c r="C1357" s="13" t="s">
        <v>9</v>
      </c>
      <c r="D1357" s="14"/>
      <c r="E1357" s="13" t="s">
        <v>2701</v>
      </c>
      <c r="F1357" s="15">
        <v>40931.0</v>
      </c>
    </row>
    <row r="1358">
      <c r="A1358" s="5" t="s">
        <v>2702</v>
      </c>
      <c r="B1358" s="6">
        <v>1.4</v>
      </c>
      <c r="C1358" s="27" t="s">
        <v>19</v>
      </c>
      <c r="D1358" s="8" t="s">
        <v>2703</v>
      </c>
      <c r="E1358" s="9" t="s">
        <v>2704</v>
      </c>
      <c r="F1358" s="23">
        <v>41157.0</v>
      </c>
    </row>
    <row r="1359">
      <c r="A1359" s="11" t="s">
        <v>2705</v>
      </c>
      <c r="B1359" s="12"/>
      <c r="C1359" s="18" t="s">
        <v>19</v>
      </c>
      <c r="D1359" s="11" t="s">
        <v>2706</v>
      </c>
      <c r="E1359" s="17"/>
      <c r="F1359" s="15">
        <v>40954.0</v>
      </c>
    </row>
    <row r="1360">
      <c r="A1360" s="5" t="s">
        <v>2707</v>
      </c>
      <c r="B1360" s="12"/>
      <c r="C1360" s="7" t="s">
        <v>9</v>
      </c>
      <c r="D1360" s="8" t="s">
        <v>2708</v>
      </c>
      <c r="F1360" s="10">
        <v>41109.0</v>
      </c>
    </row>
    <row r="1361">
      <c r="A1361" s="50" t="s">
        <v>2709</v>
      </c>
      <c r="B1361" s="13">
        <v>1.1</v>
      </c>
      <c r="C1361" s="18" t="s">
        <v>19</v>
      </c>
      <c r="D1361" s="11" t="s">
        <v>2710</v>
      </c>
      <c r="E1361" s="13" t="s">
        <v>1646</v>
      </c>
      <c r="F1361" s="22">
        <v>40964.0</v>
      </c>
    </row>
    <row r="1362">
      <c r="A1362" s="11" t="s">
        <v>2711</v>
      </c>
      <c r="B1362" s="12"/>
      <c r="C1362" s="13" t="s">
        <v>9</v>
      </c>
      <c r="D1362" s="11" t="s">
        <v>2712</v>
      </c>
      <c r="E1362" s="13" t="s">
        <v>833</v>
      </c>
      <c r="F1362" s="20"/>
    </row>
    <row r="1363">
      <c r="A1363" s="11" t="s">
        <v>2713</v>
      </c>
      <c r="B1363" s="12"/>
      <c r="C1363" s="13" t="s">
        <v>9</v>
      </c>
      <c r="D1363" s="11" t="s">
        <v>2714</v>
      </c>
      <c r="E1363" s="13" t="s">
        <v>2445</v>
      </c>
      <c r="F1363" s="15">
        <v>40887.0</v>
      </c>
    </row>
    <row r="1364">
      <c r="A1364" s="11" t="s">
        <v>2715</v>
      </c>
      <c r="B1364" s="12"/>
      <c r="C1364" s="13" t="s">
        <v>9</v>
      </c>
      <c r="D1364" s="14"/>
      <c r="E1364" s="17"/>
      <c r="F1364" s="20"/>
    </row>
    <row r="1365">
      <c r="A1365" s="11" t="s">
        <v>2716</v>
      </c>
      <c r="B1365" s="12"/>
      <c r="C1365" s="16" t="s">
        <v>9</v>
      </c>
      <c r="D1365" s="11" t="s">
        <v>2717</v>
      </c>
      <c r="E1365" s="13" t="s">
        <v>2718</v>
      </c>
      <c r="F1365" s="15">
        <v>40871.0</v>
      </c>
    </row>
    <row r="1366">
      <c r="A1366" s="11" t="s">
        <v>2719</v>
      </c>
      <c r="B1366" s="12"/>
      <c r="C1366" s="16" t="s">
        <v>9</v>
      </c>
      <c r="D1366" s="11" t="s">
        <v>2720</v>
      </c>
      <c r="E1366" s="13" t="s">
        <v>379</v>
      </c>
      <c r="F1366" s="15">
        <v>40929.0</v>
      </c>
    </row>
    <row r="1367">
      <c r="A1367" s="11" t="s">
        <v>2721</v>
      </c>
      <c r="B1367" s="12"/>
      <c r="C1367" s="18" t="s">
        <v>19</v>
      </c>
      <c r="D1367" s="14"/>
      <c r="E1367" s="17"/>
      <c r="F1367" s="20"/>
    </row>
    <row r="1368">
      <c r="A1368" s="11" t="s">
        <v>2722</v>
      </c>
      <c r="B1368" s="12"/>
      <c r="C1368" s="16" t="s">
        <v>9</v>
      </c>
      <c r="D1368" s="14"/>
      <c r="E1368" s="13" t="s">
        <v>66</v>
      </c>
      <c r="F1368" s="15">
        <v>40881.0</v>
      </c>
    </row>
    <row r="1369">
      <c r="A1369" s="11" t="s">
        <v>2723</v>
      </c>
      <c r="B1369" s="12"/>
      <c r="C1369" s="16" t="s">
        <v>9</v>
      </c>
      <c r="D1369" s="14"/>
      <c r="E1369" s="13" t="s">
        <v>66</v>
      </c>
      <c r="F1369" s="15">
        <v>40914.0</v>
      </c>
    </row>
    <row r="1370">
      <c r="A1370" s="11" t="s">
        <v>2724</v>
      </c>
      <c r="B1370" s="12"/>
      <c r="C1370" s="13" t="s">
        <v>9</v>
      </c>
      <c r="D1370" s="11" t="s">
        <v>2725</v>
      </c>
      <c r="E1370" s="13" t="s">
        <v>432</v>
      </c>
      <c r="F1370" s="15">
        <v>40928.0</v>
      </c>
    </row>
    <row r="1371">
      <c r="A1371" s="11" t="s">
        <v>2726</v>
      </c>
      <c r="B1371" s="12"/>
      <c r="C1371" s="13" t="s">
        <v>9</v>
      </c>
      <c r="D1371" s="11" t="s">
        <v>2727</v>
      </c>
      <c r="E1371" s="13" t="s">
        <v>2728</v>
      </c>
      <c r="F1371" s="15">
        <v>40950.0</v>
      </c>
    </row>
    <row r="1372">
      <c r="A1372" s="11" t="s">
        <v>2729</v>
      </c>
      <c r="B1372" s="12"/>
      <c r="C1372" s="16" t="s">
        <v>9</v>
      </c>
      <c r="D1372" s="14"/>
      <c r="E1372" s="13" t="s">
        <v>175</v>
      </c>
      <c r="F1372" s="15">
        <v>40793.9138888889</v>
      </c>
    </row>
    <row r="1373">
      <c r="A1373" s="11" t="s">
        <v>2730</v>
      </c>
      <c r="B1373" s="12"/>
      <c r="C1373" s="18" t="s">
        <v>19</v>
      </c>
      <c r="D1373" s="14"/>
      <c r="E1373" s="17"/>
      <c r="F1373" s="20"/>
    </row>
    <row r="1374">
      <c r="A1374" s="11" t="s">
        <v>2731</v>
      </c>
      <c r="B1374" s="12"/>
      <c r="C1374" s="16" t="s">
        <v>9</v>
      </c>
      <c r="D1374" s="11" t="s">
        <v>2732</v>
      </c>
      <c r="E1374" s="13" t="s">
        <v>596</v>
      </c>
      <c r="F1374" s="15">
        <v>40904.0</v>
      </c>
    </row>
    <row r="1375">
      <c r="A1375" s="11" t="s">
        <v>2733</v>
      </c>
      <c r="B1375" s="12"/>
      <c r="C1375" s="16" t="s">
        <v>19</v>
      </c>
      <c r="D1375" s="14"/>
      <c r="E1375" s="17"/>
      <c r="F1375" s="15">
        <v>40913.0</v>
      </c>
    </row>
    <row r="1376">
      <c r="A1376" s="5" t="s">
        <v>2733</v>
      </c>
      <c r="B1376" s="12"/>
      <c r="C1376" s="27" t="s">
        <v>19</v>
      </c>
      <c r="D1376" s="8" t="s">
        <v>2734</v>
      </c>
      <c r="E1376" s="17"/>
      <c r="F1376" s="39"/>
    </row>
    <row r="1377">
      <c r="A1377" s="11" t="s">
        <v>2735</v>
      </c>
      <c r="B1377" s="12"/>
      <c r="C1377" s="13" t="s">
        <v>9</v>
      </c>
      <c r="D1377" s="11" t="s">
        <v>2736</v>
      </c>
      <c r="E1377" s="13" t="s">
        <v>432</v>
      </c>
      <c r="F1377" s="15">
        <v>40935.0</v>
      </c>
    </row>
    <row r="1378">
      <c r="A1378" s="11" t="s">
        <v>2737</v>
      </c>
      <c r="B1378" s="12"/>
      <c r="C1378" s="18" t="s">
        <v>19</v>
      </c>
      <c r="D1378" s="11" t="s">
        <v>2738</v>
      </c>
      <c r="E1378" s="13" t="s">
        <v>1949</v>
      </c>
      <c r="F1378" s="15">
        <v>40911.0</v>
      </c>
    </row>
    <row r="1379">
      <c r="A1379" s="11" t="s">
        <v>2739</v>
      </c>
      <c r="B1379" s="12"/>
      <c r="C1379" s="16" t="s">
        <v>9</v>
      </c>
      <c r="D1379" s="11" t="s">
        <v>2740</v>
      </c>
      <c r="E1379" s="13" t="s">
        <v>2741</v>
      </c>
      <c r="F1379" s="15">
        <v>40793.0</v>
      </c>
    </row>
    <row r="1380">
      <c r="A1380" s="5" t="s">
        <v>2742</v>
      </c>
      <c r="B1380" s="6">
        <v>1.1</v>
      </c>
      <c r="C1380" s="16" t="s">
        <v>9</v>
      </c>
      <c r="D1380" s="8" t="s">
        <v>2743</v>
      </c>
      <c r="E1380" s="17"/>
      <c r="F1380" s="28">
        <v>41095.0</v>
      </c>
    </row>
    <row r="1381">
      <c r="A1381" s="11" t="s">
        <v>2744</v>
      </c>
      <c r="B1381" s="12"/>
      <c r="C1381" s="18" t="s">
        <v>19</v>
      </c>
      <c r="D1381" s="11" t="s">
        <v>2745</v>
      </c>
      <c r="E1381" s="17"/>
      <c r="F1381" s="20"/>
    </row>
    <row r="1382">
      <c r="A1382" s="11" t="s">
        <v>2746</v>
      </c>
      <c r="B1382" s="12"/>
      <c r="C1382" s="18" t="s">
        <v>19</v>
      </c>
      <c r="D1382" s="14"/>
      <c r="E1382" s="17"/>
      <c r="F1382" s="20"/>
    </row>
    <row r="1383">
      <c r="A1383" s="11" t="s">
        <v>2747</v>
      </c>
      <c r="B1383" s="12"/>
      <c r="C1383" s="13" t="s">
        <v>9</v>
      </c>
      <c r="D1383" s="11" t="s">
        <v>2748</v>
      </c>
      <c r="E1383" s="13" t="s">
        <v>2749</v>
      </c>
      <c r="F1383" s="15">
        <v>40952.0</v>
      </c>
    </row>
    <row r="1384">
      <c r="A1384" s="11" t="s">
        <v>2750</v>
      </c>
      <c r="B1384" s="12"/>
      <c r="C1384" s="18" t="s">
        <v>19</v>
      </c>
      <c r="D1384" s="19" t="str">
        <f>HYPERLINK("http://www.icheats.org/forum/index.php?/topic/5423-savto-fu2-unlock-everything-hack/","Unlock Everything Hack is here.")</f>
        <v>Unlock Everything Hack is here.</v>
      </c>
      <c r="E1384" s="13" t="s">
        <v>335</v>
      </c>
      <c r="F1384" s="15">
        <v>40947.0</v>
      </c>
    </row>
    <row r="1385">
      <c r="A1385" s="11" t="s">
        <v>2751</v>
      </c>
      <c r="B1385" s="12"/>
      <c r="C1385" s="18" t="s">
        <v>19</v>
      </c>
      <c r="D1385" s="14"/>
      <c r="E1385" s="17"/>
      <c r="F1385" s="20"/>
    </row>
    <row r="1386">
      <c r="A1386" s="11" t="s">
        <v>2752</v>
      </c>
      <c r="B1386" s="12"/>
      <c r="C1386" s="13" t="s">
        <v>9</v>
      </c>
      <c r="D1386" s="11" t="s">
        <v>2753</v>
      </c>
      <c r="E1386" s="13" t="s">
        <v>2728</v>
      </c>
      <c r="F1386" s="15">
        <v>40950.0</v>
      </c>
    </row>
    <row r="1387">
      <c r="A1387" s="11" t="s">
        <v>2754</v>
      </c>
      <c r="B1387" s="12"/>
      <c r="C1387" s="18" t="s">
        <v>19</v>
      </c>
      <c r="D1387" s="14"/>
      <c r="E1387" s="17"/>
      <c r="F1387" s="20"/>
    </row>
    <row r="1388">
      <c r="A1388" s="11" t="s">
        <v>2755</v>
      </c>
      <c r="B1388" s="12"/>
      <c r="C1388" s="43" t="s">
        <v>19</v>
      </c>
      <c r="D1388" s="11" t="s">
        <v>2756</v>
      </c>
      <c r="E1388" s="13" t="s">
        <v>2757</v>
      </c>
      <c r="F1388" s="15">
        <v>40810.0363194444</v>
      </c>
    </row>
    <row r="1389">
      <c r="A1389" s="11" t="s">
        <v>2758</v>
      </c>
      <c r="B1389" s="12"/>
      <c r="C1389" s="13" t="s">
        <v>9</v>
      </c>
      <c r="D1389" s="11" t="s">
        <v>2759</v>
      </c>
      <c r="E1389" s="17"/>
      <c r="F1389" s="20"/>
    </row>
    <row r="1390">
      <c r="A1390" s="11" t="s">
        <v>2760</v>
      </c>
      <c r="B1390" s="12"/>
      <c r="C1390" s="18" t="s">
        <v>19</v>
      </c>
      <c r="D1390" s="11" t="s">
        <v>2761</v>
      </c>
      <c r="E1390" s="13" t="s">
        <v>861</v>
      </c>
      <c r="F1390" s="15">
        <v>40885.0</v>
      </c>
    </row>
    <row r="1391">
      <c r="A1391" s="5" t="s">
        <v>2762</v>
      </c>
      <c r="B1391" s="6">
        <v>1.1</v>
      </c>
      <c r="C1391" s="7" t="s">
        <v>9</v>
      </c>
      <c r="D1391" s="8" t="s">
        <v>2763</v>
      </c>
      <c r="E1391" s="17"/>
      <c r="F1391" s="39"/>
    </row>
    <row r="1392">
      <c r="A1392" s="11" t="s">
        <v>2764</v>
      </c>
      <c r="B1392" s="12"/>
      <c r="C1392" s="16" t="s">
        <v>147</v>
      </c>
      <c r="D1392" s="11" t="s">
        <v>2765</v>
      </c>
      <c r="E1392" s="13" t="s">
        <v>2766</v>
      </c>
      <c r="F1392" s="15">
        <v>40913.0</v>
      </c>
    </row>
    <row r="1393">
      <c r="A1393" s="11" t="s">
        <v>2767</v>
      </c>
      <c r="B1393" s="12"/>
      <c r="C1393" s="16" t="s">
        <v>9</v>
      </c>
      <c r="D1393" s="11" t="s">
        <v>2768</v>
      </c>
      <c r="E1393" s="13" t="s">
        <v>2769</v>
      </c>
      <c r="F1393" s="15">
        <v>40872.0</v>
      </c>
    </row>
    <row r="1394">
      <c r="A1394" s="11" t="s">
        <v>2770</v>
      </c>
      <c r="B1394" s="12"/>
      <c r="C1394" s="16" t="s">
        <v>147</v>
      </c>
      <c r="D1394" s="11" t="s">
        <v>2771</v>
      </c>
      <c r="E1394" s="13" t="s">
        <v>403</v>
      </c>
      <c r="F1394" s="15">
        <v>40922.0</v>
      </c>
    </row>
    <row r="1395">
      <c r="A1395" s="11" t="s">
        <v>2772</v>
      </c>
      <c r="B1395" s="12"/>
      <c r="C1395" s="18" t="s">
        <v>19</v>
      </c>
      <c r="D1395" s="11" t="s">
        <v>2773</v>
      </c>
      <c r="E1395" s="13" t="s">
        <v>603</v>
      </c>
      <c r="F1395" s="15">
        <v>40888.0</v>
      </c>
    </row>
    <row r="1396">
      <c r="A1396" s="11" t="s">
        <v>2774</v>
      </c>
      <c r="B1396" s="12"/>
      <c r="C1396" s="13" t="s">
        <v>9</v>
      </c>
      <c r="D1396" s="11" t="s">
        <v>2775</v>
      </c>
      <c r="E1396" s="17"/>
      <c r="F1396" s="20"/>
    </row>
    <row r="1397">
      <c r="A1397" s="11" t="s">
        <v>2776</v>
      </c>
      <c r="B1397" s="12"/>
      <c r="C1397" s="16" t="s">
        <v>9</v>
      </c>
      <c r="D1397" s="11" t="s">
        <v>2777</v>
      </c>
      <c r="E1397" s="13" t="s">
        <v>1192</v>
      </c>
      <c r="F1397" s="15">
        <v>40951.0</v>
      </c>
    </row>
    <row r="1398">
      <c r="A1398" s="11" t="s">
        <v>2778</v>
      </c>
      <c r="B1398" s="12"/>
      <c r="C1398" s="18" t="s">
        <v>19</v>
      </c>
      <c r="D1398" s="14"/>
      <c r="E1398" s="13" t="s">
        <v>2779</v>
      </c>
      <c r="F1398" s="15">
        <v>40898.0</v>
      </c>
    </row>
    <row r="1399">
      <c r="A1399" s="11" t="s">
        <v>2780</v>
      </c>
      <c r="B1399" s="12"/>
      <c r="C1399" s="16" t="s">
        <v>9</v>
      </c>
      <c r="D1399" s="11" t="s">
        <v>368</v>
      </c>
      <c r="E1399" s="13" t="s">
        <v>96</v>
      </c>
      <c r="F1399" s="15">
        <v>40903.0</v>
      </c>
    </row>
    <row r="1400">
      <c r="A1400" s="11" t="s">
        <v>2781</v>
      </c>
      <c r="B1400" s="12"/>
      <c r="C1400" s="16" t="s">
        <v>9</v>
      </c>
      <c r="D1400" s="14"/>
      <c r="E1400" s="17"/>
      <c r="F1400" s="15">
        <v>40910.0</v>
      </c>
    </row>
    <row r="1401">
      <c r="A1401" s="29" t="s">
        <v>2782</v>
      </c>
      <c r="B1401" s="12"/>
      <c r="C1401" s="27" t="s">
        <v>19</v>
      </c>
      <c r="D1401" s="8" t="s">
        <v>2783</v>
      </c>
      <c r="E1401" s="6" t="s">
        <v>274</v>
      </c>
      <c r="F1401" s="45" t="s">
        <v>2784</v>
      </c>
    </row>
    <row r="1402">
      <c r="A1402" s="5" t="s">
        <v>2785</v>
      </c>
      <c r="B1402" s="6" t="s">
        <v>2786</v>
      </c>
      <c r="C1402" s="7" t="s">
        <v>9</v>
      </c>
      <c r="D1402" s="8" t="s">
        <v>2787</v>
      </c>
      <c r="E1402" s="17"/>
      <c r="F1402" s="28">
        <v>41098.0</v>
      </c>
    </row>
    <row r="1403">
      <c r="A1403" s="11" t="s">
        <v>2788</v>
      </c>
      <c r="B1403" s="12"/>
      <c r="C1403" s="16" t="s">
        <v>9</v>
      </c>
      <c r="D1403" s="11" t="s">
        <v>2789</v>
      </c>
      <c r="E1403" s="13" t="s">
        <v>100</v>
      </c>
      <c r="F1403" s="15">
        <v>40874.0</v>
      </c>
    </row>
    <row r="1404">
      <c r="A1404" s="11" t="s">
        <v>2790</v>
      </c>
      <c r="B1404" s="12"/>
      <c r="C1404" s="16" t="s">
        <v>9</v>
      </c>
      <c r="D1404" s="14"/>
      <c r="E1404" s="13" t="s">
        <v>2791</v>
      </c>
      <c r="F1404" s="15">
        <v>40931.0</v>
      </c>
    </row>
    <row r="1405">
      <c r="A1405" s="11" t="s">
        <v>2792</v>
      </c>
      <c r="B1405" s="12"/>
      <c r="C1405" s="13" t="s">
        <v>19</v>
      </c>
      <c r="D1405" s="14"/>
      <c r="E1405" s="17"/>
      <c r="F1405" s="20"/>
    </row>
    <row r="1406">
      <c r="A1406" s="11" t="s">
        <v>2793</v>
      </c>
      <c r="B1406" s="12"/>
      <c r="C1406" s="18" t="s">
        <v>19</v>
      </c>
      <c r="D1406" s="14"/>
      <c r="E1406" s="17"/>
      <c r="F1406" s="20"/>
    </row>
    <row r="1407">
      <c r="A1407" s="11" t="s">
        <v>2794</v>
      </c>
      <c r="B1407" s="12"/>
      <c r="C1407" s="16" t="s">
        <v>9</v>
      </c>
      <c r="D1407" s="11" t="s">
        <v>2795</v>
      </c>
      <c r="E1407" s="13" t="s">
        <v>461</v>
      </c>
      <c r="F1407" s="15">
        <v>40946.0</v>
      </c>
    </row>
    <row r="1408">
      <c r="A1408" s="11" t="s">
        <v>2796</v>
      </c>
      <c r="B1408" s="12"/>
      <c r="C1408" s="13" t="s">
        <v>9</v>
      </c>
      <c r="D1408" s="14"/>
      <c r="E1408" s="17"/>
      <c r="F1408" s="15">
        <v>40922.0</v>
      </c>
    </row>
    <row r="1409">
      <c r="A1409" s="11" t="s">
        <v>2797</v>
      </c>
      <c r="B1409" s="12"/>
      <c r="C1409" s="13" t="s">
        <v>19</v>
      </c>
      <c r="D1409" s="11" t="s">
        <v>2798</v>
      </c>
      <c r="E1409" s="13" t="s">
        <v>50</v>
      </c>
      <c r="F1409" s="15">
        <v>40898.0</v>
      </c>
    </row>
    <row r="1410">
      <c r="A1410" s="11" t="s">
        <v>2799</v>
      </c>
      <c r="B1410" s="12"/>
      <c r="C1410" s="13" t="s">
        <v>19</v>
      </c>
      <c r="D1410" s="11" t="s">
        <v>2800</v>
      </c>
      <c r="E1410" s="13" t="s">
        <v>432</v>
      </c>
      <c r="F1410" s="15">
        <v>40928.0</v>
      </c>
    </row>
    <row r="1411">
      <c r="A1411" s="11" t="s">
        <v>2801</v>
      </c>
      <c r="B1411" s="12"/>
      <c r="C1411" s="16" t="s">
        <v>9</v>
      </c>
      <c r="D1411" s="11" t="s">
        <v>2802</v>
      </c>
      <c r="E1411" s="13" t="s">
        <v>2803</v>
      </c>
      <c r="F1411" s="15">
        <v>40925.0</v>
      </c>
    </row>
    <row r="1412">
      <c r="A1412" s="11" t="s">
        <v>2804</v>
      </c>
      <c r="B1412" s="12"/>
      <c r="C1412" s="13" t="s">
        <v>9</v>
      </c>
      <c r="D1412" s="14"/>
      <c r="E1412" s="13" t="s">
        <v>2219</v>
      </c>
      <c r="F1412" s="15">
        <v>40938.0</v>
      </c>
    </row>
    <row r="1413">
      <c r="A1413" s="11" t="s">
        <v>2805</v>
      </c>
      <c r="B1413" s="12"/>
      <c r="C1413" s="16" t="s">
        <v>9</v>
      </c>
      <c r="D1413" s="14"/>
      <c r="E1413" s="13" t="s">
        <v>932</v>
      </c>
      <c r="F1413" s="15">
        <v>40912.0</v>
      </c>
    </row>
    <row r="1414">
      <c r="A1414" s="5" t="s">
        <v>2806</v>
      </c>
      <c r="B1414" s="6" t="s">
        <v>1823</v>
      </c>
      <c r="C1414" s="7" t="s">
        <v>9</v>
      </c>
      <c r="D1414" s="8" t="s">
        <v>2131</v>
      </c>
      <c r="E1414" s="9" t="s">
        <v>2807</v>
      </c>
      <c r="F1414" s="28">
        <v>41096.0</v>
      </c>
    </row>
    <row r="1415">
      <c r="A1415" s="11" t="s">
        <v>2808</v>
      </c>
      <c r="B1415" s="12"/>
      <c r="C1415" s="13" t="s">
        <v>9</v>
      </c>
      <c r="D1415" s="14"/>
      <c r="E1415" s="13" t="s">
        <v>72</v>
      </c>
      <c r="F1415" s="15">
        <v>40918.0</v>
      </c>
    </row>
    <row r="1416">
      <c r="A1416" s="11" t="s">
        <v>2809</v>
      </c>
      <c r="B1416" s="12"/>
      <c r="C1416" s="18" t="s">
        <v>19</v>
      </c>
      <c r="D1416" s="11" t="s">
        <v>2810</v>
      </c>
      <c r="E1416" s="17"/>
      <c r="F1416" s="20"/>
    </row>
    <row r="1417">
      <c r="A1417" s="11" t="s">
        <v>2811</v>
      </c>
      <c r="B1417" s="12"/>
      <c r="C1417" s="13" t="s">
        <v>9</v>
      </c>
      <c r="D1417" s="11" t="s">
        <v>2812</v>
      </c>
      <c r="E1417" s="13" t="s">
        <v>2813</v>
      </c>
      <c r="F1417" s="15">
        <v>40917.0</v>
      </c>
    </row>
    <row r="1418">
      <c r="A1418" s="11" t="s">
        <v>2814</v>
      </c>
      <c r="B1418" s="13" t="s">
        <v>2815</v>
      </c>
      <c r="C1418" s="13" t="s">
        <v>9</v>
      </c>
      <c r="D1418" s="11" t="s">
        <v>2816</v>
      </c>
      <c r="E1418" s="13" t="s">
        <v>2817</v>
      </c>
      <c r="F1418" s="22">
        <v>40959.0</v>
      </c>
    </row>
    <row r="1419">
      <c r="A1419" s="11" t="s">
        <v>2818</v>
      </c>
      <c r="B1419" s="55">
        <v>3.0</v>
      </c>
      <c r="C1419" s="13" t="s">
        <v>9</v>
      </c>
      <c r="D1419" s="11" t="s">
        <v>2819</v>
      </c>
      <c r="E1419" s="13" t="s">
        <v>464</v>
      </c>
      <c r="F1419" s="22">
        <v>40959.0</v>
      </c>
    </row>
    <row r="1420">
      <c r="A1420" s="11" t="s">
        <v>2820</v>
      </c>
      <c r="B1420" s="12"/>
      <c r="C1420" s="16" t="s">
        <v>9</v>
      </c>
      <c r="D1420" s="11" t="s">
        <v>2821</v>
      </c>
      <c r="E1420" s="17"/>
      <c r="F1420" s="20"/>
    </row>
    <row r="1421">
      <c r="A1421" s="11" t="s">
        <v>2822</v>
      </c>
      <c r="B1421" s="12"/>
      <c r="C1421" s="13" t="s">
        <v>9</v>
      </c>
      <c r="D1421" s="11" t="s">
        <v>2464</v>
      </c>
      <c r="E1421" s="13" t="s">
        <v>287</v>
      </c>
      <c r="F1421" s="15">
        <v>40945.0</v>
      </c>
    </row>
    <row r="1422">
      <c r="A1422" s="21" t="s">
        <v>2823</v>
      </c>
      <c r="B1422" s="13">
        <v>3.7</v>
      </c>
      <c r="C1422" s="18" t="s">
        <v>19</v>
      </c>
      <c r="D1422" s="11" t="s">
        <v>2824</v>
      </c>
      <c r="E1422" s="17"/>
      <c r="F1422" s="22">
        <v>40966.0</v>
      </c>
    </row>
    <row r="1423">
      <c r="A1423" s="11" t="s">
        <v>2825</v>
      </c>
      <c r="B1423" s="12"/>
      <c r="C1423" s="16" t="s">
        <v>9</v>
      </c>
      <c r="D1423" s="11" t="s">
        <v>2826</v>
      </c>
      <c r="E1423" s="13" t="s">
        <v>66</v>
      </c>
      <c r="F1423" s="15">
        <v>40885.0</v>
      </c>
    </row>
    <row r="1424">
      <c r="A1424" s="11" t="s">
        <v>2827</v>
      </c>
      <c r="B1424" s="12"/>
      <c r="C1424" s="16" t="s">
        <v>9</v>
      </c>
      <c r="D1424" s="11" t="s">
        <v>2828</v>
      </c>
      <c r="E1424" s="13" t="s">
        <v>1059</v>
      </c>
      <c r="F1424" s="15">
        <v>40894.0</v>
      </c>
    </row>
    <row r="1425">
      <c r="A1425" s="11" t="s">
        <v>2829</v>
      </c>
      <c r="B1425" s="12"/>
      <c r="C1425" s="16" t="s">
        <v>9</v>
      </c>
      <c r="D1425" s="11" t="s">
        <v>2830</v>
      </c>
      <c r="E1425" s="13" t="s">
        <v>2831</v>
      </c>
      <c r="F1425" s="20"/>
    </row>
    <row r="1426">
      <c r="A1426" s="11" t="s">
        <v>2832</v>
      </c>
      <c r="B1426" s="12"/>
      <c r="C1426" s="18" t="s">
        <v>19</v>
      </c>
      <c r="D1426" s="14"/>
      <c r="E1426" s="17"/>
      <c r="F1426" s="20"/>
    </row>
    <row r="1427">
      <c r="A1427" s="21" t="s">
        <v>2833</v>
      </c>
      <c r="B1427" s="13">
        <v>1.1</v>
      </c>
      <c r="C1427" s="16" t="s">
        <v>9</v>
      </c>
      <c r="D1427" s="11" t="s">
        <v>2834</v>
      </c>
      <c r="E1427" s="17"/>
      <c r="F1427" s="22">
        <v>40967.0</v>
      </c>
    </row>
    <row r="1428">
      <c r="A1428" s="11" t="s">
        <v>2835</v>
      </c>
      <c r="B1428" s="12"/>
      <c r="C1428" s="16" t="s">
        <v>9</v>
      </c>
      <c r="D1428" s="14"/>
      <c r="E1428" s="17"/>
      <c r="F1428" s="20"/>
    </row>
    <row r="1429">
      <c r="A1429" s="11" t="s">
        <v>2836</v>
      </c>
      <c r="B1429" s="12"/>
      <c r="C1429" s="16" t="s">
        <v>9</v>
      </c>
      <c r="D1429" s="11" t="s">
        <v>2837</v>
      </c>
      <c r="E1429" s="13" t="s">
        <v>1535</v>
      </c>
      <c r="F1429" s="15">
        <v>40891.0</v>
      </c>
    </row>
    <row r="1430">
      <c r="A1430" s="11" t="s">
        <v>2838</v>
      </c>
      <c r="B1430" s="12"/>
      <c r="C1430" s="16" t="s">
        <v>9</v>
      </c>
      <c r="D1430" s="11" t="s">
        <v>2839</v>
      </c>
      <c r="E1430" s="13" t="s">
        <v>2840</v>
      </c>
      <c r="F1430" s="15">
        <v>40925.0</v>
      </c>
    </row>
    <row r="1431">
      <c r="A1431" s="11" t="s">
        <v>2841</v>
      </c>
      <c r="B1431" s="12"/>
      <c r="C1431" s="18" t="s">
        <v>19</v>
      </c>
      <c r="D1431" s="19" t="str">
        <f>HYPERLINK("http://heaveniphone.com/iphone-kinh-nghiem-choi-game/67175-v2-1-1-2-2-huong-dan-h-ck-trucks-skulls-nitro-hd-iphone-ipad.html#post429611","999999 Gold Hack Here.")</f>
        <v>999999 Gold Hack Here.</v>
      </c>
      <c r="E1431" s="17"/>
      <c r="F1431" s="20"/>
    </row>
    <row r="1432">
      <c r="A1432" s="11" t="s">
        <v>2842</v>
      </c>
      <c r="B1432" s="12"/>
      <c r="C1432" s="18" t="s">
        <v>190</v>
      </c>
      <c r="D1432" s="11" t="s">
        <v>2843</v>
      </c>
      <c r="E1432" s="13" t="s">
        <v>2844</v>
      </c>
      <c r="F1432" s="15">
        <v>40905.0</v>
      </c>
    </row>
    <row r="1433">
      <c r="A1433" s="56" t="s">
        <v>2845</v>
      </c>
      <c r="B1433" s="12"/>
      <c r="C1433" s="18" t="s">
        <v>19</v>
      </c>
      <c r="D1433" s="11" t="s">
        <v>2846</v>
      </c>
      <c r="E1433" s="13" t="s">
        <v>96</v>
      </c>
      <c r="F1433" s="15">
        <v>40876.0</v>
      </c>
    </row>
    <row r="1434">
      <c r="A1434" s="11" t="s">
        <v>2847</v>
      </c>
      <c r="B1434" s="12"/>
      <c r="C1434" s="16" t="s">
        <v>9</v>
      </c>
      <c r="D1434" s="14"/>
      <c r="E1434" s="13" t="s">
        <v>856</v>
      </c>
      <c r="F1434" s="15">
        <v>40793.8013888889</v>
      </c>
    </row>
    <row r="1435">
      <c r="A1435" s="11" t="s">
        <v>2848</v>
      </c>
      <c r="B1435" s="12"/>
      <c r="C1435" s="16" t="s">
        <v>9</v>
      </c>
      <c r="D1435" s="11" t="s">
        <v>2849</v>
      </c>
      <c r="E1435" s="13" t="s">
        <v>2644</v>
      </c>
      <c r="F1435" s="15">
        <v>40909.0</v>
      </c>
    </row>
    <row r="1436">
      <c r="A1436" s="11" t="s">
        <v>2850</v>
      </c>
      <c r="B1436" s="12"/>
      <c r="C1436" s="16" t="s">
        <v>9</v>
      </c>
      <c r="D1436" s="11" t="s">
        <v>25</v>
      </c>
      <c r="E1436" s="13" t="s">
        <v>66</v>
      </c>
      <c r="F1436" s="15">
        <v>40885.0</v>
      </c>
    </row>
    <row r="1437">
      <c r="A1437" s="11" t="s">
        <v>2851</v>
      </c>
      <c r="B1437" s="12"/>
      <c r="C1437" s="16" t="s">
        <v>9</v>
      </c>
      <c r="D1437" s="11" t="s">
        <v>25</v>
      </c>
      <c r="E1437" s="13" t="s">
        <v>96</v>
      </c>
      <c r="F1437" s="15">
        <v>40876.0</v>
      </c>
    </row>
    <row r="1438">
      <c r="A1438" s="11" t="s">
        <v>2852</v>
      </c>
      <c r="B1438" s="12"/>
      <c r="C1438" s="13" t="s">
        <v>120</v>
      </c>
      <c r="D1438" s="11" t="s">
        <v>2853</v>
      </c>
      <c r="E1438" s="13" t="s">
        <v>2854</v>
      </c>
      <c r="F1438" s="15">
        <v>40876.0</v>
      </c>
    </row>
    <row r="1439">
      <c r="A1439" s="11" t="s">
        <v>2855</v>
      </c>
      <c r="B1439" s="12"/>
      <c r="C1439" s="16" t="s">
        <v>9</v>
      </c>
      <c r="D1439" s="11" t="s">
        <v>25</v>
      </c>
      <c r="E1439" s="13" t="s">
        <v>96</v>
      </c>
      <c r="F1439" s="15">
        <v>40876.0</v>
      </c>
    </row>
    <row r="1440">
      <c r="A1440" s="11" t="s">
        <v>2856</v>
      </c>
      <c r="B1440" s="12"/>
      <c r="C1440" s="13" t="s">
        <v>9</v>
      </c>
      <c r="D1440" s="11" t="s">
        <v>2857</v>
      </c>
      <c r="E1440" s="13" t="s">
        <v>2858</v>
      </c>
      <c r="F1440" s="15">
        <v>40936.0</v>
      </c>
    </row>
    <row r="1441">
      <c r="A1441" s="11" t="s">
        <v>2859</v>
      </c>
      <c r="B1441" s="12"/>
      <c r="C1441" s="16" t="s">
        <v>9</v>
      </c>
      <c r="D1441" s="14"/>
      <c r="E1441" s="13" t="s">
        <v>96</v>
      </c>
      <c r="F1441" s="15">
        <v>40876.0</v>
      </c>
    </row>
    <row r="1442">
      <c r="A1442" s="11" t="s">
        <v>2860</v>
      </c>
      <c r="B1442" s="12"/>
      <c r="C1442" s="13" t="s">
        <v>9</v>
      </c>
      <c r="D1442" s="11" t="s">
        <v>2861</v>
      </c>
      <c r="E1442" s="13" t="s">
        <v>2862</v>
      </c>
      <c r="F1442" s="20"/>
    </row>
    <row r="1443">
      <c r="A1443" s="11" t="s">
        <v>2863</v>
      </c>
      <c r="B1443" s="12"/>
      <c r="C1443" s="16" t="s">
        <v>9</v>
      </c>
      <c r="D1443" s="14"/>
      <c r="E1443" s="13" t="s">
        <v>66</v>
      </c>
      <c r="F1443" s="15">
        <v>40905.0</v>
      </c>
    </row>
    <row r="1444">
      <c r="A1444" s="11" t="s">
        <v>2864</v>
      </c>
      <c r="B1444" s="12"/>
      <c r="C1444" s="16" t="s">
        <v>9</v>
      </c>
      <c r="D1444" s="11" t="s">
        <v>181</v>
      </c>
      <c r="E1444" s="13" t="s">
        <v>87</v>
      </c>
      <c r="F1444" s="15">
        <v>40898.0</v>
      </c>
    </row>
    <row r="1445">
      <c r="A1445" s="35" t="s">
        <v>2865</v>
      </c>
      <c r="B1445" s="12"/>
      <c r="C1445" s="6" t="s">
        <v>9</v>
      </c>
      <c r="D1445" s="8" t="s">
        <v>2866</v>
      </c>
      <c r="E1445" s="9" t="s">
        <v>1498</v>
      </c>
      <c r="F1445" s="23">
        <v>41160.0</v>
      </c>
    </row>
    <row r="1446">
      <c r="A1446" s="11" t="s">
        <v>2867</v>
      </c>
      <c r="B1446" s="12"/>
      <c r="C1446" s="18" t="s">
        <v>19</v>
      </c>
      <c r="D1446" s="14"/>
      <c r="E1446" s="13" t="s">
        <v>175</v>
      </c>
      <c r="F1446" s="15">
        <v>40793.0</v>
      </c>
    </row>
    <row r="1447">
      <c r="A1447" s="11" t="s">
        <v>2868</v>
      </c>
      <c r="B1447" s="12"/>
      <c r="C1447" s="13" t="s">
        <v>9</v>
      </c>
      <c r="D1447" s="11" t="s">
        <v>2869</v>
      </c>
      <c r="E1447" s="13" t="s">
        <v>40</v>
      </c>
      <c r="F1447" s="15">
        <v>40887.0</v>
      </c>
    </row>
    <row r="1448">
      <c r="A1448" s="11" t="s">
        <v>2870</v>
      </c>
      <c r="B1448" s="12"/>
      <c r="C1448" s="13" t="s">
        <v>19</v>
      </c>
      <c r="D1448" s="19" t="str">
        <f>HYPERLINK("http://www.icheats.org/forum/index.php?/topic/5280-sav-urban-crime-v10/"," Gold, Gems Hack Here.")</f>
        <v> Gold, Gems Hack Here.</v>
      </c>
      <c r="E1448" s="13" t="s">
        <v>335</v>
      </c>
      <c r="F1448" s="15">
        <v>40922.0</v>
      </c>
    </row>
    <row r="1449">
      <c r="A1449" s="5" t="s">
        <v>2871</v>
      </c>
      <c r="B1449" s="12"/>
      <c r="C1449" s="16" t="s">
        <v>9</v>
      </c>
      <c r="D1449" s="8" t="s">
        <v>2872</v>
      </c>
      <c r="E1449" s="9" t="s">
        <v>1378</v>
      </c>
      <c r="F1449" s="10">
        <v>41103.0</v>
      </c>
    </row>
    <row r="1450">
      <c r="A1450" s="11" t="s">
        <v>2873</v>
      </c>
      <c r="B1450" s="12"/>
      <c r="C1450" s="18" t="s">
        <v>19</v>
      </c>
      <c r="D1450" s="19" t="str">
        <f>HYPERLINK("http://xsellize.com/topic/159995-release-urban-rivals-hack/","Cheat Here. 1.4.1 Download link is at last post.")</f>
        <v>Cheat Here. 1.4.1 Download link is at last post.</v>
      </c>
      <c r="E1450" s="13" t="s">
        <v>856</v>
      </c>
      <c r="F1450" s="15">
        <v>40793.0</v>
      </c>
    </row>
    <row r="1451">
      <c r="A1451" s="11" t="s">
        <v>2874</v>
      </c>
      <c r="B1451" s="12"/>
      <c r="C1451" s="16" t="s">
        <v>9</v>
      </c>
      <c r="D1451" s="11" t="s">
        <v>2875</v>
      </c>
      <c r="E1451" s="13" t="s">
        <v>2876</v>
      </c>
      <c r="F1451" s="15">
        <v>40904.0</v>
      </c>
    </row>
    <row r="1452">
      <c r="A1452" s="11" t="s">
        <v>2877</v>
      </c>
      <c r="B1452" s="12"/>
      <c r="C1452" s="18" t="s">
        <v>19</v>
      </c>
      <c r="D1452" s="14"/>
      <c r="E1452" s="17"/>
      <c r="F1452" s="20"/>
    </row>
    <row r="1453">
      <c r="A1453" s="11" t="s">
        <v>2878</v>
      </c>
      <c r="B1453" s="12"/>
      <c r="C1453" s="18" t="s">
        <v>19</v>
      </c>
      <c r="D1453" s="11" t="s">
        <v>2879</v>
      </c>
      <c r="E1453" s="13" t="s">
        <v>50</v>
      </c>
      <c r="F1453" s="15">
        <v>40900.0</v>
      </c>
    </row>
    <row r="1454">
      <c r="A1454" s="11" t="s">
        <v>2880</v>
      </c>
      <c r="B1454" s="12"/>
      <c r="C1454" s="13" t="s">
        <v>19</v>
      </c>
      <c r="D1454" s="14"/>
      <c r="E1454" s="13" t="s">
        <v>962</v>
      </c>
      <c r="F1454" s="15">
        <v>40901.0</v>
      </c>
    </row>
    <row r="1455">
      <c r="A1455" s="11" t="s">
        <v>2881</v>
      </c>
      <c r="B1455" s="12"/>
      <c r="C1455" s="18" t="s">
        <v>19</v>
      </c>
      <c r="D1455" s="14"/>
      <c r="E1455" s="17"/>
      <c r="F1455" s="20"/>
    </row>
    <row r="1456">
      <c r="A1456" s="11" t="s">
        <v>2882</v>
      </c>
      <c r="B1456" s="12"/>
      <c r="C1456" s="16" t="s">
        <v>9</v>
      </c>
      <c r="D1456" s="14"/>
      <c r="E1456" s="13" t="s">
        <v>2883</v>
      </c>
      <c r="F1456" s="20"/>
    </row>
    <row r="1457">
      <c r="A1457" s="11" t="s">
        <v>2884</v>
      </c>
      <c r="B1457" s="12"/>
      <c r="C1457" s="13" t="s">
        <v>9</v>
      </c>
      <c r="D1457" s="11" t="s">
        <v>2885</v>
      </c>
      <c r="E1457" s="13" t="s">
        <v>34</v>
      </c>
      <c r="F1457" s="15">
        <v>40946.0</v>
      </c>
    </row>
    <row r="1458">
      <c r="A1458" s="11" t="s">
        <v>2886</v>
      </c>
      <c r="B1458" s="12"/>
      <c r="C1458" s="18" t="s">
        <v>19</v>
      </c>
      <c r="D1458" s="14"/>
      <c r="E1458" s="17"/>
      <c r="F1458" s="20"/>
    </row>
    <row r="1459">
      <c r="A1459" s="11" t="s">
        <v>2887</v>
      </c>
      <c r="B1459" s="12"/>
      <c r="C1459" s="13" t="s">
        <v>9</v>
      </c>
      <c r="D1459" s="11" t="s">
        <v>2888</v>
      </c>
      <c r="E1459" s="13" t="s">
        <v>2502</v>
      </c>
      <c r="F1459" s="15">
        <v>40917.0</v>
      </c>
    </row>
    <row r="1460">
      <c r="A1460" s="11" t="s">
        <v>2889</v>
      </c>
      <c r="B1460" s="12"/>
      <c r="C1460" s="16" t="s">
        <v>9</v>
      </c>
      <c r="D1460" s="14"/>
      <c r="E1460" s="13" t="s">
        <v>2890</v>
      </c>
      <c r="F1460" s="15">
        <v>40923.0</v>
      </c>
    </row>
    <row r="1461">
      <c r="A1461" s="21" t="s">
        <v>2891</v>
      </c>
      <c r="B1461" s="26" t="s">
        <v>2892</v>
      </c>
      <c r="C1461" s="18" t="s">
        <v>19</v>
      </c>
      <c r="D1461" s="11" t="s">
        <v>2893</v>
      </c>
      <c r="E1461" s="13" t="s">
        <v>2073</v>
      </c>
      <c r="F1461" s="22">
        <v>40962.0</v>
      </c>
    </row>
    <row r="1462">
      <c r="A1462" s="11" t="s">
        <v>2894</v>
      </c>
      <c r="B1462" s="12"/>
      <c r="C1462" s="13" t="s">
        <v>19</v>
      </c>
      <c r="D1462" s="11" t="s">
        <v>2895</v>
      </c>
      <c r="E1462" s="13" t="s">
        <v>26</v>
      </c>
      <c r="F1462" s="15">
        <v>40914.0</v>
      </c>
    </row>
    <row r="1463">
      <c r="A1463" s="11" t="s">
        <v>2896</v>
      </c>
      <c r="B1463" s="12"/>
      <c r="C1463" s="18" t="s">
        <v>19</v>
      </c>
      <c r="D1463" s="14"/>
      <c r="E1463" s="17"/>
      <c r="F1463" s="20"/>
    </row>
    <row r="1464">
      <c r="A1464" s="11" t="s">
        <v>2897</v>
      </c>
      <c r="B1464" s="12"/>
      <c r="C1464" s="16" t="s">
        <v>9</v>
      </c>
      <c r="D1464" s="11" t="s">
        <v>25</v>
      </c>
      <c r="E1464" s="13" t="s">
        <v>315</v>
      </c>
      <c r="F1464" s="15">
        <v>40908.0</v>
      </c>
    </row>
    <row r="1465">
      <c r="A1465" s="11" t="s">
        <v>2898</v>
      </c>
      <c r="B1465" s="12"/>
      <c r="C1465" s="18" t="s">
        <v>9</v>
      </c>
      <c r="D1465" s="14"/>
      <c r="E1465" s="37"/>
      <c r="F1465" s="15">
        <v>41007.0</v>
      </c>
    </row>
    <row r="1466">
      <c r="A1466" s="11" t="s">
        <v>2899</v>
      </c>
      <c r="B1466" s="12"/>
      <c r="C1466" s="16" t="s">
        <v>9</v>
      </c>
      <c r="D1466" s="14"/>
      <c r="E1466" s="13">
        <v>6102.0</v>
      </c>
      <c r="F1466" s="15">
        <v>40883.0</v>
      </c>
    </row>
    <row r="1467">
      <c r="A1467" s="11" t="s">
        <v>2900</v>
      </c>
      <c r="B1467" s="57" t="s">
        <v>1649</v>
      </c>
      <c r="C1467" s="13" t="s">
        <v>1481</v>
      </c>
      <c r="D1467" s="11" t="s">
        <v>2901</v>
      </c>
      <c r="E1467" s="13" t="s">
        <v>13</v>
      </c>
      <c r="F1467" s="22">
        <v>40960.0</v>
      </c>
    </row>
    <row r="1468">
      <c r="A1468" s="11" t="s">
        <v>2902</v>
      </c>
      <c r="B1468" s="12"/>
      <c r="C1468" s="16" t="s">
        <v>9</v>
      </c>
      <c r="D1468" s="14"/>
      <c r="E1468" s="17"/>
      <c r="F1468" s="20"/>
    </row>
    <row r="1469">
      <c r="A1469" s="11" t="s">
        <v>2903</v>
      </c>
      <c r="B1469" s="12"/>
      <c r="C1469" s="16" t="s">
        <v>9</v>
      </c>
      <c r="D1469" s="14"/>
      <c r="E1469" s="17"/>
      <c r="F1469" s="20"/>
    </row>
    <row r="1470">
      <c r="A1470" s="11" t="s">
        <v>2904</v>
      </c>
      <c r="B1470" s="12"/>
      <c r="C1470" s="16" t="s">
        <v>9</v>
      </c>
      <c r="D1470" s="14"/>
      <c r="E1470" s="13" t="s">
        <v>72</v>
      </c>
      <c r="F1470" s="15">
        <v>40922.0</v>
      </c>
    </row>
    <row r="1471">
      <c r="A1471" s="11" t="s">
        <v>2905</v>
      </c>
      <c r="B1471" s="12"/>
      <c r="C1471" s="16" t="s">
        <v>9</v>
      </c>
      <c r="D1471" s="14"/>
      <c r="E1471" s="13" t="s">
        <v>175</v>
      </c>
      <c r="F1471" s="15">
        <v>40793.9138888889</v>
      </c>
    </row>
    <row r="1472">
      <c r="A1472" s="11" t="s">
        <v>2906</v>
      </c>
      <c r="B1472" s="12"/>
      <c r="C1472" s="16" t="s">
        <v>9</v>
      </c>
      <c r="D1472" s="11" t="s">
        <v>2907</v>
      </c>
      <c r="E1472" s="13" t="s">
        <v>2908</v>
      </c>
      <c r="F1472" s="15">
        <v>40926.0</v>
      </c>
    </row>
    <row r="1473">
      <c r="A1473" s="11" t="s">
        <v>2909</v>
      </c>
      <c r="B1473" s="12"/>
      <c r="C1473" s="18" t="s">
        <v>19</v>
      </c>
      <c r="D1473" s="14"/>
      <c r="E1473" s="13" t="s">
        <v>271</v>
      </c>
      <c r="F1473" s="15">
        <v>40793.7888888889</v>
      </c>
    </row>
    <row r="1474">
      <c r="A1474" s="11" t="s">
        <v>2910</v>
      </c>
      <c r="B1474" s="12"/>
      <c r="C1474" s="16" t="s">
        <v>9</v>
      </c>
      <c r="D1474" s="14"/>
      <c r="E1474" s="13" t="s">
        <v>271</v>
      </c>
      <c r="F1474" s="15">
        <v>40793.7888888889</v>
      </c>
    </row>
    <row r="1475">
      <c r="A1475" s="11" t="s">
        <v>2911</v>
      </c>
      <c r="B1475" s="12"/>
      <c r="C1475" s="16" t="s">
        <v>9</v>
      </c>
      <c r="D1475" s="11" t="s">
        <v>1658</v>
      </c>
      <c r="E1475" s="13" t="s">
        <v>115</v>
      </c>
      <c r="F1475" s="15">
        <v>40935.0</v>
      </c>
    </row>
    <row r="1476">
      <c r="A1476" s="5" t="s">
        <v>2912</v>
      </c>
      <c r="B1476" s="6">
        <v>1.0</v>
      </c>
      <c r="C1476" s="16" t="s">
        <v>19</v>
      </c>
      <c r="D1476" s="8" t="s">
        <v>2913</v>
      </c>
      <c r="E1476" s="17"/>
      <c r="F1476" s="20"/>
    </row>
    <row r="1477">
      <c r="A1477" s="11" t="s">
        <v>2914</v>
      </c>
      <c r="B1477" s="12"/>
      <c r="C1477" s="18" t="s">
        <v>19</v>
      </c>
      <c r="D1477" s="14"/>
      <c r="E1477" s="17"/>
      <c r="F1477" s="20"/>
    </row>
    <row r="1478">
      <c r="A1478" s="11" t="s">
        <v>2915</v>
      </c>
      <c r="B1478" s="12"/>
      <c r="C1478" s="16" t="s">
        <v>9</v>
      </c>
      <c r="D1478" s="11" t="s">
        <v>2916</v>
      </c>
      <c r="E1478" s="13" t="s">
        <v>315</v>
      </c>
      <c r="F1478" s="15">
        <v>40907.0</v>
      </c>
    </row>
    <row r="1479">
      <c r="A1479" s="11" t="s">
        <v>2917</v>
      </c>
      <c r="B1479" s="12"/>
      <c r="C1479" s="18" t="s">
        <v>19</v>
      </c>
      <c r="D1479" s="14"/>
      <c r="E1479" s="17"/>
      <c r="F1479" s="20"/>
    </row>
    <row r="1480">
      <c r="A1480" s="11" t="s">
        <v>2918</v>
      </c>
      <c r="B1480" s="12"/>
      <c r="C1480" s="16" t="s">
        <v>9</v>
      </c>
      <c r="D1480" s="11" t="s">
        <v>2919</v>
      </c>
      <c r="E1480" s="13" t="s">
        <v>2920</v>
      </c>
      <c r="F1480" s="15">
        <v>40929.0</v>
      </c>
    </row>
    <row r="1481">
      <c r="A1481" s="11" t="s">
        <v>2921</v>
      </c>
      <c r="B1481" s="12"/>
      <c r="C1481" s="16" t="s">
        <v>9</v>
      </c>
      <c r="D1481" s="11" t="s">
        <v>2922</v>
      </c>
      <c r="E1481" s="13" t="s">
        <v>1410</v>
      </c>
      <c r="F1481" s="15">
        <v>40932.0</v>
      </c>
    </row>
    <row r="1482">
      <c r="A1482" s="11" t="s">
        <v>2923</v>
      </c>
      <c r="B1482" s="12"/>
      <c r="C1482" s="18" t="s">
        <v>19</v>
      </c>
      <c r="D1482" s="11" t="s">
        <v>2924</v>
      </c>
      <c r="E1482" s="13" t="s">
        <v>66</v>
      </c>
      <c r="F1482" s="15">
        <v>40881.0</v>
      </c>
    </row>
    <row r="1483">
      <c r="A1483" s="11" t="s">
        <v>2925</v>
      </c>
      <c r="B1483" s="12"/>
      <c r="C1483" s="18" t="s">
        <v>9</v>
      </c>
      <c r="D1483" s="14"/>
      <c r="E1483" s="17"/>
      <c r="F1483" s="15">
        <v>40903.0</v>
      </c>
    </row>
    <row r="1484">
      <c r="A1484" s="11" t="s">
        <v>2926</v>
      </c>
      <c r="B1484" s="12"/>
      <c r="C1484" s="13" t="s">
        <v>9</v>
      </c>
      <c r="D1484" s="14"/>
      <c r="E1484" s="17"/>
      <c r="F1484" s="20"/>
    </row>
    <row r="1485">
      <c r="A1485" s="11" t="s">
        <v>2927</v>
      </c>
      <c r="B1485" s="12"/>
      <c r="C1485" s="18" t="s">
        <v>19</v>
      </c>
      <c r="D1485" s="14"/>
      <c r="E1485" s="17"/>
      <c r="F1485" s="20"/>
    </row>
    <row r="1486">
      <c r="A1486" s="11" t="s">
        <v>2928</v>
      </c>
      <c r="B1486" s="12"/>
      <c r="C1486" s="18" t="s">
        <v>19</v>
      </c>
      <c r="D1486" s="14"/>
      <c r="E1486" s="17"/>
      <c r="F1486" s="20"/>
    </row>
    <row r="1487">
      <c r="A1487" s="11" t="s">
        <v>2929</v>
      </c>
      <c r="B1487" s="12"/>
      <c r="C1487" s="18" t="s">
        <v>19</v>
      </c>
      <c r="D1487" s="14"/>
      <c r="E1487" s="17"/>
      <c r="F1487" s="20"/>
    </row>
    <row r="1488">
      <c r="A1488" s="11" t="s">
        <v>2930</v>
      </c>
      <c r="B1488" s="12"/>
      <c r="C1488" s="16" t="s">
        <v>9</v>
      </c>
      <c r="D1488" s="11" t="s">
        <v>2464</v>
      </c>
      <c r="E1488" s="13" t="s">
        <v>2931</v>
      </c>
      <c r="F1488" s="15">
        <v>40909.0</v>
      </c>
    </row>
    <row r="1489">
      <c r="A1489" s="11" t="s">
        <v>2932</v>
      </c>
      <c r="B1489" s="12"/>
      <c r="C1489" s="18" t="s">
        <v>19</v>
      </c>
      <c r="D1489" s="14"/>
      <c r="E1489" s="13" t="s">
        <v>2933</v>
      </c>
      <c r="F1489" s="15">
        <v>40909.0</v>
      </c>
    </row>
    <row r="1490">
      <c r="A1490" s="11" t="s">
        <v>2934</v>
      </c>
      <c r="B1490" s="12"/>
      <c r="C1490" s="18" t="s">
        <v>19</v>
      </c>
      <c r="D1490" s="11" t="s">
        <v>2935</v>
      </c>
      <c r="E1490" s="17"/>
      <c r="F1490" s="20"/>
    </row>
    <row r="1491">
      <c r="A1491" s="5" t="s">
        <v>2936</v>
      </c>
      <c r="B1491" s="6" t="s">
        <v>2937</v>
      </c>
      <c r="C1491" s="27" t="s">
        <v>19</v>
      </c>
      <c r="D1491" s="8" t="s">
        <v>2938</v>
      </c>
      <c r="E1491" s="9" t="s">
        <v>515</v>
      </c>
      <c r="F1491" s="10">
        <v>41043.0</v>
      </c>
    </row>
    <row r="1492">
      <c r="A1492" s="11" t="s">
        <v>2939</v>
      </c>
      <c r="B1492" s="12"/>
      <c r="C1492" s="18" t="s">
        <v>19</v>
      </c>
      <c r="D1492" s="11" t="s">
        <v>2940</v>
      </c>
      <c r="E1492" s="17"/>
      <c r="F1492" s="15">
        <v>40937.0</v>
      </c>
    </row>
    <row r="1493">
      <c r="A1493" s="35" t="s">
        <v>2941</v>
      </c>
      <c r="B1493" s="6" t="s">
        <v>727</v>
      </c>
      <c r="C1493" s="6" t="s">
        <v>9</v>
      </c>
      <c r="D1493" s="8" t="s">
        <v>2942</v>
      </c>
      <c r="E1493" s="9" t="s">
        <v>2943</v>
      </c>
      <c r="F1493" s="23">
        <v>41165.0</v>
      </c>
    </row>
    <row r="1494">
      <c r="A1494" s="11" t="s">
        <v>2944</v>
      </c>
      <c r="B1494" s="12"/>
      <c r="C1494" s="16" t="s">
        <v>9</v>
      </c>
      <c r="D1494" s="11" t="s">
        <v>2945</v>
      </c>
      <c r="E1494" s="13" t="s">
        <v>2946</v>
      </c>
      <c r="F1494" s="15">
        <v>40929.0</v>
      </c>
    </row>
    <row r="1495">
      <c r="A1495" s="11" t="s">
        <v>2947</v>
      </c>
      <c r="B1495" s="12"/>
      <c r="C1495" s="18" t="s">
        <v>19</v>
      </c>
      <c r="D1495" s="14"/>
      <c r="E1495" s="17"/>
      <c r="F1495" s="20"/>
    </row>
    <row r="1496">
      <c r="A1496" s="11" t="s">
        <v>2948</v>
      </c>
      <c r="B1496" s="12"/>
      <c r="C1496" s="13" t="s">
        <v>19</v>
      </c>
      <c r="D1496" s="19" t="str">
        <f>HYPERLINK("http://www.icheats.org/forum/index.php?/topic/5375-diy-wheres-my-water-hack-unlock-cranky%e2%80%99s-story/unread/B16","How to Unlock Cranky's Story. Click here.")</f>
        <v>How to Unlock Cranky's Story. Click here.</v>
      </c>
      <c r="E1496" s="13" t="s">
        <v>287</v>
      </c>
      <c r="F1496" s="15">
        <v>40945.0</v>
      </c>
    </row>
    <row r="1497">
      <c r="A1497" s="11" t="s">
        <v>2949</v>
      </c>
      <c r="B1497" s="12"/>
      <c r="C1497" s="18" t="s">
        <v>19</v>
      </c>
      <c r="D1497" s="11" t="s">
        <v>2950</v>
      </c>
      <c r="E1497" s="13" t="s">
        <v>2951</v>
      </c>
      <c r="F1497" s="15">
        <v>40937.0</v>
      </c>
    </row>
    <row r="1498">
      <c r="A1498" s="11" t="s">
        <v>2952</v>
      </c>
      <c r="B1498" s="12"/>
      <c r="C1498" s="16" t="s">
        <v>9</v>
      </c>
      <c r="D1498" s="11" t="s">
        <v>2953</v>
      </c>
      <c r="E1498" s="13" t="s">
        <v>2954</v>
      </c>
      <c r="F1498" s="15">
        <v>40905.0</v>
      </c>
    </row>
    <row r="1499">
      <c r="A1499" s="11" t="s">
        <v>2955</v>
      </c>
      <c r="B1499" s="12"/>
      <c r="C1499" s="16" t="s">
        <v>9</v>
      </c>
      <c r="D1499" s="11" t="s">
        <v>2956</v>
      </c>
      <c r="E1499" s="13" t="s">
        <v>184</v>
      </c>
      <c r="F1499" s="15">
        <v>40912.0</v>
      </c>
    </row>
    <row r="1500">
      <c r="A1500" s="21" t="s">
        <v>2957</v>
      </c>
      <c r="B1500" s="13">
        <v>1.8</v>
      </c>
      <c r="C1500" s="18" t="s">
        <v>972</v>
      </c>
      <c r="D1500" s="11" t="s">
        <v>2958</v>
      </c>
      <c r="E1500" s="13" t="s">
        <v>1646</v>
      </c>
      <c r="F1500" s="22">
        <v>40964.0</v>
      </c>
    </row>
    <row r="1501">
      <c r="A1501" s="11" t="s">
        <v>2959</v>
      </c>
      <c r="B1501" s="12"/>
      <c r="C1501" s="18" t="s">
        <v>19</v>
      </c>
      <c r="D1501" s="14"/>
      <c r="E1501" s="13" t="s">
        <v>189</v>
      </c>
      <c r="F1501" s="15">
        <v>40793.7743055556</v>
      </c>
    </row>
    <row r="1502">
      <c r="A1502" s="11" t="s">
        <v>2960</v>
      </c>
      <c r="B1502" s="12"/>
      <c r="C1502" s="18" t="s">
        <v>19</v>
      </c>
      <c r="D1502" s="14"/>
      <c r="E1502" s="17"/>
      <c r="F1502" s="20"/>
    </row>
    <row r="1503">
      <c r="A1503" s="11" t="s">
        <v>2961</v>
      </c>
      <c r="B1503" s="12"/>
      <c r="C1503" s="18" t="s">
        <v>19</v>
      </c>
      <c r="D1503" s="11" t="s">
        <v>2615</v>
      </c>
      <c r="E1503" s="17"/>
      <c r="F1503" s="20"/>
    </row>
    <row r="1504">
      <c r="A1504" s="11" t="s">
        <v>2962</v>
      </c>
      <c r="B1504" s="12"/>
      <c r="C1504" s="13" t="s">
        <v>9</v>
      </c>
      <c r="D1504" s="11" t="s">
        <v>350</v>
      </c>
      <c r="E1504" s="13" t="s">
        <v>2963</v>
      </c>
      <c r="F1504" s="15">
        <v>40945.0</v>
      </c>
    </row>
    <row r="1505">
      <c r="A1505" s="11" t="s">
        <v>2964</v>
      </c>
      <c r="B1505" s="12"/>
      <c r="C1505" s="16" t="s">
        <v>9</v>
      </c>
      <c r="D1505" s="11" t="s">
        <v>2965</v>
      </c>
      <c r="E1505" s="13" t="s">
        <v>450</v>
      </c>
      <c r="F1505" s="15">
        <v>40925.0</v>
      </c>
    </row>
    <row r="1506">
      <c r="A1506" s="11" t="s">
        <v>2966</v>
      </c>
      <c r="B1506" s="12"/>
      <c r="C1506" s="16" t="s">
        <v>9</v>
      </c>
      <c r="D1506" s="11" t="s">
        <v>2967</v>
      </c>
      <c r="E1506" s="13" t="s">
        <v>403</v>
      </c>
      <c r="F1506" s="15">
        <v>40925.0</v>
      </c>
    </row>
    <row r="1507">
      <c r="A1507" s="11" t="s">
        <v>2968</v>
      </c>
      <c r="B1507" s="12"/>
      <c r="C1507" s="18" t="s">
        <v>19</v>
      </c>
      <c r="D1507" s="14"/>
      <c r="E1507" s="13" t="s">
        <v>175</v>
      </c>
      <c r="F1507" s="15">
        <v>40793.9138888889</v>
      </c>
    </row>
    <row r="1508">
      <c r="A1508" s="11" t="s">
        <v>2969</v>
      </c>
      <c r="B1508" s="12"/>
      <c r="C1508" s="16" t="s">
        <v>9</v>
      </c>
      <c r="D1508" s="14"/>
      <c r="E1508" s="13" t="s">
        <v>640</v>
      </c>
      <c r="F1508" s="15">
        <v>40912.0</v>
      </c>
    </row>
    <row r="1509">
      <c r="A1509" s="21" t="s">
        <v>2970</v>
      </c>
      <c r="B1509" s="13">
        <v>3.2</v>
      </c>
      <c r="C1509" s="13" t="s">
        <v>9</v>
      </c>
      <c r="D1509" s="11" t="s">
        <v>2971</v>
      </c>
      <c r="E1509" s="13" t="s">
        <v>1269</v>
      </c>
      <c r="F1509" s="22">
        <v>40963.0</v>
      </c>
    </row>
    <row r="1510">
      <c r="A1510" s="11" t="s">
        <v>2972</v>
      </c>
      <c r="B1510" s="12"/>
      <c r="C1510" s="18" t="s">
        <v>19</v>
      </c>
      <c r="D1510" s="11" t="s">
        <v>2973</v>
      </c>
      <c r="E1510" s="13" t="s">
        <v>2974</v>
      </c>
      <c r="F1510" s="15">
        <v>40889.0</v>
      </c>
    </row>
    <row r="1511">
      <c r="A1511" s="11" t="s">
        <v>2975</v>
      </c>
      <c r="B1511" s="12"/>
      <c r="C1511" s="13" t="s">
        <v>9</v>
      </c>
      <c r="D1511" s="11" t="s">
        <v>2976</v>
      </c>
      <c r="E1511" s="17"/>
      <c r="F1511" s="15">
        <v>40893.0</v>
      </c>
    </row>
    <row r="1512">
      <c r="A1512" s="11" t="s">
        <v>2977</v>
      </c>
      <c r="B1512" s="12"/>
      <c r="C1512" s="13" t="s">
        <v>9</v>
      </c>
      <c r="D1512" s="11" t="s">
        <v>2978</v>
      </c>
      <c r="E1512" s="13" t="s">
        <v>1098</v>
      </c>
      <c r="F1512" s="15">
        <v>40897.0</v>
      </c>
    </row>
    <row r="1513">
      <c r="A1513" s="11" t="s">
        <v>2979</v>
      </c>
      <c r="B1513" s="12"/>
      <c r="C1513" s="18" t="s">
        <v>19</v>
      </c>
      <c r="D1513" s="14"/>
      <c r="E1513" s="17"/>
      <c r="F1513" s="20"/>
    </row>
    <row r="1514">
      <c r="A1514" s="11" t="s">
        <v>2980</v>
      </c>
      <c r="B1514" s="12"/>
      <c r="C1514" s="18" t="s">
        <v>19</v>
      </c>
      <c r="D1514" s="11" t="s">
        <v>2981</v>
      </c>
      <c r="E1514" s="17"/>
      <c r="F1514" s="15">
        <v>40885.0</v>
      </c>
    </row>
    <row r="1515">
      <c r="A1515" s="11" t="s">
        <v>2982</v>
      </c>
      <c r="B1515" s="12"/>
      <c r="C1515" s="18" t="s">
        <v>19</v>
      </c>
      <c r="D1515" s="14"/>
      <c r="E1515" s="17"/>
      <c r="F1515" s="20"/>
    </row>
    <row r="1516">
      <c r="A1516" s="21" t="s">
        <v>2983</v>
      </c>
      <c r="B1516" s="12"/>
      <c r="C1516" s="16" t="s">
        <v>9</v>
      </c>
      <c r="D1516" s="11" t="s">
        <v>2984</v>
      </c>
      <c r="E1516" s="13" t="s">
        <v>348</v>
      </c>
      <c r="F1516" s="22">
        <v>40967.0</v>
      </c>
    </row>
    <row r="1517">
      <c r="A1517" s="29" t="s">
        <v>2983</v>
      </c>
      <c r="B1517" s="12"/>
      <c r="C1517" s="27" t="s">
        <v>19</v>
      </c>
      <c r="D1517" s="8" t="s">
        <v>2985</v>
      </c>
      <c r="E1517" s="6" t="s">
        <v>274</v>
      </c>
      <c r="F1517" s="28">
        <v>41010.0</v>
      </c>
    </row>
    <row r="1518">
      <c r="A1518" s="11" t="s">
        <v>2986</v>
      </c>
      <c r="B1518" s="12"/>
      <c r="C1518" s="16" t="s">
        <v>9</v>
      </c>
      <c r="D1518" s="11" t="s">
        <v>2987</v>
      </c>
      <c r="E1518" s="13" t="s">
        <v>184</v>
      </c>
      <c r="F1518" s="15">
        <v>40912.0</v>
      </c>
    </row>
    <row r="1519">
      <c r="A1519" s="11" t="s">
        <v>2988</v>
      </c>
      <c r="B1519" s="12"/>
      <c r="C1519" s="16" t="s">
        <v>9</v>
      </c>
      <c r="D1519" s="11" t="s">
        <v>2989</v>
      </c>
      <c r="E1519" s="13" t="s">
        <v>295</v>
      </c>
      <c r="F1519" s="15">
        <v>40947.0</v>
      </c>
    </row>
    <row r="1520">
      <c r="A1520" s="11" t="s">
        <v>2990</v>
      </c>
      <c r="B1520" s="13">
        <v>1.01</v>
      </c>
      <c r="C1520" s="16" t="s">
        <v>9</v>
      </c>
      <c r="D1520" s="11" t="s">
        <v>2991</v>
      </c>
      <c r="E1520" s="13" t="s">
        <v>2992</v>
      </c>
      <c r="F1520" s="22">
        <v>40961.0</v>
      </c>
    </row>
    <row r="1521">
      <c r="A1521" s="11" t="s">
        <v>2993</v>
      </c>
      <c r="B1521" s="13">
        <v>1.01</v>
      </c>
      <c r="C1521" s="13" t="s">
        <v>1481</v>
      </c>
      <c r="D1521" s="11" t="s">
        <v>2994</v>
      </c>
      <c r="E1521" s="13" t="s">
        <v>2992</v>
      </c>
      <c r="F1521" s="22">
        <v>40961.0</v>
      </c>
    </row>
    <row r="1522">
      <c r="A1522" s="11" t="s">
        <v>2995</v>
      </c>
      <c r="B1522" s="12"/>
      <c r="C1522" s="16" t="s">
        <v>9</v>
      </c>
      <c r="D1522" s="11" t="s">
        <v>2996</v>
      </c>
      <c r="E1522" s="13" t="s">
        <v>175</v>
      </c>
      <c r="F1522" s="15">
        <v>40793.9138888889</v>
      </c>
    </row>
    <row r="1523">
      <c r="A1523" s="11" t="s">
        <v>2997</v>
      </c>
      <c r="B1523" s="12"/>
      <c r="C1523" s="13" t="s">
        <v>9</v>
      </c>
      <c r="D1523" s="11" t="s">
        <v>2094</v>
      </c>
      <c r="E1523" s="13" t="s">
        <v>1071</v>
      </c>
      <c r="F1523" s="15">
        <v>40903.0</v>
      </c>
    </row>
    <row r="1524">
      <c r="A1524" s="11" t="s">
        <v>2998</v>
      </c>
      <c r="B1524" s="12"/>
      <c r="C1524" s="13" t="s">
        <v>9</v>
      </c>
      <c r="D1524" s="11" t="s">
        <v>2999</v>
      </c>
      <c r="E1524" s="13" t="s">
        <v>917</v>
      </c>
      <c r="F1524" s="15">
        <v>40949.0</v>
      </c>
    </row>
    <row r="1525">
      <c r="A1525" s="11" t="s">
        <v>3000</v>
      </c>
      <c r="B1525" s="12"/>
      <c r="C1525" s="18" t="s">
        <v>9</v>
      </c>
      <c r="D1525" s="11" t="s">
        <v>3001</v>
      </c>
      <c r="E1525" s="13" t="s">
        <v>3002</v>
      </c>
      <c r="F1525" s="15">
        <v>40946.0</v>
      </c>
    </row>
    <row r="1526">
      <c r="A1526" s="11" t="s">
        <v>3003</v>
      </c>
      <c r="B1526" s="12"/>
      <c r="C1526" s="16" t="s">
        <v>9</v>
      </c>
      <c r="D1526" s="11" t="s">
        <v>3004</v>
      </c>
      <c r="E1526" s="13" t="s">
        <v>196</v>
      </c>
      <c r="F1526" s="20"/>
    </row>
    <row r="1527">
      <c r="A1527" s="11" t="s">
        <v>3005</v>
      </c>
      <c r="B1527" s="12"/>
      <c r="C1527" s="16" t="s">
        <v>9</v>
      </c>
      <c r="D1527" s="11" t="s">
        <v>3006</v>
      </c>
      <c r="E1527" s="13" t="s">
        <v>3007</v>
      </c>
      <c r="F1527" s="15">
        <v>40947.0</v>
      </c>
    </row>
    <row r="1528">
      <c r="A1528" s="11" t="s">
        <v>3008</v>
      </c>
      <c r="B1528" s="12"/>
      <c r="C1528" s="13" t="s">
        <v>9</v>
      </c>
      <c r="D1528" s="14"/>
      <c r="E1528" s="17"/>
      <c r="F1528" s="20"/>
    </row>
    <row r="1529">
      <c r="A1529" s="11" t="s">
        <v>3009</v>
      </c>
      <c r="B1529" s="12"/>
      <c r="C1529" s="13" t="s">
        <v>9</v>
      </c>
      <c r="D1529" s="11" t="s">
        <v>3010</v>
      </c>
      <c r="E1529" s="13" t="s">
        <v>50</v>
      </c>
      <c r="F1529" s="15">
        <v>40901.0</v>
      </c>
    </row>
    <row r="1530">
      <c r="A1530" s="11" t="s">
        <v>3011</v>
      </c>
      <c r="B1530" s="12"/>
      <c r="C1530" s="18" t="s">
        <v>19</v>
      </c>
      <c r="D1530" s="11" t="s">
        <v>3012</v>
      </c>
      <c r="E1530" s="13" t="s">
        <v>279</v>
      </c>
      <c r="F1530" s="15">
        <v>40826.4434837963</v>
      </c>
    </row>
    <row r="1531">
      <c r="A1531" s="11" t="s">
        <v>3013</v>
      </c>
      <c r="B1531" s="12"/>
      <c r="C1531" s="16" t="s">
        <v>9</v>
      </c>
      <c r="D1531" s="11" t="s">
        <v>3014</v>
      </c>
      <c r="E1531" s="13" t="s">
        <v>596</v>
      </c>
      <c r="F1531" s="15">
        <v>40903.0</v>
      </c>
    </row>
    <row r="1532">
      <c r="A1532" s="11" t="s">
        <v>3015</v>
      </c>
      <c r="B1532" s="12"/>
      <c r="C1532" s="16" t="s">
        <v>9</v>
      </c>
      <c r="D1532" s="11" t="s">
        <v>3016</v>
      </c>
      <c r="E1532" s="13" t="s">
        <v>175</v>
      </c>
      <c r="F1532" s="15">
        <v>40793.9138888889</v>
      </c>
    </row>
    <row r="1533">
      <c r="A1533" s="11" t="s">
        <v>3017</v>
      </c>
      <c r="B1533" s="12"/>
      <c r="C1533" s="16" t="s">
        <v>9</v>
      </c>
      <c r="D1533" s="11" t="s">
        <v>3018</v>
      </c>
      <c r="E1533" s="13" t="s">
        <v>1770</v>
      </c>
      <c r="F1533" s="15">
        <v>40920.0</v>
      </c>
    </row>
    <row r="1534">
      <c r="A1534" s="11" t="s">
        <v>3019</v>
      </c>
      <c r="B1534" s="12"/>
      <c r="C1534" s="18" t="s">
        <v>19</v>
      </c>
      <c r="D1534" s="14"/>
      <c r="E1534" s="13" t="s">
        <v>3020</v>
      </c>
      <c r="F1534" s="15">
        <v>40932.0</v>
      </c>
    </row>
    <row r="1535">
      <c r="A1535" s="11" t="s">
        <v>3021</v>
      </c>
      <c r="B1535" s="12"/>
      <c r="C1535" s="16" t="s">
        <v>9</v>
      </c>
      <c r="D1535" s="11" t="s">
        <v>3022</v>
      </c>
      <c r="E1535" s="13" t="s">
        <v>3023</v>
      </c>
      <c r="F1535" s="15">
        <v>40948.0</v>
      </c>
    </row>
    <row r="1536">
      <c r="A1536" s="11" t="s">
        <v>3024</v>
      </c>
      <c r="B1536" s="12"/>
      <c r="C1536" s="16" t="s">
        <v>9</v>
      </c>
      <c r="D1536" s="11" t="s">
        <v>3025</v>
      </c>
      <c r="E1536" s="13" t="s">
        <v>3026</v>
      </c>
      <c r="F1536" s="15">
        <v>40794.0</v>
      </c>
    </row>
    <row r="1537">
      <c r="A1537" s="11" t="s">
        <v>3027</v>
      </c>
      <c r="B1537" s="12"/>
      <c r="C1537" s="16" t="s">
        <v>9</v>
      </c>
      <c r="D1537" s="11" t="s">
        <v>3028</v>
      </c>
      <c r="E1537" s="13" t="s">
        <v>479</v>
      </c>
      <c r="F1537" s="15">
        <v>40918.0</v>
      </c>
    </row>
    <row r="1538">
      <c r="A1538" s="11" t="s">
        <v>3029</v>
      </c>
      <c r="B1538" s="12"/>
      <c r="C1538" s="16" t="s">
        <v>120</v>
      </c>
      <c r="D1538" s="19" t="str">
        <f>HYPERLINK("http://xsellize.com/topic/173250-zenonia-4/","Works with versions before v1.02. Use this hack for version v1.02")</f>
        <v>Works with versions before v1.02. Use this hack for version v1.02</v>
      </c>
      <c r="E1538" s="13" t="s">
        <v>3030</v>
      </c>
      <c r="F1538" s="15">
        <v>40917.0</v>
      </c>
    </row>
    <row r="1539">
      <c r="A1539" s="29" t="s">
        <v>3031</v>
      </c>
      <c r="B1539" s="12"/>
      <c r="C1539" s="58"/>
      <c r="D1539" s="8" t="s">
        <v>3032</v>
      </c>
      <c r="E1539" s="6" t="s">
        <v>274</v>
      </c>
      <c r="F1539" s="28">
        <v>41010.0</v>
      </c>
    </row>
    <row r="1540">
      <c r="A1540" s="11" t="s">
        <v>3033</v>
      </c>
      <c r="B1540" s="12"/>
      <c r="C1540" s="18" t="s">
        <v>19</v>
      </c>
      <c r="D1540" s="14"/>
      <c r="E1540" s="17"/>
      <c r="F1540" s="20"/>
    </row>
    <row r="1541">
      <c r="A1541" s="11" t="s">
        <v>3034</v>
      </c>
      <c r="B1541" s="12"/>
      <c r="C1541" s="16" t="s">
        <v>9</v>
      </c>
      <c r="D1541" s="14"/>
      <c r="E1541" s="13" t="s">
        <v>710</v>
      </c>
      <c r="F1541" s="15">
        <v>40848.0</v>
      </c>
    </row>
    <row r="1542">
      <c r="A1542" s="11" t="s">
        <v>3035</v>
      </c>
      <c r="B1542" s="12"/>
      <c r="C1542" s="13" t="s">
        <v>19</v>
      </c>
      <c r="D1542" s="11" t="s">
        <v>3036</v>
      </c>
      <c r="E1542" s="13" t="s">
        <v>2322</v>
      </c>
      <c r="F1542" s="15">
        <v>40945.0</v>
      </c>
    </row>
    <row r="1543">
      <c r="A1543" s="11" t="s">
        <v>3037</v>
      </c>
      <c r="B1543" s="12"/>
      <c r="C1543" s="13" t="s">
        <v>9</v>
      </c>
      <c r="D1543" s="14"/>
      <c r="E1543" s="13" t="s">
        <v>3038</v>
      </c>
      <c r="F1543" s="15">
        <v>40828.0</v>
      </c>
    </row>
    <row r="1544">
      <c r="A1544" s="11" t="s">
        <v>3039</v>
      </c>
      <c r="B1544" s="12"/>
      <c r="C1544" s="13" t="s">
        <v>9</v>
      </c>
      <c r="D1544" s="8" t="s">
        <v>3040</v>
      </c>
      <c r="E1544" s="13" t="s">
        <v>1544</v>
      </c>
      <c r="F1544" s="41"/>
    </row>
    <row r="1545">
      <c r="A1545" s="11" t="s">
        <v>3041</v>
      </c>
      <c r="B1545" s="12"/>
      <c r="C1545" s="16" t="s">
        <v>9</v>
      </c>
      <c r="D1545" s="11" t="s">
        <v>3042</v>
      </c>
      <c r="E1545" s="17"/>
      <c r="F1545" s="20"/>
    </row>
    <row r="1546">
      <c r="A1546" s="11" t="s">
        <v>3043</v>
      </c>
      <c r="B1546" s="12"/>
      <c r="C1546" s="16" t="s">
        <v>9</v>
      </c>
      <c r="D1546" s="11" t="s">
        <v>3044</v>
      </c>
      <c r="E1546" s="17"/>
      <c r="F1546" s="20"/>
    </row>
    <row r="1547">
      <c r="A1547" s="11" t="s">
        <v>3045</v>
      </c>
      <c r="B1547" s="12"/>
      <c r="C1547" s="13" t="s">
        <v>9</v>
      </c>
      <c r="D1547" s="11" t="s">
        <v>3046</v>
      </c>
      <c r="E1547" s="13" t="s">
        <v>3047</v>
      </c>
      <c r="F1547" s="15">
        <v>40870.0</v>
      </c>
    </row>
    <row r="1548">
      <c r="A1548" s="11" t="s">
        <v>3048</v>
      </c>
      <c r="B1548" s="12"/>
      <c r="C1548" s="13" t="s">
        <v>9</v>
      </c>
      <c r="D1548" s="11" t="s">
        <v>3049</v>
      </c>
      <c r="E1548" s="13">
        <v>6102.0</v>
      </c>
      <c r="F1548" s="15">
        <v>40885.0</v>
      </c>
    </row>
    <row r="1549">
      <c r="A1549" s="11" t="s">
        <v>3050</v>
      </c>
      <c r="B1549" s="12"/>
      <c r="C1549" s="16" t="s">
        <v>9</v>
      </c>
      <c r="D1549" s="11" t="s">
        <v>3051</v>
      </c>
      <c r="E1549" s="17"/>
      <c r="F1549" s="15">
        <v>40892.0</v>
      </c>
    </row>
    <row r="1550">
      <c r="A1550" s="5" t="s">
        <v>3052</v>
      </c>
      <c r="B1550" s="12"/>
      <c r="C1550" s="7" t="s">
        <v>9</v>
      </c>
      <c r="D1550" s="14"/>
      <c r="E1550" s="17"/>
      <c r="F1550" s="39"/>
    </row>
    <row r="1551">
      <c r="A1551" s="11" t="s">
        <v>3053</v>
      </c>
      <c r="B1551" s="12"/>
      <c r="C1551" s="16" t="s">
        <v>9</v>
      </c>
      <c r="D1551" s="11" t="s">
        <v>3054</v>
      </c>
      <c r="E1551" s="13" t="s">
        <v>203</v>
      </c>
      <c r="F1551" s="15">
        <v>40908.0</v>
      </c>
    </row>
    <row r="1552">
      <c r="A1552" s="11" t="s">
        <v>3055</v>
      </c>
      <c r="B1552" s="12"/>
      <c r="C1552" s="18" t="s">
        <v>9</v>
      </c>
      <c r="D1552" s="11" t="s">
        <v>3056</v>
      </c>
      <c r="E1552" s="13" t="s">
        <v>203</v>
      </c>
      <c r="F1552" s="15">
        <v>40905.0</v>
      </c>
    </row>
    <row r="1553">
      <c r="A1553" s="21" t="s">
        <v>3057</v>
      </c>
      <c r="B1553" s="13">
        <v>1.0</v>
      </c>
      <c r="C1553" s="13" t="s">
        <v>9</v>
      </c>
      <c r="D1553" s="11" t="s">
        <v>1881</v>
      </c>
      <c r="E1553" s="13" t="s">
        <v>3058</v>
      </c>
      <c r="F1553" s="15">
        <v>40969.0</v>
      </c>
    </row>
    <row r="1554">
      <c r="A1554" s="11" t="s">
        <v>3059</v>
      </c>
      <c r="B1554" s="12"/>
      <c r="C1554" s="13" t="s">
        <v>9</v>
      </c>
      <c r="D1554" s="11" t="s">
        <v>976</v>
      </c>
      <c r="E1554" s="13" t="s">
        <v>203</v>
      </c>
      <c r="F1554" s="15">
        <v>40915.0</v>
      </c>
    </row>
    <row r="1555">
      <c r="A1555" s="11" t="s">
        <v>3060</v>
      </c>
      <c r="B1555" s="12"/>
      <c r="C1555" s="16" t="s">
        <v>9</v>
      </c>
      <c r="D1555" s="11" t="s">
        <v>3061</v>
      </c>
      <c r="E1555" s="13" t="s">
        <v>3062</v>
      </c>
      <c r="F1555" s="15">
        <v>40937.0</v>
      </c>
    </row>
    <row r="1556">
      <c r="A1556" s="11" t="s">
        <v>3063</v>
      </c>
      <c r="B1556" s="12"/>
      <c r="C1556" s="16" t="s">
        <v>9</v>
      </c>
      <c r="D1556" s="11" t="s">
        <v>3064</v>
      </c>
      <c r="E1556" s="13" t="s">
        <v>3065</v>
      </c>
      <c r="F1556" s="22">
        <v>40957.0</v>
      </c>
    </row>
    <row r="1557">
      <c r="A1557" s="11" t="s">
        <v>3066</v>
      </c>
      <c r="B1557" s="12"/>
      <c r="C1557" s="16" t="s">
        <v>9</v>
      </c>
      <c r="D1557" s="11" t="s">
        <v>3067</v>
      </c>
      <c r="E1557" s="13" t="s">
        <v>3068</v>
      </c>
      <c r="F1557" s="15">
        <v>40898.0</v>
      </c>
    </row>
    <row r="1558">
      <c r="A1558" s="11" t="s">
        <v>3069</v>
      </c>
      <c r="B1558" s="13" t="s">
        <v>645</v>
      </c>
      <c r="C1558" s="18" t="s">
        <v>19</v>
      </c>
      <c r="D1558" s="19" t="str">
        <f>HYPERLINK("http://www.youtube.com/watch?v=LULRlC6w5sU","How to hack (youtube)")</f>
        <v>How to hack (youtube)</v>
      </c>
      <c r="E1558" s="17"/>
      <c r="F1558" s="20"/>
    </row>
    <row r="1559">
      <c r="A1559" s="11" t="s">
        <v>3070</v>
      </c>
      <c r="B1559" s="12"/>
      <c r="C1559" s="13" t="s">
        <v>19</v>
      </c>
      <c r="D1559" s="11" t="s">
        <v>3071</v>
      </c>
      <c r="E1559" s="13" t="s">
        <v>1407</v>
      </c>
      <c r="F1559" s="15">
        <v>40937.0</v>
      </c>
    </row>
    <row r="1560">
      <c r="A1560" s="11" t="s">
        <v>3072</v>
      </c>
      <c r="B1560" s="12"/>
      <c r="C1560" s="16" t="s">
        <v>9</v>
      </c>
      <c r="D1560" s="11" t="s">
        <v>3073</v>
      </c>
      <c r="E1560" s="13" t="s">
        <v>72</v>
      </c>
      <c r="F1560" s="15">
        <v>40923.0</v>
      </c>
    </row>
    <row r="1561">
      <c r="A1561" s="11" t="s">
        <v>3074</v>
      </c>
      <c r="B1561" s="12"/>
      <c r="C1561" s="16" t="s">
        <v>9</v>
      </c>
      <c r="D1561" s="11" t="s">
        <v>3075</v>
      </c>
      <c r="E1561" s="13" t="s">
        <v>3076</v>
      </c>
      <c r="F1561" s="15">
        <v>40932.0</v>
      </c>
    </row>
    <row r="1562">
      <c r="A1562" s="11" t="s">
        <v>3077</v>
      </c>
      <c r="B1562" s="12"/>
      <c r="C1562" s="18" t="s">
        <v>19</v>
      </c>
      <c r="D1562" s="14"/>
      <c r="E1562" s="13" t="s">
        <v>3078</v>
      </c>
      <c r="F1562" s="15">
        <v>40913.0</v>
      </c>
    </row>
    <row r="1563">
      <c r="A1563" s="5" t="s">
        <v>3079</v>
      </c>
      <c r="B1563" s="12"/>
      <c r="C1563" s="27" t="s">
        <v>19</v>
      </c>
      <c r="D1563" s="8" t="s">
        <v>3080</v>
      </c>
      <c r="E1563" s="9" t="s">
        <v>3081</v>
      </c>
      <c r="F1563" s="10">
        <v>41104.0</v>
      </c>
    </row>
  </sheetData>
  <mergeCells count="2">
    <mergeCell ref="A1:F1"/>
    <mergeCell ref="A2:F2"/>
  </mergeCells>
  <conditionalFormatting sqref="A44">
    <cfRule type="containsText" dxfId="0" priority="1" operator="containsText" text="mag">
      <formula>NOT(ISERROR(SEARCH(("mag"),(A44))))</formula>
    </cfRule>
  </conditionalFormatting>
  <conditionalFormatting sqref="A64">
    <cfRule type="containsText" dxfId="0" priority="2" operator="containsText" text="mag">
      <formula>NOT(ISERROR(SEARCH(("mag"),(A64))))</formula>
    </cfRule>
  </conditionalFormatting>
  <conditionalFormatting sqref="A219">
    <cfRule type="containsText" dxfId="0" priority="3" operator="containsText" text="mag">
      <formula>NOT(ISERROR(SEARCH(("mag"),(A219))))</formula>
    </cfRule>
  </conditionalFormatting>
  <conditionalFormatting sqref="A259">
    <cfRule type="containsText" dxfId="0" priority="4" operator="containsText" text="mag">
      <formula>NOT(ISERROR(SEARCH(("mag"),(A259))))</formula>
    </cfRule>
  </conditionalFormatting>
  <conditionalFormatting sqref="A268">
    <cfRule type="containsText" dxfId="0" priority="5" operator="containsText" text="mag">
      <formula>NOT(ISERROR(SEARCH(("mag"),(A268))))</formula>
    </cfRule>
  </conditionalFormatting>
  <conditionalFormatting sqref="A464">
    <cfRule type="containsText" dxfId="0" priority="6" operator="containsText" text="mag">
      <formula>NOT(ISERROR(SEARCH(("mag"),(A464))))</formula>
    </cfRule>
  </conditionalFormatting>
  <conditionalFormatting sqref="A815">
    <cfRule type="containsText" dxfId="0" priority="7" operator="containsText" text="mag">
      <formula>NOT(ISERROR(SEARCH(("mag"),(A815))))</formula>
    </cfRule>
  </conditionalFormatting>
  <conditionalFormatting sqref="A1075">
    <cfRule type="containsText" dxfId="0" priority="8" operator="containsText" text="mag">
      <formula>NOT(ISERROR(SEARCH(("mag"),(A1075))))</formula>
    </cfRule>
  </conditionalFormatting>
  <conditionalFormatting sqref="A1117">
    <cfRule type="containsText" dxfId="0" priority="9" operator="containsText" text="mag">
      <formula>NOT(ISERROR(SEARCH(("mag"),(A1117))))</formula>
    </cfRule>
  </conditionalFormatting>
  <conditionalFormatting sqref="C287">
    <cfRule type="expression" dxfId="1" priority="10">
      <formula>TRUE</formula>
    </cfRule>
  </conditionalFormatting>
  <conditionalFormatting sqref="C291">
    <cfRule type="expression" dxfId="1" priority="11">
      <formula>TRUE</formula>
    </cfRule>
  </conditionalFormatting>
  <conditionalFormatting sqref="C524">
    <cfRule type="expression" dxfId="1" priority="12">
      <formula>TRUE</formula>
    </cfRule>
  </conditionalFormatting>
  <conditionalFormatting sqref="C195">
    <cfRule type="containsText" dxfId="2" priority="13" operator="containsText" text="Yes">
      <formula>NOT(ISERROR(SEARCH(("Yes"),(C195))))</formula>
    </cfRule>
  </conditionalFormatting>
  <conditionalFormatting sqref="C649">
    <cfRule type="containsText" dxfId="2" priority="14" operator="containsText" text="Yes">
      <formula>NOT(ISERROR(SEARCH(("Yes"),(C649))))</formula>
    </cfRule>
  </conditionalFormatting>
  <conditionalFormatting sqref="C770">
    <cfRule type="containsText" dxfId="2" priority="15" operator="containsText" text="Yes">
      <formula>NOT(ISERROR(SEARCH(("Yes"),(C770))))</formula>
    </cfRule>
  </conditionalFormatting>
  <conditionalFormatting sqref="C1491">
    <cfRule type="containsText" dxfId="2" priority="16" operator="containsText" text="Yes">
      <formula>NOT(ISERROR(SEARCH(("Yes"),(C1491))))</formula>
    </cfRule>
  </conditionalFormatting>
  <conditionalFormatting sqref="C39">
    <cfRule type="expression" dxfId="2" priority="17">
      <formula>TRUE</formula>
    </cfRule>
  </conditionalFormatting>
  <conditionalFormatting sqref="C405">
    <cfRule type="expression" dxfId="2" priority="18">
      <formula>TRUE</formula>
    </cfRule>
  </conditionalFormatting>
  <conditionalFormatting sqref="C457:C458">
    <cfRule type="expression" dxfId="2" priority="19">
      <formula>TRUE</formula>
    </cfRule>
  </conditionalFormatting>
  <conditionalFormatting sqref="C787">
    <cfRule type="expression" dxfId="2" priority="20">
      <formula>TRUE</formula>
    </cfRule>
  </conditionalFormatting>
  <conditionalFormatting sqref="C923">
    <cfRule type="expression" dxfId="2" priority="21">
      <formula>TRUE</formula>
    </cfRule>
  </conditionalFormatting>
  <conditionalFormatting sqref="C938">
    <cfRule type="expression" dxfId="2" priority="22">
      <formula>TRUE</formula>
    </cfRule>
  </conditionalFormatting>
  <conditionalFormatting sqref="C1069">
    <cfRule type="expression" dxfId="2" priority="23">
      <formula>TRUE</formula>
    </cfRule>
  </conditionalFormatting>
  <conditionalFormatting sqref="C1132">
    <cfRule type="expression" dxfId="2" priority="24">
      <formula>TRUE</formula>
    </cfRule>
  </conditionalFormatting>
  <conditionalFormatting sqref="C1192">
    <cfRule type="expression" dxfId="2" priority="25">
      <formula>TRUE</formula>
    </cfRule>
  </conditionalFormatting>
  <conditionalFormatting sqref="C1309">
    <cfRule type="expression" dxfId="2" priority="26">
      <formula>TRUE</formula>
    </cfRule>
  </conditionalFormatting>
  <conditionalFormatting sqref="C1445">
    <cfRule type="expression" dxfId="2" priority="27">
      <formula>TRUE</formula>
    </cfRule>
  </conditionalFormatting>
  <conditionalFormatting sqref="C1493">
    <cfRule type="expression" dxfId="2" priority="28">
      <formula>TRUE</formula>
    </cfRule>
  </conditionalFormatting>
  <conditionalFormatting sqref="C1">
    <cfRule type="cellIs" dxfId="3" priority="29" operator="equal">
      <formula>"Yes"</formula>
    </cfRule>
  </conditionalFormatting>
  <conditionalFormatting sqref="C3">
    <cfRule type="cellIs" dxfId="3" priority="30" operator="equal">
      <formula>"Yes"</formula>
    </cfRule>
  </conditionalFormatting>
  <conditionalFormatting sqref="C5:C38">
    <cfRule type="cellIs" dxfId="3" priority="31" operator="equal">
      <formula>"Yes"</formula>
    </cfRule>
  </conditionalFormatting>
  <conditionalFormatting sqref="C40:C44">
    <cfRule type="cellIs" dxfId="3" priority="32" operator="equal">
      <formula>"Yes"</formula>
    </cfRule>
  </conditionalFormatting>
  <conditionalFormatting sqref="C46:C48">
    <cfRule type="cellIs" dxfId="3" priority="33" operator="equal">
      <formula>"Yes"</formula>
    </cfRule>
  </conditionalFormatting>
  <conditionalFormatting sqref="C50:C59">
    <cfRule type="cellIs" dxfId="3" priority="34" operator="equal">
      <formula>"Yes"</formula>
    </cfRule>
  </conditionalFormatting>
  <conditionalFormatting sqref="C61:C64">
    <cfRule type="cellIs" dxfId="3" priority="35" operator="equal">
      <formula>"Yes"</formula>
    </cfRule>
  </conditionalFormatting>
  <conditionalFormatting sqref="C66:C84">
    <cfRule type="cellIs" dxfId="3" priority="36" operator="equal">
      <formula>"Yes"</formula>
    </cfRule>
  </conditionalFormatting>
  <conditionalFormatting sqref="C86:C96">
    <cfRule type="cellIs" dxfId="3" priority="37" operator="equal">
      <formula>"Yes"</formula>
    </cfRule>
  </conditionalFormatting>
  <conditionalFormatting sqref="C98:C113">
    <cfRule type="cellIs" dxfId="3" priority="38" operator="equal">
      <formula>"Yes"</formula>
    </cfRule>
  </conditionalFormatting>
  <conditionalFormatting sqref="C115:C116">
    <cfRule type="cellIs" dxfId="3" priority="39" operator="equal">
      <formula>"Yes"</formula>
    </cfRule>
  </conditionalFormatting>
  <conditionalFormatting sqref="C119:C120">
    <cfRule type="cellIs" dxfId="3" priority="40" operator="equal">
      <formula>"Yes"</formula>
    </cfRule>
  </conditionalFormatting>
  <conditionalFormatting sqref="C122:C123">
    <cfRule type="cellIs" dxfId="3" priority="41" operator="equal">
      <formula>"Yes"</formula>
    </cfRule>
  </conditionalFormatting>
  <conditionalFormatting sqref="C125">
    <cfRule type="cellIs" dxfId="3" priority="42" operator="equal">
      <formula>"Yes"</formula>
    </cfRule>
  </conditionalFormatting>
  <conditionalFormatting sqref="C127:C133">
    <cfRule type="cellIs" dxfId="3" priority="43" operator="equal">
      <formula>"Yes"</formula>
    </cfRule>
  </conditionalFormatting>
  <conditionalFormatting sqref="C135:C143">
    <cfRule type="cellIs" dxfId="3" priority="44" operator="equal">
      <formula>"Yes"</formula>
    </cfRule>
  </conditionalFormatting>
  <conditionalFormatting sqref="C145:C177">
    <cfRule type="cellIs" dxfId="3" priority="45" operator="equal">
      <formula>"Yes"</formula>
    </cfRule>
  </conditionalFormatting>
  <conditionalFormatting sqref="C179:C194">
    <cfRule type="cellIs" dxfId="3" priority="46" operator="equal">
      <formula>"Yes"</formula>
    </cfRule>
  </conditionalFormatting>
  <conditionalFormatting sqref="C196:C208">
    <cfRule type="cellIs" dxfId="3" priority="47" operator="equal">
      <formula>"Yes"</formula>
    </cfRule>
  </conditionalFormatting>
  <conditionalFormatting sqref="C210">
    <cfRule type="cellIs" dxfId="3" priority="48" operator="equal">
      <formula>"Yes"</formula>
    </cfRule>
  </conditionalFormatting>
  <conditionalFormatting sqref="C212:C223">
    <cfRule type="cellIs" dxfId="3" priority="49" operator="equal">
      <formula>"Yes"</formula>
    </cfRule>
  </conditionalFormatting>
  <conditionalFormatting sqref="C228:C244">
    <cfRule type="cellIs" dxfId="3" priority="50" operator="equal">
      <formula>"Yes"</formula>
    </cfRule>
  </conditionalFormatting>
  <conditionalFormatting sqref="C247:C251">
    <cfRule type="cellIs" dxfId="3" priority="51" operator="equal">
      <formula>"Yes"</formula>
    </cfRule>
  </conditionalFormatting>
  <conditionalFormatting sqref="C253:C280">
    <cfRule type="cellIs" dxfId="3" priority="52" operator="equal">
      <formula>"Yes"</formula>
    </cfRule>
  </conditionalFormatting>
  <conditionalFormatting sqref="C282:C286">
    <cfRule type="cellIs" dxfId="3" priority="53" operator="equal">
      <formula>"Yes"</formula>
    </cfRule>
  </conditionalFormatting>
  <conditionalFormatting sqref="C288:C290">
    <cfRule type="cellIs" dxfId="3" priority="54" operator="equal">
      <formula>"Yes"</formula>
    </cfRule>
  </conditionalFormatting>
  <conditionalFormatting sqref="C292:C293">
    <cfRule type="cellIs" dxfId="3" priority="55" operator="equal">
      <formula>"Yes"</formula>
    </cfRule>
  </conditionalFormatting>
  <conditionalFormatting sqref="C295:C304">
    <cfRule type="cellIs" dxfId="3" priority="56" operator="equal">
      <formula>"Yes"</formula>
    </cfRule>
  </conditionalFormatting>
  <conditionalFormatting sqref="C307:C320">
    <cfRule type="cellIs" dxfId="3" priority="57" operator="equal">
      <formula>"Yes"</formula>
    </cfRule>
  </conditionalFormatting>
  <conditionalFormatting sqref="C322:C323">
    <cfRule type="cellIs" dxfId="3" priority="58" operator="equal">
      <formula>"Yes"</formula>
    </cfRule>
  </conditionalFormatting>
  <conditionalFormatting sqref="C325:C336">
    <cfRule type="cellIs" dxfId="3" priority="59" operator="equal">
      <formula>"Yes"</formula>
    </cfRule>
  </conditionalFormatting>
  <conditionalFormatting sqref="C338:C362">
    <cfRule type="cellIs" dxfId="3" priority="60" operator="equal">
      <formula>"Yes"</formula>
    </cfRule>
  </conditionalFormatting>
  <conditionalFormatting sqref="C365:C395">
    <cfRule type="cellIs" dxfId="3" priority="61" operator="equal">
      <formula>"Yes"</formula>
    </cfRule>
  </conditionalFormatting>
  <conditionalFormatting sqref="C397:C404">
    <cfRule type="cellIs" dxfId="3" priority="62" operator="equal">
      <formula>"Yes"</formula>
    </cfRule>
  </conditionalFormatting>
  <conditionalFormatting sqref="C406:C414">
    <cfRule type="cellIs" dxfId="3" priority="63" operator="equal">
      <formula>"Yes"</formula>
    </cfRule>
  </conditionalFormatting>
  <conditionalFormatting sqref="C416:C426">
    <cfRule type="cellIs" dxfId="3" priority="64" operator="equal">
      <formula>"Yes"</formula>
    </cfRule>
  </conditionalFormatting>
  <conditionalFormatting sqref="C428:C439">
    <cfRule type="cellIs" dxfId="3" priority="65" operator="equal">
      <formula>"Yes"</formula>
    </cfRule>
  </conditionalFormatting>
  <conditionalFormatting sqref="C441:C453">
    <cfRule type="cellIs" dxfId="3" priority="66" operator="equal">
      <formula>"Yes"</formula>
    </cfRule>
  </conditionalFormatting>
  <conditionalFormatting sqref="C455:C456">
    <cfRule type="cellIs" dxfId="3" priority="67" operator="equal">
      <formula>"Yes"</formula>
    </cfRule>
  </conditionalFormatting>
  <conditionalFormatting sqref="C459:C469">
    <cfRule type="cellIs" dxfId="3" priority="68" operator="equal">
      <formula>"Yes"</formula>
    </cfRule>
  </conditionalFormatting>
  <conditionalFormatting sqref="C471:C491">
    <cfRule type="cellIs" dxfId="3" priority="69" operator="equal">
      <formula>"Yes"</formula>
    </cfRule>
  </conditionalFormatting>
  <conditionalFormatting sqref="C494:C498">
    <cfRule type="cellIs" dxfId="3" priority="70" operator="equal">
      <formula>"Yes"</formula>
    </cfRule>
  </conditionalFormatting>
  <conditionalFormatting sqref="C500:C517">
    <cfRule type="cellIs" dxfId="3" priority="71" operator="equal">
      <formula>"Yes"</formula>
    </cfRule>
  </conditionalFormatting>
  <conditionalFormatting sqref="C519:C523">
    <cfRule type="cellIs" dxfId="3" priority="72" operator="equal">
      <formula>"Yes"</formula>
    </cfRule>
  </conditionalFormatting>
  <conditionalFormatting sqref="C525:C540">
    <cfRule type="cellIs" dxfId="3" priority="73" operator="equal">
      <formula>"Yes"</formula>
    </cfRule>
  </conditionalFormatting>
  <conditionalFormatting sqref="C543:C582">
    <cfRule type="cellIs" dxfId="3" priority="74" operator="equal">
      <formula>"Yes"</formula>
    </cfRule>
  </conditionalFormatting>
  <conditionalFormatting sqref="C584:C585">
    <cfRule type="cellIs" dxfId="3" priority="75" operator="equal">
      <formula>"Yes"</formula>
    </cfRule>
  </conditionalFormatting>
  <conditionalFormatting sqref="C587:C597">
    <cfRule type="cellIs" dxfId="3" priority="76" operator="equal">
      <formula>"Yes"</formula>
    </cfRule>
  </conditionalFormatting>
  <conditionalFormatting sqref="C599:C604">
    <cfRule type="cellIs" dxfId="3" priority="77" operator="equal">
      <formula>"Yes"</formula>
    </cfRule>
  </conditionalFormatting>
  <conditionalFormatting sqref="C606:C615">
    <cfRule type="cellIs" dxfId="3" priority="78" operator="equal">
      <formula>"Yes"</formula>
    </cfRule>
  </conditionalFormatting>
  <conditionalFormatting sqref="C617:C622">
    <cfRule type="cellIs" dxfId="3" priority="79" operator="equal">
      <formula>"Yes"</formula>
    </cfRule>
  </conditionalFormatting>
  <conditionalFormatting sqref="C624:C629">
    <cfRule type="cellIs" dxfId="3" priority="80" operator="equal">
      <formula>"Yes"</formula>
    </cfRule>
  </conditionalFormatting>
  <conditionalFormatting sqref="C632:C635">
    <cfRule type="cellIs" dxfId="3" priority="81" operator="equal">
      <formula>"Yes"</formula>
    </cfRule>
  </conditionalFormatting>
  <conditionalFormatting sqref="C637:C647">
    <cfRule type="cellIs" dxfId="3" priority="82" operator="equal">
      <formula>"Yes"</formula>
    </cfRule>
  </conditionalFormatting>
  <conditionalFormatting sqref="C650:C656">
    <cfRule type="cellIs" dxfId="3" priority="83" operator="equal">
      <formula>"Yes"</formula>
    </cfRule>
  </conditionalFormatting>
  <conditionalFormatting sqref="C658:C673">
    <cfRule type="cellIs" dxfId="3" priority="84" operator="equal">
      <formula>"Yes"</formula>
    </cfRule>
  </conditionalFormatting>
  <conditionalFormatting sqref="C675:C701">
    <cfRule type="cellIs" dxfId="3" priority="85" operator="equal">
      <formula>"Yes"</formula>
    </cfRule>
  </conditionalFormatting>
  <conditionalFormatting sqref="C704:C709">
    <cfRule type="cellIs" dxfId="3" priority="86" operator="equal">
      <formula>"Yes"</formula>
    </cfRule>
  </conditionalFormatting>
  <conditionalFormatting sqref="C712:C716">
    <cfRule type="cellIs" dxfId="3" priority="87" operator="equal">
      <formula>"Yes"</formula>
    </cfRule>
  </conditionalFormatting>
  <conditionalFormatting sqref="C718:C719">
    <cfRule type="cellIs" dxfId="3" priority="88" operator="equal">
      <formula>"Yes"</formula>
    </cfRule>
  </conditionalFormatting>
  <conditionalFormatting sqref="C722:C755">
    <cfRule type="cellIs" dxfId="3" priority="89" operator="equal">
      <formula>"Yes"</formula>
    </cfRule>
  </conditionalFormatting>
  <conditionalFormatting sqref="C757">
    <cfRule type="cellIs" dxfId="3" priority="90" operator="equal">
      <formula>"Yes"</formula>
    </cfRule>
  </conditionalFormatting>
  <conditionalFormatting sqref="C759:C769">
    <cfRule type="cellIs" dxfId="3" priority="91" operator="equal">
      <formula>"Yes"</formula>
    </cfRule>
  </conditionalFormatting>
  <conditionalFormatting sqref="C771">
    <cfRule type="cellIs" dxfId="3" priority="92" operator="equal">
      <formula>"Yes"</formula>
    </cfRule>
  </conditionalFormatting>
  <conditionalFormatting sqref="C773:C779">
    <cfRule type="cellIs" dxfId="3" priority="93" operator="equal">
      <formula>"Yes"</formula>
    </cfRule>
  </conditionalFormatting>
  <conditionalFormatting sqref="C781:C786">
    <cfRule type="cellIs" dxfId="3" priority="94" operator="equal">
      <formula>"Yes"</formula>
    </cfRule>
  </conditionalFormatting>
  <conditionalFormatting sqref="C788:C792">
    <cfRule type="cellIs" dxfId="3" priority="95" operator="equal">
      <formula>"Yes"</formula>
    </cfRule>
  </conditionalFormatting>
  <conditionalFormatting sqref="C794:C800">
    <cfRule type="cellIs" dxfId="3" priority="96" operator="equal">
      <formula>"Yes"</formula>
    </cfRule>
  </conditionalFormatting>
  <conditionalFormatting sqref="C802:C842">
    <cfRule type="cellIs" dxfId="3" priority="97" operator="equal">
      <formula>"Yes"</formula>
    </cfRule>
  </conditionalFormatting>
  <conditionalFormatting sqref="C844:C865">
    <cfRule type="cellIs" dxfId="3" priority="98" operator="equal">
      <formula>"Yes"</formula>
    </cfRule>
  </conditionalFormatting>
  <conditionalFormatting sqref="C867:C870">
    <cfRule type="cellIs" dxfId="3" priority="99" operator="equal">
      <formula>"Yes"</formula>
    </cfRule>
  </conditionalFormatting>
  <conditionalFormatting sqref="C872">
    <cfRule type="cellIs" dxfId="3" priority="100" operator="equal">
      <formula>"Yes"</formula>
    </cfRule>
  </conditionalFormatting>
  <conditionalFormatting sqref="C874:C888">
    <cfRule type="cellIs" dxfId="3" priority="101" operator="equal">
      <formula>"Yes"</formula>
    </cfRule>
  </conditionalFormatting>
  <conditionalFormatting sqref="C890:C893">
    <cfRule type="cellIs" dxfId="3" priority="102" operator="equal">
      <formula>"Yes"</formula>
    </cfRule>
  </conditionalFormatting>
  <conditionalFormatting sqref="C896:C906">
    <cfRule type="cellIs" dxfId="3" priority="103" operator="equal">
      <formula>"Yes"</formula>
    </cfRule>
  </conditionalFormatting>
  <conditionalFormatting sqref="C908:C922">
    <cfRule type="cellIs" dxfId="3" priority="104" operator="equal">
      <formula>"Yes"</formula>
    </cfRule>
  </conditionalFormatting>
  <conditionalFormatting sqref="C924">
    <cfRule type="cellIs" dxfId="3" priority="105" operator="equal">
      <formula>"Yes"</formula>
    </cfRule>
  </conditionalFormatting>
  <conditionalFormatting sqref="C926:C937">
    <cfRule type="cellIs" dxfId="3" priority="106" operator="equal">
      <formula>"Yes"</formula>
    </cfRule>
  </conditionalFormatting>
  <conditionalFormatting sqref="C939:C942">
    <cfRule type="cellIs" dxfId="3" priority="107" operator="equal">
      <formula>"Yes"</formula>
    </cfRule>
  </conditionalFormatting>
  <conditionalFormatting sqref="C945:C951">
    <cfRule type="cellIs" dxfId="3" priority="108" operator="equal">
      <formula>"Yes"</formula>
    </cfRule>
  </conditionalFormatting>
  <conditionalFormatting sqref="C954:C967">
    <cfRule type="cellIs" dxfId="3" priority="109" operator="equal">
      <formula>"Yes"</formula>
    </cfRule>
  </conditionalFormatting>
  <conditionalFormatting sqref="C969:C970">
    <cfRule type="cellIs" dxfId="3" priority="110" operator="equal">
      <formula>"Yes"</formula>
    </cfRule>
  </conditionalFormatting>
  <conditionalFormatting sqref="C972">
    <cfRule type="cellIs" dxfId="3" priority="111" operator="equal">
      <formula>"Yes"</formula>
    </cfRule>
  </conditionalFormatting>
  <conditionalFormatting sqref="C974:C1012">
    <cfRule type="cellIs" dxfId="3" priority="112" operator="equal">
      <formula>"Yes"</formula>
    </cfRule>
  </conditionalFormatting>
  <conditionalFormatting sqref="C1014:C1036">
    <cfRule type="cellIs" dxfId="3" priority="113" operator="equal">
      <formula>"Yes"</formula>
    </cfRule>
  </conditionalFormatting>
  <conditionalFormatting sqref="C1038:C1050">
    <cfRule type="cellIs" dxfId="3" priority="114" operator="equal">
      <formula>"Yes"</formula>
    </cfRule>
  </conditionalFormatting>
  <conditionalFormatting sqref="C1053:C1068">
    <cfRule type="cellIs" dxfId="3" priority="115" operator="equal">
      <formula>"Yes"</formula>
    </cfRule>
  </conditionalFormatting>
  <conditionalFormatting sqref="C1071:C1089">
    <cfRule type="cellIs" dxfId="3" priority="116" operator="equal">
      <formula>"Yes"</formula>
    </cfRule>
  </conditionalFormatting>
  <conditionalFormatting sqref="C1091:C1131">
    <cfRule type="cellIs" dxfId="3" priority="117" operator="equal">
      <formula>"Yes"</formula>
    </cfRule>
  </conditionalFormatting>
  <conditionalFormatting sqref="C1133:C1163">
    <cfRule type="cellIs" dxfId="3" priority="118" operator="equal">
      <formula>"Yes"</formula>
    </cfRule>
  </conditionalFormatting>
  <conditionalFormatting sqref="C1165:C1191">
    <cfRule type="cellIs" dxfId="3" priority="119" operator="equal">
      <formula>"Yes"</formula>
    </cfRule>
  </conditionalFormatting>
  <conditionalFormatting sqref="C1193:C1198">
    <cfRule type="cellIs" dxfId="3" priority="120" operator="equal">
      <formula>"Yes"</formula>
    </cfRule>
  </conditionalFormatting>
  <conditionalFormatting sqref="C1200">
    <cfRule type="cellIs" dxfId="3" priority="121" operator="equal">
      <formula>"Yes"</formula>
    </cfRule>
  </conditionalFormatting>
  <conditionalFormatting sqref="C1202:C1210">
    <cfRule type="cellIs" dxfId="3" priority="122" operator="equal">
      <formula>"Yes"</formula>
    </cfRule>
  </conditionalFormatting>
  <conditionalFormatting sqref="C1212">
    <cfRule type="cellIs" dxfId="3" priority="123" operator="equal">
      <formula>"Yes"</formula>
    </cfRule>
  </conditionalFormatting>
  <conditionalFormatting sqref="C1214:C1218">
    <cfRule type="cellIs" dxfId="3" priority="124" operator="equal">
      <formula>"Yes"</formula>
    </cfRule>
  </conditionalFormatting>
  <conditionalFormatting sqref="C1220:C1227">
    <cfRule type="cellIs" dxfId="3" priority="125" operator="equal">
      <formula>"Yes"</formula>
    </cfRule>
  </conditionalFormatting>
  <conditionalFormatting sqref="C1229:C1241">
    <cfRule type="cellIs" dxfId="3" priority="126" operator="equal">
      <formula>"Yes"</formula>
    </cfRule>
  </conditionalFormatting>
  <conditionalFormatting sqref="C1243:C1246">
    <cfRule type="cellIs" dxfId="3" priority="127" operator="equal">
      <formula>"Yes"</formula>
    </cfRule>
  </conditionalFormatting>
  <conditionalFormatting sqref="C1248:C1302">
    <cfRule type="cellIs" dxfId="3" priority="128" operator="equal">
      <formula>"Yes"</formula>
    </cfRule>
  </conditionalFormatting>
  <conditionalFormatting sqref="C1304:C1308">
    <cfRule type="cellIs" dxfId="3" priority="129" operator="equal">
      <formula>"Yes"</formula>
    </cfRule>
  </conditionalFormatting>
  <conditionalFormatting sqref="C1310:C1312">
    <cfRule type="cellIs" dxfId="3" priority="130" operator="equal">
      <formula>"Yes"</formula>
    </cfRule>
  </conditionalFormatting>
  <conditionalFormatting sqref="C1314">
    <cfRule type="cellIs" dxfId="3" priority="131" operator="equal">
      <formula>"Yes"</formula>
    </cfRule>
  </conditionalFormatting>
  <conditionalFormatting sqref="C1316:C1341">
    <cfRule type="cellIs" dxfId="3" priority="132" operator="equal">
      <formula>"Yes"</formula>
    </cfRule>
  </conditionalFormatting>
  <conditionalFormatting sqref="C1344:C1357">
    <cfRule type="cellIs" dxfId="3" priority="133" operator="equal">
      <formula>"Yes"</formula>
    </cfRule>
  </conditionalFormatting>
  <conditionalFormatting sqref="C1359">
    <cfRule type="cellIs" dxfId="3" priority="134" operator="equal">
      <formula>"Yes"</formula>
    </cfRule>
  </conditionalFormatting>
  <conditionalFormatting sqref="C1361:C1375">
    <cfRule type="cellIs" dxfId="3" priority="135" operator="equal">
      <formula>"Yes"</formula>
    </cfRule>
  </conditionalFormatting>
  <conditionalFormatting sqref="C1377:C1379">
    <cfRule type="cellIs" dxfId="3" priority="136" operator="equal">
      <formula>"Yes"</formula>
    </cfRule>
  </conditionalFormatting>
  <conditionalFormatting sqref="C1381:C1390">
    <cfRule type="cellIs" dxfId="3" priority="137" operator="equal">
      <formula>"Yes"</formula>
    </cfRule>
  </conditionalFormatting>
  <conditionalFormatting sqref="C1392:C1400">
    <cfRule type="cellIs" dxfId="3" priority="138" operator="equal">
      <formula>"Yes"</formula>
    </cfRule>
  </conditionalFormatting>
  <conditionalFormatting sqref="C1403:C1413">
    <cfRule type="cellIs" dxfId="3" priority="139" operator="equal">
      <formula>"Yes"</formula>
    </cfRule>
  </conditionalFormatting>
  <conditionalFormatting sqref="C1415:C1444">
    <cfRule type="cellIs" dxfId="3" priority="140" operator="equal">
      <formula>"Yes"</formula>
    </cfRule>
  </conditionalFormatting>
  <conditionalFormatting sqref="C1446:C1448">
    <cfRule type="cellIs" dxfId="3" priority="141" operator="equal">
      <formula>"Yes"</formula>
    </cfRule>
  </conditionalFormatting>
  <conditionalFormatting sqref="C1450:C1464">
    <cfRule type="cellIs" dxfId="3" priority="142" operator="equal">
      <formula>"Yes"</formula>
    </cfRule>
  </conditionalFormatting>
  <conditionalFormatting sqref="C1466:C1475">
    <cfRule type="cellIs" dxfId="3" priority="143" operator="equal">
      <formula>"Yes"</formula>
    </cfRule>
  </conditionalFormatting>
  <conditionalFormatting sqref="C1477:C1490">
    <cfRule type="cellIs" dxfId="3" priority="144" operator="equal">
      <formula>"Yes"</formula>
    </cfRule>
  </conditionalFormatting>
  <conditionalFormatting sqref="C1492">
    <cfRule type="cellIs" dxfId="3" priority="145" operator="equal">
      <formula>"Yes"</formula>
    </cfRule>
  </conditionalFormatting>
  <conditionalFormatting sqref="C1494:C1516">
    <cfRule type="cellIs" dxfId="3" priority="146" operator="equal">
      <formula>"Yes"</formula>
    </cfRule>
  </conditionalFormatting>
  <conditionalFormatting sqref="C1518:C1538">
    <cfRule type="cellIs" dxfId="3" priority="147" operator="equal">
      <formula>"Yes"</formula>
    </cfRule>
  </conditionalFormatting>
  <conditionalFormatting sqref="C1540:C1549">
    <cfRule type="cellIs" dxfId="3" priority="148" operator="equal">
      <formula>"Yes"</formula>
    </cfRule>
  </conditionalFormatting>
  <conditionalFormatting sqref="C1551:C1562">
    <cfRule type="cellIs" dxfId="3" priority="149" operator="equal">
      <formula>"Yes"</formula>
    </cfRule>
  </conditionalFormatting>
  <conditionalFormatting sqref="C493">
    <cfRule type="cellIs" dxfId="1" priority="150" operator="equal">
      <formula>"No"</formula>
    </cfRule>
  </conditionalFormatting>
  <conditionalFormatting sqref="C195">
    <cfRule type="containsText" dxfId="1" priority="151" operator="containsText" text="No">
      <formula>NOT(ISERROR(SEARCH(("No"),(C195))))</formula>
    </cfRule>
  </conditionalFormatting>
  <conditionalFormatting sqref="C649">
    <cfRule type="containsText" dxfId="1" priority="152" operator="containsText" text="No">
      <formula>NOT(ISERROR(SEARCH(("No"),(C649))))</formula>
    </cfRule>
  </conditionalFormatting>
  <conditionalFormatting sqref="C770">
    <cfRule type="containsText" dxfId="1" priority="153" operator="containsText" text="No">
      <formula>NOT(ISERROR(SEARCH(("No"),(C770))))</formula>
    </cfRule>
  </conditionalFormatting>
  <conditionalFormatting sqref="C1491">
    <cfRule type="containsText" dxfId="1" priority="154" operator="containsText" text="No">
      <formula>NOT(ISERROR(SEARCH(("No"),(C1491))))</formula>
    </cfRule>
  </conditionalFormatting>
  <conditionalFormatting sqref="C1">
    <cfRule type="containsText" dxfId="4" priority="155" operator="containsText" text="No">
      <formula>NOT(ISERROR(SEARCH(("No"),(C1))))</formula>
    </cfRule>
  </conditionalFormatting>
  <conditionalFormatting sqref="C3">
    <cfRule type="containsText" dxfId="4" priority="156" operator="containsText" text="No">
      <formula>NOT(ISERROR(SEARCH(("No"),(C3))))</formula>
    </cfRule>
  </conditionalFormatting>
  <conditionalFormatting sqref="C5:C38">
    <cfRule type="containsText" dxfId="4" priority="157" operator="containsText" text="No">
      <formula>NOT(ISERROR(SEARCH(("No"),(C5))))</formula>
    </cfRule>
  </conditionalFormatting>
  <conditionalFormatting sqref="C40:C44">
    <cfRule type="containsText" dxfId="4" priority="158" operator="containsText" text="No">
      <formula>NOT(ISERROR(SEARCH(("No"),(C40))))</formula>
    </cfRule>
  </conditionalFormatting>
  <conditionalFormatting sqref="C46:C48">
    <cfRule type="containsText" dxfId="4" priority="159" operator="containsText" text="No">
      <formula>NOT(ISERROR(SEARCH(("No"),(C46))))</formula>
    </cfRule>
  </conditionalFormatting>
  <conditionalFormatting sqref="C50:C59">
    <cfRule type="containsText" dxfId="4" priority="160" operator="containsText" text="No">
      <formula>NOT(ISERROR(SEARCH(("No"),(C50))))</formula>
    </cfRule>
  </conditionalFormatting>
  <conditionalFormatting sqref="C61:C64">
    <cfRule type="containsText" dxfId="4" priority="161" operator="containsText" text="No">
      <formula>NOT(ISERROR(SEARCH(("No"),(C61))))</formula>
    </cfRule>
  </conditionalFormatting>
  <conditionalFormatting sqref="C66:C84">
    <cfRule type="containsText" dxfId="4" priority="162" operator="containsText" text="No">
      <formula>NOT(ISERROR(SEARCH(("No"),(C66))))</formula>
    </cfRule>
  </conditionalFormatting>
  <conditionalFormatting sqref="C86:C96">
    <cfRule type="containsText" dxfId="4" priority="163" operator="containsText" text="No">
      <formula>NOT(ISERROR(SEARCH(("No"),(C86))))</formula>
    </cfRule>
  </conditionalFormatting>
  <conditionalFormatting sqref="C98:C113">
    <cfRule type="containsText" dxfId="4" priority="164" operator="containsText" text="No">
      <formula>NOT(ISERROR(SEARCH(("No"),(C98))))</formula>
    </cfRule>
  </conditionalFormatting>
  <conditionalFormatting sqref="C115:C116">
    <cfRule type="containsText" dxfId="4" priority="165" operator="containsText" text="No">
      <formula>NOT(ISERROR(SEARCH(("No"),(C115))))</formula>
    </cfRule>
  </conditionalFormatting>
  <conditionalFormatting sqref="C119:C120">
    <cfRule type="containsText" dxfId="4" priority="166" operator="containsText" text="No">
      <formula>NOT(ISERROR(SEARCH(("No"),(C119))))</formula>
    </cfRule>
  </conditionalFormatting>
  <conditionalFormatting sqref="C122:C123">
    <cfRule type="containsText" dxfId="4" priority="167" operator="containsText" text="No">
      <formula>NOT(ISERROR(SEARCH(("No"),(C122))))</formula>
    </cfRule>
  </conditionalFormatting>
  <conditionalFormatting sqref="C125">
    <cfRule type="containsText" dxfId="4" priority="168" operator="containsText" text="No">
      <formula>NOT(ISERROR(SEARCH(("No"),(C125))))</formula>
    </cfRule>
  </conditionalFormatting>
  <conditionalFormatting sqref="C127:C133">
    <cfRule type="containsText" dxfId="4" priority="169" operator="containsText" text="No">
      <formula>NOT(ISERROR(SEARCH(("No"),(C127))))</formula>
    </cfRule>
  </conditionalFormatting>
  <conditionalFormatting sqref="C135:C143">
    <cfRule type="containsText" dxfId="4" priority="170" operator="containsText" text="No">
      <formula>NOT(ISERROR(SEARCH(("No"),(C135))))</formula>
    </cfRule>
  </conditionalFormatting>
  <conditionalFormatting sqref="C145:C177">
    <cfRule type="containsText" dxfId="4" priority="171" operator="containsText" text="No">
      <formula>NOT(ISERROR(SEARCH(("No"),(C145))))</formula>
    </cfRule>
  </conditionalFormatting>
  <conditionalFormatting sqref="C179:C194">
    <cfRule type="containsText" dxfId="4" priority="172" operator="containsText" text="No">
      <formula>NOT(ISERROR(SEARCH(("No"),(C179))))</formula>
    </cfRule>
  </conditionalFormatting>
  <conditionalFormatting sqref="C196:C208">
    <cfRule type="containsText" dxfId="4" priority="173" operator="containsText" text="No">
      <formula>NOT(ISERROR(SEARCH(("No"),(C196))))</formula>
    </cfRule>
  </conditionalFormatting>
  <conditionalFormatting sqref="C210">
    <cfRule type="containsText" dxfId="4" priority="174" operator="containsText" text="No">
      <formula>NOT(ISERROR(SEARCH(("No"),(C210))))</formula>
    </cfRule>
  </conditionalFormatting>
  <conditionalFormatting sqref="C212:C223">
    <cfRule type="containsText" dxfId="4" priority="175" operator="containsText" text="No">
      <formula>NOT(ISERROR(SEARCH(("No"),(C212))))</formula>
    </cfRule>
  </conditionalFormatting>
  <conditionalFormatting sqref="C228:C244">
    <cfRule type="containsText" dxfId="4" priority="176" operator="containsText" text="No">
      <formula>NOT(ISERROR(SEARCH(("No"),(C228))))</formula>
    </cfRule>
  </conditionalFormatting>
  <conditionalFormatting sqref="C247:C251">
    <cfRule type="containsText" dxfId="4" priority="177" operator="containsText" text="No">
      <formula>NOT(ISERROR(SEARCH(("No"),(C247))))</formula>
    </cfRule>
  </conditionalFormatting>
  <conditionalFormatting sqref="C253:C280">
    <cfRule type="containsText" dxfId="4" priority="178" operator="containsText" text="No">
      <formula>NOT(ISERROR(SEARCH(("No"),(C253))))</formula>
    </cfRule>
  </conditionalFormatting>
  <conditionalFormatting sqref="C282:C286">
    <cfRule type="containsText" dxfId="4" priority="179" operator="containsText" text="No">
      <formula>NOT(ISERROR(SEARCH(("No"),(C282))))</formula>
    </cfRule>
  </conditionalFormatting>
  <conditionalFormatting sqref="C288:C290">
    <cfRule type="containsText" dxfId="4" priority="180" operator="containsText" text="No">
      <formula>NOT(ISERROR(SEARCH(("No"),(C288))))</formula>
    </cfRule>
  </conditionalFormatting>
  <conditionalFormatting sqref="C292:C293">
    <cfRule type="containsText" dxfId="4" priority="181" operator="containsText" text="No">
      <formula>NOT(ISERROR(SEARCH(("No"),(C292))))</formula>
    </cfRule>
  </conditionalFormatting>
  <conditionalFormatting sqref="C295:C304">
    <cfRule type="containsText" dxfId="4" priority="182" operator="containsText" text="No">
      <formula>NOT(ISERROR(SEARCH(("No"),(C295))))</formula>
    </cfRule>
  </conditionalFormatting>
  <conditionalFormatting sqref="C307:C320">
    <cfRule type="containsText" dxfId="4" priority="183" operator="containsText" text="No">
      <formula>NOT(ISERROR(SEARCH(("No"),(C307))))</formula>
    </cfRule>
  </conditionalFormatting>
  <conditionalFormatting sqref="C322:C323">
    <cfRule type="containsText" dxfId="4" priority="184" operator="containsText" text="No">
      <formula>NOT(ISERROR(SEARCH(("No"),(C322))))</formula>
    </cfRule>
  </conditionalFormatting>
  <conditionalFormatting sqref="C325:C336">
    <cfRule type="containsText" dxfId="4" priority="185" operator="containsText" text="No">
      <formula>NOT(ISERROR(SEARCH(("No"),(C325))))</formula>
    </cfRule>
  </conditionalFormatting>
  <conditionalFormatting sqref="C338:C362">
    <cfRule type="containsText" dxfId="4" priority="186" operator="containsText" text="No">
      <formula>NOT(ISERROR(SEARCH(("No"),(C338))))</formula>
    </cfRule>
  </conditionalFormatting>
  <conditionalFormatting sqref="C365:C395">
    <cfRule type="containsText" dxfId="4" priority="187" operator="containsText" text="No">
      <formula>NOT(ISERROR(SEARCH(("No"),(C365))))</formula>
    </cfRule>
  </conditionalFormatting>
  <conditionalFormatting sqref="C397:C404">
    <cfRule type="containsText" dxfId="4" priority="188" operator="containsText" text="No">
      <formula>NOT(ISERROR(SEARCH(("No"),(C397))))</formula>
    </cfRule>
  </conditionalFormatting>
  <conditionalFormatting sqref="C406:C414">
    <cfRule type="containsText" dxfId="4" priority="189" operator="containsText" text="No">
      <formula>NOT(ISERROR(SEARCH(("No"),(C406))))</formula>
    </cfRule>
  </conditionalFormatting>
  <conditionalFormatting sqref="C416:C426">
    <cfRule type="containsText" dxfId="4" priority="190" operator="containsText" text="No">
      <formula>NOT(ISERROR(SEARCH(("No"),(C416))))</formula>
    </cfRule>
  </conditionalFormatting>
  <conditionalFormatting sqref="C428:C439">
    <cfRule type="containsText" dxfId="4" priority="191" operator="containsText" text="No">
      <formula>NOT(ISERROR(SEARCH(("No"),(C428))))</formula>
    </cfRule>
  </conditionalFormatting>
  <conditionalFormatting sqref="C441:C453">
    <cfRule type="containsText" dxfId="4" priority="192" operator="containsText" text="No">
      <formula>NOT(ISERROR(SEARCH(("No"),(C441))))</formula>
    </cfRule>
  </conditionalFormatting>
  <conditionalFormatting sqref="C455:C456">
    <cfRule type="containsText" dxfId="4" priority="193" operator="containsText" text="No">
      <formula>NOT(ISERROR(SEARCH(("No"),(C455))))</formula>
    </cfRule>
  </conditionalFormatting>
  <conditionalFormatting sqref="C459:C469">
    <cfRule type="containsText" dxfId="4" priority="194" operator="containsText" text="No">
      <formula>NOT(ISERROR(SEARCH(("No"),(C459))))</formula>
    </cfRule>
  </conditionalFormatting>
  <conditionalFormatting sqref="C471:C491">
    <cfRule type="containsText" dxfId="4" priority="195" operator="containsText" text="No">
      <formula>NOT(ISERROR(SEARCH(("No"),(C471))))</formula>
    </cfRule>
  </conditionalFormatting>
  <conditionalFormatting sqref="C494:C498">
    <cfRule type="containsText" dxfId="4" priority="196" operator="containsText" text="No">
      <formula>NOT(ISERROR(SEARCH(("No"),(C494))))</formula>
    </cfRule>
  </conditionalFormatting>
  <conditionalFormatting sqref="C500:C517">
    <cfRule type="containsText" dxfId="4" priority="197" operator="containsText" text="No">
      <formula>NOT(ISERROR(SEARCH(("No"),(C500))))</formula>
    </cfRule>
  </conditionalFormatting>
  <conditionalFormatting sqref="C519:C523">
    <cfRule type="containsText" dxfId="4" priority="198" operator="containsText" text="No">
      <formula>NOT(ISERROR(SEARCH(("No"),(C519))))</formula>
    </cfRule>
  </conditionalFormatting>
  <conditionalFormatting sqref="C525:C540">
    <cfRule type="containsText" dxfId="4" priority="199" operator="containsText" text="No">
      <formula>NOT(ISERROR(SEARCH(("No"),(C525))))</formula>
    </cfRule>
  </conditionalFormatting>
  <conditionalFormatting sqref="C543:C582">
    <cfRule type="containsText" dxfId="4" priority="200" operator="containsText" text="No">
      <formula>NOT(ISERROR(SEARCH(("No"),(C543))))</formula>
    </cfRule>
  </conditionalFormatting>
  <conditionalFormatting sqref="C584:C585">
    <cfRule type="containsText" dxfId="4" priority="201" operator="containsText" text="No">
      <formula>NOT(ISERROR(SEARCH(("No"),(C584))))</formula>
    </cfRule>
  </conditionalFormatting>
  <conditionalFormatting sqref="C587:C597">
    <cfRule type="containsText" dxfId="4" priority="202" operator="containsText" text="No">
      <formula>NOT(ISERROR(SEARCH(("No"),(C587))))</formula>
    </cfRule>
  </conditionalFormatting>
  <conditionalFormatting sqref="C599:C604">
    <cfRule type="containsText" dxfId="4" priority="203" operator="containsText" text="No">
      <formula>NOT(ISERROR(SEARCH(("No"),(C599))))</formula>
    </cfRule>
  </conditionalFormatting>
  <conditionalFormatting sqref="C606:C615">
    <cfRule type="containsText" dxfId="4" priority="204" operator="containsText" text="No">
      <formula>NOT(ISERROR(SEARCH(("No"),(C606))))</formula>
    </cfRule>
  </conditionalFormatting>
  <conditionalFormatting sqref="C617:C622">
    <cfRule type="containsText" dxfId="4" priority="205" operator="containsText" text="No">
      <formula>NOT(ISERROR(SEARCH(("No"),(C617))))</formula>
    </cfRule>
  </conditionalFormatting>
  <conditionalFormatting sqref="C624:C629">
    <cfRule type="containsText" dxfId="4" priority="206" operator="containsText" text="No">
      <formula>NOT(ISERROR(SEARCH(("No"),(C624))))</formula>
    </cfRule>
  </conditionalFormatting>
  <conditionalFormatting sqref="C632:C635">
    <cfRule type="containsText" dxfId="4" priority="207" operator="containsText" text="No">
      <formula>NOT(ISERROR(SEARCH(("No"),(C632))))</formula>
    </cfRule>
  </conditionalFormatting>
  <conditionalFormatting sqref="C637:C647">
    <cfRule type="containsText" dxfId="4" priority="208" operator="containsText" text="No">
      <formula>NOT(ISERROR(SEARCH(("No"),(C637))))</formula>
    </cfRule>
  </conditionalFormatting>
  <conditionalFormatting sqref="C650:C656">
    <cfRule type="containsText" dxfId="4" priority="209" operator="containsText" text="No">
      <formula>NOT(ISERROR(SEARCH(("No"),(C650))))</formula>
    </cfRule>
  </conditionalFormatting>
  <conditionalFormatting sqref="C658:C673">
    <cfRule type="containsText" dxfId="4" priority="210" operator="containsText" text="No">
      <formula>NOT(ISERROR(SEARCH(("No"),(C658))))</formula>
    </cfRule>
  </conditionalFormatting>
  <conditionalFormatting sqref="C675:C701">
    <cfRule type="containsText" dxfId="4" priority="211" operator="containsText" text="No">
      <formula>NOT(ISERROR(SEARCH(("No"),(C675))))</formula>
    </cfRule>
  </conditionalFormatting>
  <conditionalFormatting sqref="C704:C709">
    <cfRule type="containsText" dxfId="4" priority="212" operator="containsText" text="No">
      <formula>NOT(ISERROR(SEARCH(("No"),(C704))))</formula>
    </cfRule>
  </conditionalFormatting>
  <conditionalFormatting sqref="C712:C716">
    <cfRule type="containsText" dxfId="4" priority="213" operator="containsText" text="No">
      <formula>NOT(ISERROR(SEARCH(("No"),(C712))))</formula>
    </cfRule>
  </conditionalFormatting>
  <conditionalFormatting sqref="C718:C719">
    <cfRule type="containsText" dxfId="4" priority="214" operator="containsText" text="No">
      <formula>NOT(ISERROR(SEARCH(("No"),(C718))))</formula>
    </cfRule>
  </conditionalFormatting>
  <conditionalFormatting sqref="C722:C755">
    <cfRule type="containsText" dxfId="4" priority="215" operator="containsText" text="No">
      <formula>NOT(ISERROR(SEARCH(("No"),(C722))))</formula>
    </cfRule>
  </conditionalFormatting>
  <conditionalFormatting sqref="C757">
    <cfRule type="containsText" dxfId="4" priority="216" operator="containsText" text="No">
      <formula>NOT(ISERROR(SEARCH(("No"),(C757))))</formula>
    </cfRule>
  </conditionalFormatting>
  <conditionalFormatting sqref="C759:C769">
    <cfRule type="containsText" dxfId="4" priority="217" operator="containsText" text="No">
      <formula>NOT(ISERROR(SEARCH(("No"),(C759))))</formula>
    </cfRule>
  </conditionalFormatting>
  <conditionalFormatting sqref="C771">
    <cfRule type="containsText" dxfId="4" priority="218" operator="containsText" text="No">
      <formula>NOT(ISERROR(SEARCH(("No"),(C771))))</formula>
    </cfRule>
  </conditionalFormatting>
  <conditionalFormatting sqref="C773:C779">
    <cfRule type="containsText" dxfId="4" priority="219" operator="containsText" text="No">
      <formula>NOT(ISERROR(SEARCH(("No"),(C773))))</formula>
    </cfRule>
  </conditionalFormatting>
  <conditionalFormatting sqref="C781:C786">
    <cfRule type="containsText" dxfId="4" priority="220" operator="containsText" text="No">
      <formula>NOT(ISERROR(SEARCH(("No"),(C781))))</formula>
    </cfRule>
  </conditionalFormatting>
  <conditionalFormatting sqref="C788:C792">
    <cfRule type="containsText" dxfId="4" priority="221" operator="containsText" text="No">
      <formula>NOT(ISERROR(SEARCH(("No"),(C788))))</formula>
    </cfRule>
  </conditionalFormatting>
  <conditionalFormatting sqref="C794:C800">
    <cfRule type="containsText" dxfId="4" priority="222" operator="containsText" text="No">
      <formula>NOT(ISERROR(SEARCH(("No"),(C794))))</formula>
    </cfRule>
  </conditionalFormatting>
  <conditionalFormatting sqref="C802:C842">
    <cfRule type="containsText" dxfId="4" priority="223" operator="containsText" text="No">
      <formula>NOT(ISERROR(SEARCH(("No"),(C802))))</formula>
    </cfRule>
  </conditionalFormatting>
  <conditionalFormatting sqref="C844:C865">
    <cfRule type="containsText" dxfId="4" priority="224" operator="containsText" text="No">
      <formula>NOT(ISERROR(SEARCH(("No"),(C844))))</formula>
    </cfRule>
  </conditionalFormatting>
  <conditionalFormatting sqref="C867:C870">
    <cfRule type="containsText" dxfId="4" priority="225" operator="containsText" text="No">
      <formula>NOT(ISERROR(SEARCH(("No"),(C867))))</formula>
    </cfRule>
  </conditionalFormatting>
  <conditionalFormatting sqref="C872">
    <cfRule type="containsText" dxfId="4" priority="226" operator="containsText" text="No">
      <formula>NOT(ISERROR(SEARCH(("No"),(C872))))</formula>
    </cfRule>
  </conditionalFormatting>
  <conditionalFormatting sqref="C874:C888">
    <cfRule type="containsText" dxfId="4" priority="227" operator="containsText" text="No">
      <formula>NOT(ISERROR(SEARCH(("No"),(C874))))</formula>
    </cfRule>
  </conditionalFormatting>
  <conditionalFormatting sqref="C890:C893">
    <cfRule type="containsText" dxfId="4" priority="228" operator="containsText" text="No">
      <formula>NOT(ISERROR(SEARCH(("No"),(C890))))</formula>
    </cfRule>
  </conditionalFormatting>
  <conditionalFormatting sqref="C896:C906">
    <cfRule type="containsText" dxfId="4" priority="229" operator="containsText" text="No">
      <formula>NOT(ISERROR(SEARCH(("No"),(C896))))</formula>
    </cfRule>
  </conditionalFormatting>
  <conditionalFormatting sqref="C908:C922">
    <cfRule type="containsText" dxfId="4" priority="230" operator="containsText" text="No">
      <formula>NOT(ISERROR(SEARCH(("No"),(C908))))</formula>
    </cfRule>
  </conditionalFormatting>
  <conditionalFormatting sqref="C924">
    <cfRule type="containsText" dxfId="4" priority="231" operator="containsText" text="No">
      <formula>NOT(ISERROR(SEARCH(("No"),(C924))))</formula>
    </cfRule>
  </conditionalFormatting>
  <conditionalFormatting sqref="C926:C937">
    <cfRule type="containsText" dxfId="4" priority="232" operator="containsText" text="No">
      <formula>NOT(ISERROR(SEARCH(("No"),(C926))))</formula>
    </cfRule>
  </conditionalFormatting>
  <conditionalFormatting sqref="C939:C942">
    <cfRule type="containsText" dxfId="4" priority="233" operator="containsText" text="No">
      <formula>NOT(ISERROR(SEARCH(("No"),(C939))))</formula>
    </cfRule>
  </conditionalFormatting>
  <conditionalFormatting sqref="C945:C951">
    <cfRule type="containsText" dxfId="4" priority="234" operator="containsText" text="No">
      <formula>NOT(ISERROR(SEARCH(("No"),(C945))))</formula>
    </cfRule>
  </conditionalFormatting>
  <conditionalFormatting sqref="C954:C967">
    <cfRule type="containsText" dxfId="4" priority="235" operator="containsText" text="No">
      <formula>NOT(ISERROR(SEARCH(("No"),(C954))))</formula>
    </cfRule>
  </conditionalFormatting>
  <conditionalFormatting sqref="C969:C970">
    <cfRule type="containsText" dxfId="4" priority="236" operator="containsText" text="No">
      <formula>NOT(ISERROR(SEARCH(("No"),(C969))))</formula>
    </cfRule>
  </conditionalFormatting>
  <conditionalFormatting sqref="C972">
    <cfRule type="containsText" dxfId="4" priority="237" operator="containsText" text="No">
      <formula>NOT(ISERROR(SEARCH(("No"),(C972))))</formula>
    </cfRule>
  </conditionalFormatting>
  <conditionalFormatting sqref="C974:C1012">
    <cfRule type="containsText" dxfId="4" priority="238" operator="containsText" text="No">
      <formula>NOT(ISERROR(SEARCH(("No"),(C974))))</formula>
    </cfRule>
  </conditionalFormatting>
  <conditionalFormatting sqref="C1014:C1036">
    <cfRule type="containsText" dxfId="4" priority="239" operator="containsText" text="No">
      <formula>NOT(ISERROR(SEARCH(("No"),(C1014))))</formula>
    </cfRule>
  </conditionalFormatting>
  <conditionalFormatting sqref="C1038:C1050">
    <cfRule type="containsText" dxfId="4" priority="240" operator="containsText" text="No">
      <formula>NOT(ISERROR(SEARCH(("No"),(C1038))))</formula>
    </cfRule>
  </conditionalFormatting>
  <conditionalFormatting sqref="C1053:C1068">
    <cfRule type="containsText" dxfId="4" priority="241" operator="containsText" text="No">
      <formula>NOT(ISERROR(SEARCH(("No"),(C1053))))</formula>
    </cfRule>
  </conditionalFormatting>
  <conditionalFormatting sqref="C1071:C1089">
    <cfRule type="containsText" dxfId="4" priority="242" operator="containsText" text="No">
      <formula>NOT(ISERROR(SEARCH(("No"),(C1071))))</formula>
    </cfRule>
  </conditionalFormatting>
  <conditionalFormatting sqref="C1091:C1131">
    <cfRule type="containsText" dxfId="4" priority="243" operator="containsText" text="No">
      <formula>NOT(ISERROR(SEARCH(("No"),(C1091))))</formula>
    </cfRule>
  </conditionalFormatting>
  <conditionalFormatting sqref="C1133:C1163">
    <cfRule type="containsText" dxfId="4" priority="244" operator="containsText" text="No">
      <formula>NOT(ISERROR(SEARCH(("No"),(C1133))))</formula>
    </cfRule>
  </conditionalFormatting>
  <conditionalFormatting sqref="C1165:C1191">
    <cfRule type="containsText" dxfId="4" priority="245" operator="containsText" text="No">
      <formula>NOT(ISERROR(SEARCH(("No"),(C1165))))</formula>
    </cfRule>
  </conditionalFormatting>
  <conditionalFormatting sqref="C1193:C1198">
    <cfRule type="containsText" dxfId="4" priority="246" operator="containsText" text="No">
      <formula>NOT(ISERROR(SEARCH(("No"),(C1193))))</formula>
    </cfRule>
  </conditionalFormatting>
  <conditionalFormatting sqref="C1200">
    <cfRule type="containsText" dxfId="4" priority="247" operator="containsText" text="No">
      <formula>NOT(ISERROR(SEARCH(("No"),(C1200))))</formula>
    </cfRule>
  </conditionalFormatting>
  <conditionalFormatting sqref="C1202:C1210">
    <cfRule type="containsText" dxfId="4" priority="248" operator="containsText" text="No">
      <formula>NOT(ISERROR(SEARCH(("No"),(C1202))))</formula>
    </cfRule>
  </conditionalFormatting>
  <conditionalFormatting sqref="C1212">
    <cfRule type="containsText" dxfId="4" priority="249" operator="containsText" text="No">
      <formula>NOT(ISERROR(SEARCH(("No"),(C1212))))</formula>
    </cfRule>
  </conditionalFormatting>
  <conditionalFormatting sqref="C1214:C1218">
    <cfRule type="containsText" dxfId="4" priority="250" operator="containsText" text="No">
      <formula>NOT(ISERROR(SEARCH(("No"),(C1214))))</formula>
    </cfRule>
  </conditionalFormatting>
  <conditionalFormatting sqref="C1220:C1227">
    <cfRule type="containsText" dxfId="4" priority="251" operator="containsText" text="No">
      <formula>NOT(ISERROR(SEARCH(("No"),(C1220))))</formula>
    </cfRule>
  </conditionalFormatting>
  <conditionalFormatting sqref="C1229:C1241">
    <cfRule type="containsText" dxfId="4" priority="252" operator="containsText" text="No">
      <formula>NOT(ISERROR(SEARCH(("No"),(C1229))))</formula>
    </cfRule>
  </conditionalFormatting>
  <conditionalFormatting sqref="C1243:C1246">
    <cfRule type="containsText" dxfId="4" priority="253" operator="containsText" text="No">
      <formula>NOT(ISERROR(SEARCH(("No"),(C1243))))</formula>
    </cfRule>
  </conditionalFormatting>
  <conditionalFormatting sqref="C1248:C1302">
    <cfRule type="containsText" dxfId="4" priority="254" operator="containsText" text="No">
      <formula>NOT(ISERROR(SEARCH(("No"),(C1248))))</formula>
    </cfRule>
  </conditionalFormatting>
  <conditionalFormatting sqref="C1304:C1308">
    <cfRule type="containsText" dxfId="4" priority="255" operator="containsText" text="No">
      <formula>NOT(ISERROR(SEARCH(("No"),(C1304))))</formula>
    </cfRule>
  </conditionalFormatting>
  <conditionalFormatting sqref="C1310:C1312">
    <cfRule type="containsText" dxfId="4" priority="256" operator="containsText" text="No">
      <formula>NOT(ISERROR(SEARCH(("No"),(C1310))))</formula>
    </cfRule>
  </conditionalFormatting>
  <conditionalFormatting sqref="C1314">
    <cfRule type="containsText" dxfId="4" priority="257" operator="containsText" text="No">
      <formula>NOT(ISERROR(SEARCH(("No"),(C1314))))</formula>
    </cfRule>
  </conditionalFormatting>
  <conditionalFormatting sqref="C1316:C1341">
    <cfRule type="containsText" dxfId="4" priority="258" operator="containsText" text="No">
      <formula>NOT(ISERROR(SEARCH(("No"),(C1316))))</formula>
    </cfRule>
  </conditionalFormatting>
  <conditionalFormatting sqref="C1344:C1357">
    <cfRule type="containsText" dxfId="4" priority="259" operator="containsText" text="No">
      <formula>NOT(ISERROR(SEARCH(("No"),(C1344))))</formula>
    </cfRule>
  </conditionalFormatting>
  <conditionalFormatting sqref="C1359">
    <cfRule type="containsText" dxfId="4" priority="260" operator="containsText" text="No">
      <formula>NOT(ISERROR(SEARCH(("No"),(C1359))))</formula>
    </cfRule>
  </conditionalFormatting>
  <conditionalFormatting sqref="C1361:C1375">
    <cfRule type="containsText" dxfId="4" priority="261" operator="containsText" text="No">
      <formula>NOT(ISERROR(SEARCH(("No"),(C1361))))</formula>
    </cfRule>
  </conditionalFormatting>
  <conditionalFormatting sqref="C1377:C1379">
    <cfRule type="containsText" dxfId="4" priority="262" operator="containsText" text="No">
      <formula>NOT(ISERROR(SEARCH(("No"),(C1377))))</formula>
    </cfRule>
  </conditionalFormatting>
  <conditionalFormatting sqref="C1381:C1390">
    <cfRule type="containsText" dxfId="4" priority="263" operator="containsText" text="No">
      <formula>NOT(ISERROR(SEARCH(("No"),(C1381))))</formula>
    </cfRule>
  </conditionalFormatting>
  <conditionalFormatting sqref="C1392:C1400">
    <cfRule type="containsText" dxfId="4" priority="264" operator="containsText" text="No">
      <formula>NOT(ISERROR(SEARCH(("No"),(C1392))))</formula>
    </cfRule>
  </conditionalFormatting>
  <conditionalFormatting sqref="C1403:C1413">
    <cfRule type="containsText" dxfId="4" priority="265" operator="containsText" text="No">
      <formula>NOT(ISERROR(SEARCH(("No"),(C1403))))</formula>
    </cfRule>
  </conditionalFormatting>
  <conditionalFormatting sqref="C1415:C1444">
    <cfRule type="containsText" dxfId="4" priority="266" operator="containsText" text="No">
      <formula>NOT(ISERROR(SEARCH(("No"),(C1415))))</formula>
    </cfRule>
  </conditionalFormatting>
  <conditionalFormatting sqref="C1446:C1448">
    <cfRule type="containsText" dxfId="4" priority="267" operator="containsText" text="No">
      <formula>NOT(ISERROR(SEARCH(("No"),(C1446))))</formula>
    </cfRule>
  </conditionalFormatting>
  <conditionalFormatting sqref="C1450:C1464">
    <cfRule type="containsText" dxfId="4" priority="268" operator="containsText" text="No">
      <formula>NOT(ISERROR(SEARCH(("No"),(C1450))))</formula>
    </cfRule>
  </conditionalFormatting>
  <conditionalFormatting sqref="C1466:C1475">
    <cfRule type="containsText" dxfId="4" priority="269" operator="containsText" text="No">
      <formula>NOT(ISERROR(SEARCH(("No"),(C1466))))</formula>
    </cfRule>
  </conditionalFormatting>
  <conditionalFormatting sqref="C1477:C1490">
    <cfRule type="containsText" dxfId="4" priority="270" operator="containsText" text="No">
      <formula>NOT(ISERROR(SEARCH(("No"),(C1477))))</formula>
    </cfRule>
  </conditionalFormatting>
  <conditionalFormatting sqref="C1492">
    <cfRule type="containsText" dxfId="4" priority="271" operator="containsText" text="No">
      <formula>NOT(ISERROR(SEARCH(("No"),(C1492))))</formula>
    </cfRule>
  </conditionalFormatting>
  <conditionalFormatting sqref="C1494:C1516">
    <cfRule type="containsText" dxfId="4" priority="272" operator="containsText" text="No">
      <formula>NOT(ISERROR(SEARCH(("No"),(C1494))))</formula>
    </cfRule>
  </conditionalFormatting>
  <conditionalFormatting sqref="C1518:C1538">
    <cfRule type="containsText" dxfId="4" priority="273" operator="containsText" text="No">
      <formula>NOT(ISERROR(SEARCH(("No"),(C1518))))</formula>
    </cfRule>
  </conditionalFormatting>
  <conditionalFormatting sqref="C1540:C1549">
    <cfRule type="containsText" dxfId="4" priority="274" operator="containsText" text="No">
      <formula>NOT(ISERROR(SEARCH(("No"),(C1540))))</formula>
    </cfRule>
  </conditionalFormatting>
  <conditionalFormatting sqref="C1551:C1562">
    <cfRule type="containsText" dxfId="4" priority="275" operator="containsText" text="No">
      <formula>NOT(ISERROR(SEARCH(("No"),(C1551))))</formula>
    </cfRule>
  </conditionalFormatting>
  <conditionalFormatting sqref="C1">
    <cfRule type="containsText" dxfId="5" priority="276" operator="containsText" text="Partially">
      <formula>NOT(ISERROR(SEARCH(("Partially"),(C1))))</formula>
    </cfRule>
  </conditionalFormatting>
  <conditionalFormatting sqref="C3">
    <cfRule type="containsText" dxfId="5" priority="277" operator="containsText" text="Partially">
      <formula>NOT(ISERROR(SEARCH(("Partially"),(C3))))</formula>
    </cfRule>
  </conditionalFormatting>
  <conditionalFormatting sqref="C5:C38">
    <cfRule type="containsText" dxfId="5" priority="278" operator="containsText" text="Partially">
      <formula>NOT(ISERROR(SEARCH(("Partially"),(C5))))</formula>
    </cfRule>
  </conditionalFormatting>
  <conditionalFormatting sqref="C40:C44">
    <cfRule type="containsText" dxfId="5" priority="279" operator="containsText" text="Partially">
      <formula>NOT(ISERROR(SEARCH(("Partially"),(C40))))</formula>
    </cfRule>
  </conditionalFormatting>
  <conditionalFormatting sqref="C46:C48">
    <cfRule type="containsText" dxfId="5" priority="280" operator="containsText" text="Partially">
      <formula>NOT(ISERROR(SEARCH(("Partially"),(C46))))</formula>
    </cfRule>
  </conditionalFormatting>
  <conditionalFormatting sqref="C50:C59">
    <cfRule type="containsText" dxfId="5" priority="281" operator="containsText" text="Partially">
      <formula>NOT(ISERROR(SEARCH(("Partially"),(C50))))</formula>
    </cfRule>
  </conditionalFormatting>
  <conditionalFormatting sqref="C61:C64">
    <cfRule type="containsText" dxfId="5" priority="282" operator="containsText" text="Partially">
      <formula>NOT(ISERROR(SEARCH(("Partially"),(C61))))</formula>
    </cfRule>
  </conditionalFormatting>
  <conditionalFormatting sqref="C66:C84">
    <cfRule type="containsText" dxfId="5" priority="283" operator="containsText" text="Partially">
      <formula>NOT(ISERROR(SEARCH(("Partially"),(C66))))</formula>
    </cfRule>
  </conditionalFormatting>
  <conditionalFormatting sqref="C86:C96">
    <cfRule type="containsText" dxfId="5" priority="284" operator="containsText" text="Partially">
      <formula>NOT(ISERROR(SEARCH(("Partially"),(C86))))</formula>
    </cfRule>
  </conditionalFormatting>
  <conditionalFormatting sqref="C98:C113">
    <cfRule type="containsText" dxfId="5" priority="285" operator="containsText" text="Partially">
      <formula>NOT(ISERROR(SEARCH(("Partially"),(C98))))</formula>
    </cfRule>
  </conditionalFormatting>
  <conditionalFormatting sqref="C115:C116">
    <cfRule type="containsText" dxfId="5" priority="286" operator="containsText" text="Partially">
      <formula>NOT(ISERROR(SEARCH(("Partially"),(C115))))</formula>
    </cfRule>
  </conditionalFormatting>
  <conditionalFormatting sqref="C119:C120">
    <cfRule type="containsText" dxfId="5" priority="287" operator="containsText" text="Partially">
      <formula>NOT(ISERROR(SEARCH(("Partially"),(C119))))</formula>
    </cfRule>
  </conditionalFormatting>
  <conditionalFormatting sqref="C122:C123">
    <cfRule type="containsText" dxfId="5" priority="288" operator="containsText" text="Partially">
      <formula>NOT(ISERROR(SEARCH(("Partially"),(C122))))</formula>
    </cfRule>
  </conditionalFormatting>
  <conditionalFormatting sqref="C125">
    <cfRule type="containsText" dxfId="5" priority="289" operator="containsText" text="Partially">
      <formula>NOT(ISERROR(SEARCH(("Partially"),(C125))))</formula>
    </cfRule>
  </conditionalFormatting>
  <conditionalFormatting sqref="C127:C133">
    <cfRule type="containsText" dxfId="5" priority="290" operator="containsText" text="Partially">
      <formula>NOT(ISERROR(SEARCH(("Partially"),(C127))))</formula>
    </cfRule>
  </conditionalFormatting>
  <conditionalFormatting sqref="C135:C143">
    <cfRule type="containsText" dxfId="5" priority="291" operator="containsText" text="Partially">
      <formula>NOT(ISERROR(SEARCH(("Partially"),(C135))))</formula>
    </cfRule>
  </conditionalFormatting>
  <conditionalFormatting sqref="C145:C177">
    <cfRule type="containsText" dxfId="5" priority="292" operator="containsText" text="Partially">
      <formula>NOT(ISERROR(SEARCH(("Partially"),(C145))))</formula>
    </cfRule>
  </conditionalFormatting>
  <conditionalFormatting sqref="C179:C194">
    <cfRule type="containsText" dxfId="5" priority="293" operator="containsText" text="Partially">
      <formula>NOT(ISERROR(SEARCH(("Partially"),(C179))))</formula>
    </cfRule>
  </conditionalFormatting>
  <conditionalFormatting sqref="C196:C208">
    <cfRule type="containsText" dxfId="5" priority="294" operator="containsText" text="Partially">
      <formula>NOT(ISERROR(SEARCH(("Partially"),(C196))))</formula>
    </cfRule>
  </conditionalFormatting>
  <conditionalFormatting sqref="C210">
    <cfRule type="containsText" dxfId="5" priority="295" operator="containsText" text="Partially">
      <formula>NOT(ISERROR(SEARCH(("Partially"),(C210))))</formula>
    </cfRule>
  </conditionalFormatting>
  <conditionalFormatting sqref="C212:C223">
    <cfRule type="containsText" dxfId="5" priority="296" operator="containsText" text="Partially">
      <formula>NOT(ISERROR(SEARCH(("Partially"),(C212))))</formula>
    </cfRule>
  </conditionalFormatting>
  <conditionalFormatting sqref="C228:C244">
    <cfRule type="containsText" dxfId="5" priority="297" operator="containsText" text="Partially">
      <formula>NOT(ISERROR(SEARCH(("Partially"),(C228))))</formula>
    </cfRule>
  </conditionalFormatting>
  <conditionalFormatting sqref="C247:C251">
    <cfRule type="containsText" dxfId="5" priority="298" operator="containsText" text="Partially">
      <formula>NOT(ISERROR(SEARCH(("Partially"),(C247))))</formula>
    </cfRule>
  </conditionalFormatting>
  <conditionalFormatting sqref="C253:C280">
    <cfRule type="containsText" dxfId="5" priority="299" operator="containsText" text="Partially">
      <formula>NOT(ISERROR(SEARCH(("Partially"),(C253))))</formula>
    </cfRule>
  </conditionalFormatting>
  <conditionalFormatting sqref="C282:C286">
    <cfRule type="containsText" dxfId="5" priority="300" operator="containsText" text="Partially">
      <formula>NOT(ISERROR(SEARCH(("Partially"),(C282))))</formula>
    </cfRule>
  </conditionalFormatting>
  <conditionalFormatting sqref="C288:C290">
    <cfRule type="containsText" dxfId="5" priority="301" operator="containsText" text="Partially">
      <formula>NOT(ISERROR(SEARCH(("Partially"),(C288))))</formula>
    </cfRule>
  </conditionalFormatting>
  <conditionalFormatting sqref="C292:C293">
    <cfRule type="containsText" dxfId="5" priority="302" operator="containsText" text="Partially">
      <formula>NOT(ISERROR(SEARCH(("Partially"),(C292))))</formula>
    </cfRule>
  </conditionalFormatting>
  <conditionalFormatting sqref="C295:C304">
    <cfRule type="containsText" dxfId="5" priority="303" operator="containsText" text="Partially">
      <formula>NOT(ISERROR(SEARCH(("Partially"),(C295))))</formula>
    </cfRule>
  </conditionalFormatting>
  <conditionalFormatting sqref="C307:C320">
    <cfRule type="containsText" dxfId="5" priority="304" operator="containsText" text="Partially">
      <formula>NOT(ISERROR(SEARCH(("Partially"),(C307))))</formula>
    </cfRule>
  </conditionalFormatting>
  <conditionalFormatting sqref="C322:C323">
    <cfRule type="containsText" dxfId="5" priority="305" operator="containsText" text="Partially">
      <formula>NOT(ISERROR(SEARCH(("Partially"),(C322))))</formula>
    </cfRule>
  </conditionalFormatting>
  <conditionalFormatting sqref="C325:C336">
    <cfRule type="containsText" dxfId="5" priority="306" operator="containsText" text="Partially">
      <formula>NOT(ISERROR(SEARCH(("Partially"),(C325))))</formula>
    </cfRule>
  </conditionalFormatting>
  <conditionalFormatting sqref="C338:C362">
    <cfRule type="containsText" dxfId="5" priority="307" operator="containsText" text="Partially">
      <formula>NOT(ISERROR(SEARCH(("Partially"),(C338))))</formula>
    </cfRule>
  </conditionalFormatting>
  <conditionalFormatting sqref="C365:C395">
    <cfRule type="containsText" dxfId="5" priority="308" operator="containsText" text="Partially">
      <formula>NOT(ISERROR(SEARCH(("Partially"),(C365))))</formula>
    </cfRule>
  </conditionalFormatting>
  <conditionalFormatting sqref="C397:C404">
    <cfRule type="containsText" dxfId="5" priority="309" operator="containsText" text="Partially">
      <formula>NOT(ISERROR(SEARCH(("Partially"),(C397))))</formula>
    </cfRule>
  </conditionalFormatting>
  <conditionalFormatting sqref="C406:C414">
    <cfRule type="containsText" dxfId="5" priority="310" operator="containsText" text="Partially">
      <formula>NOT(ISERROR(SEARCH(("Partially"),(C406))))</formula>
    </cfRule>
  </conditionalFormatting>
  <conditionalFormatting sqref="C416:C426">
    <cfRule type="containsText" dxfId="5" priority="311" operator="containsText" text="Partially">
      <formula>NOT(ISERROR(SEARCH(("Partially"),(C416))))</formula>
    </cfRule>
  </conditionalFormatting>
  <conditionalFormatting sqref="C428:C439">
    <cfRule type="containsText" dxfId="5" priority="312" operator="containsText" text="Partially">
      <formula>NOT(ISERROR(SEARCH(("Partially"),(C428))))</formula>
    </cfRule>
  </conditionalFormatting>
  <conditionalFormatting sqref="C441:C453">
    <cfRule type="containsText" dxfId="5" priority="313" operator="containsText" text="Partially">
      <formula>NOT(ISERROR(SEARCH(("Partially"),(C441))))</formula>
    </cfRule>
  </conditionalFormatting>
  <conditionalFormatting sqref="C455:C456">
    <cfRule type="containsText" dxfId="5" priority="314" operator="containsText" text="Partially">
      <formula>NOT(ISERROR(SEARCH(("Partially"),(C455))))</formula>
    </cfRule>
  </conditionalFormatting>
  <conditionalFormatting sqref="C459:C469">
    <cfRule type="containsText" dxfId="5" priority="315" operator="containsText" text="Partially">
      <formula>NOT(ISERROR(SEARCH(("Partially"),(C459))))</formula>
    </cfRule>
  </conditionalFormatting>
  <conditionalFormatting sqref="C471:C491">
    <cfRule type="containsText" dxfId="5" priority="316" operator="containsText" text="Partially">
      <formula>NOT(ISERROR(SEARCH(("Partially"),(C471))))</formula>
    </cfRule>
  </conditionalFormatting>
  <conditionalFormatting sqref="C494:C498">
    <cfRule type="containsText" dxfId="5" priority="317" operator="containsText" text="Partially">
      <formula>NOT(ISERROR(SEARCH(("Partially"),(C494))))</formula>
    </cfRule>
  </conditionalFormatting>
  <conditionalFormatting sqref="C500:C517">
    <cfRule type="containsText" dxfId="5" priority="318" operator="containsText" text="Partially">
      <formula>NOT(ISERROR(SEARCH(("Partially"),(C500))))</formula>
    </cfRule>
  </conditionalFormatting>
  <conditionalFormatting sqref="C519:C523">
    <cfRule type="containsText" dxfId="5" priority="319" operator="containsText" text="Partially">
      <formula>NOT(ISERROR(SEARCH(("Partially"),(C519))))</formula>
    </cfRule>
  </conditionalFormatting>
  <conditionalFormatting sqref="C525:C540">
    <cfRule type="containsText" dxfId="5" priority="320" operator="containsText" text="Partially">
      <formula>NOT(ISERROR(SEARCH(("Partially"),(C525))))</formula>
    </cfRule>
  </conditionalFormatting>
  <conditionalFormatting sqref="C543:C582">
    <cfRule type="containsText" dxfId="5" priority="321" operator="containsText" text="Partially">
      <formula>NOT(ISERROR(SEARCH(("Partially"),(C543))))</formula>
    </cfRule>
  </conditionalFormatting>
  <conditionalFormatting sqref="C584:C585">
    <cfRule type="containsText" dxfId="5" priority="322" operator="containsText" text="Partially">
      <formula>NOT(ISERROR(SEARCH(("Partially"),(C584))))</formula>
    </cfRule>
  </conditionalFormatting>
  <conditionalFormatting sqref="C587:C597">
    <cfRule type="containsText" dxfId="5" priority="323" operator="containsText" text="Partially">
      <formula>NOT(ISERROR(SEARCH(("Partially"),(C587))))</formula>
    </cfRule>
  </conditionalFormatting>
  <conditionalFormatting sqref="C599:C604">
    <cfRule type="containsText" dxfId="5" priority="324" operator="containsText" text="Partially">
      <formula>NOT(ISERROR(SEARCH(("Partially"),(C599))))</formula>
    </cfRule>
  </conditionalFormatting>
  <conditionalFormatting sqref="C606:C615">
    <cfRule type="containsText" dxfId="5" priority="325" operator="containsText" text="Partially">
      <formula>NOT(ISERROR(SEARCH(("Partially"),(C606))))</formula>
    </cfRule>
  </conditionalFormatting>
  <conditionalFormatting sqref="C617:C622">
    <cfRule type="containsText" dxfId="5" priority="326" operator="containsText" text="Partially">
      <formula>NOT(ISERROR(SEARCH(("Partially"),(C617))))</formula>
    </cfRule>
  </conditionalFormatting>
  <conditionalFormatting sqref="C624:C629">
    <cfRule type="containsText" dxfId="5" priority="327" operator="containsText" text="Partially">
      <formula>NOT(ISERROR(SEARCH(("Partially"),(C624))))</formula>
    </cfRule>
  </conditionalFormatting>
  <conditionalFormatting sqref="C632:C635">
    <cfRule type="containsText" dxfId="5" priority="328" operator="containsText" text="Partially">
      <formula>NOT(ISERROR(SEARCH(("Partially"),(C632))))</formula>
    </cfRule>
  </conditionalFormatting>
  <conditionalFormatting sqref="C637:C647">
    <cfRule type="containsText" dxfId="5" priority="329" operator="containsText" text="Partially">
      <formula>NOT(ISERROR(SEARCH(("Partially"),(C637))))</formula>
    </cfRule>
  </conditionalFormatting>
  <conditionalFormatting sqref="C650:C656">
    <cfRule type="containsText" dxfId="5" priority="330" operator="containsText" text="Partially">
      <formula>NOT(ISERROR(SEARCH(("Partially"),(C650))))</formula>
    </cfRule>
  </conditionalFormatting>
  <conditionalFormatting sqref="C658:C673">
    <cfRule type="containsText" dxfId="5" priority="331" operator="containsText" text="Partially">
      <formula>NOT(ISERROR(SEARCH(("Partially"),(C658))))</formula>
    </cfRule>
  </conditionalFormatting>
  <conditionalFormatting sqref="C675:C701">
    <cfRule type="containsText" dxfId="5" priority="332" operator="containsText" text="Partially">
      <formula>NOT(ISERROR(SEARCH(("Partially"),(C675))))</formula>
    </cfRule>
  </conditionalFormatting>
  <conditionalFormatting sqref="C704:C709">
    <cfRule type="containsText" dxfId="5" priority="333" operator="containsText" text="Partially">
      <formula>NOT(ISERROR(SEARCH(("Partially"),(C704))))</formula>
    </cfRule>
  </conditionalFormatting>
  <conditionalFormatting sqref="C712:C716">
    <cfRule type="containsText" dxfId="5" priority="334" operator="containsText" text="Partially">
      <formula>NOT(ISERROR(SEARCH(("Partially"),(C712))))</formula>
    </cfRule>
  </conditionalFormatting>
  <conditionalFormatting sqref="C718:C719">
    <cfRule type="containsText" dxfId="5" priority="335" operator="containsText" text="Partially">
      <formula>NOT(ISERROR(SEARCH(("Partially"),(C718))))</formula>
    </cfRule>
  </conditionalFormatting>
  <conditionalFormatting sqref="C722:C755">
    <cfRule type="containsText" dxfId="5" priority="336" operator="containsText" text="Partially">
      <formula>NOT(ISERROR(SEARCH(("Partially"),(C722))))</formula>
    </cfRule>
  </conditionalFormatting>
  <conditionalFormatting sqref="C757">
    <cfRule type="containsText" dxfId="5" priority="337" operator="containsText" text="Partially">
      <formula>NOT(ISERROR(SEARCH(("Partially"),(C757))))</formula>
    </cfRule>
  </conditionalFormatting>
  <conditionalFormatting sqref="C759:C769">
    <cfRule type="containsText" dxfId="5" priority="338" operator="containsText" text="Partially">
      <formula>NOT(ISERROR(SEARCH(("Partially"),(C759))))</formula>
    </cfRule>
  </conditionalFormatting>
  <conditionalFormatting sqref="C771">
    <cfRule type="containsText" dxfId="5" priority="339" operator="containsText" text="Partially">
      <formula>NOT(ISERROR(SEARCH(("Partially"),(C771))))</formula>
    </cfRule>
  </conditionalFormatting>
  <conditionalFormatting sqref="C773:C779">
    <cfRule type="containsText" dxfId="5" priority="340" operator="containsText" text="Partially">
      <formula>NOT(ISERROR(SEARCH(("Partially"),(C773))))</formula>
    </cfRule>
  </conditionalFormatting>
  <conditionalFormatting sqref="C781:C786">
    <cfRule type="containsText" dxfId="5" priority="341" operator="containsText" text="Partially">
      <formula>NOT(ISERROR(SEARCH(("Partially"),(C781))))</formula>
    </cfRule>
  </conditionalFormatting>
  <conditionalFormatting sqref="C788:C792">
    <cfRule type="containsText" dxfId="5" priority="342" operator="containsText" text="Partially">
      <formula>NOT(ISERROR(SEARCH(("Partially"),(C788))))</formula>
    </cfRule>
  </conditionalFormatting>
  <conditionalFormatting sqref="C794:C800">
    <cfRule type="containsText" dxfId="5" priority="343" operator="containsText" text="Partially">
      <formula>NOT(ISERROR(SEARCH(("Partially"),(C794))))</formula>
    </cfRule>
  </conditionalFormatting>
  <conditionalFormatting sqref="C802:C842">
    <cfRule type="containsText" dxfId="5" priority="344" operator="containsText" text="Partially">
      <formula>NOT(ISERROR(SEARCH(("Partially"),(C802))))</formula>
    </cfRule>
  </conditionalFormatting>
  <conditionalFormatting sqref="C844:C865">
    <cfRule type="containsText" dxfId="5" priority="345" operator="containsText" text="Partially">
      <formula>NOT(ISERROR(SEARCH(("Partially"),(C844))))</formula>
    </cfRule>
  </conditionalFormatting>
  <conditionalFormatting sqref="C867:C870">
    <cfRule type="containsText" dxfId="5" priority="346" operator="containsText" text="Partially">
      <formula>NOT(ISERROR(SEARCH(("Partially"),(C867))))</formula>
    </cfRule>
  </conditionalFormatting>
  <conditionalFormatting sqref="C872">
    <cfRule type="containsText" dxfId="5" priority="347" operator="containsText" text="Partially">
      <formula>NOT(ISERROR(SEARCH(("Partially"),(C872))))</formula>
    </cfRule>
  </conditionalFormatting>
  <conditionalFormatting sqref="C874:C888">
    <cfRule type="containsText" dxfId="5" priority="348" operator="containsText" text="Partially">
      <formula>NOT(ISERROR(SEARCH(("Partially"),(C874))))</formula>
    </cfRule>
  </conditionalFormatting>
  <conditionalFormatting sqref="C890:C893">
    <cfRule type="containsText" dxfId="5" priority="349" operator="containsText" text="Partially">
      <formula>NOT(ISERROR(SEARCH(("Partially"),(C890))))</formula>
    </cfRule>
  </conditionalFormatting>
  <conditionalFormatting sqref="C896:C906">
    <cfRule type="containsText" dxfId="5" priority="350" operator="containsText" text="Partially">
      <formula>NOT(ISERROR(SEARCH(("Partially"),(C896))))</formula>
    </cfRule>
  </conditionalFormatting>
  <conditionalFormatting sqref="C908:C922">
    <cfRule type="containsText" dxfId="5" priority="351" operator="containsText" text="Partially">
      <formula>NOT(ISERROR(SEARCH(("Partially"),(C908))))</formula>
    </cfRule>
  </conditionalFormatting>
  <conditionalFormatting sqref="C924">
    <cfRule type="containsText" dxfId="5" priority="352" operator="containsText" text="Partially">
      <formula>NOT(ISERROR(SEARCH(("Partially"),(C924))))</formula>
    </cfRule>
  </conditionalFormatting>
  <conditionalFormatting sqref="C926:C937">
    <cfRule type="containsText" dxfId="5" priority="353" operator="containsText" text="Partially">
      <formula>NOT(ISERROR(SEARCH(("Partially"),(C926))))</formula>
    </cfRule>
  </conditionalFormatting>
  <conditionalFormatting sqref="C939:C942">
    <cfRule type="containsText" dxfId="5" priority="354" operator="containsText" text="Partially">
      <formula>NOT(ISERROR(SEARCH(("Partially"),(C939))))</formula>
    </cfRule>
  </conditionalFormatting>
  <conditionalFormatting sqref="C945:C951">
    <cfRule type="containsText" dxfId="5" priority="355" operator="containsText" text="Partially">
      <formula>NOT(ISERROR(SEARCH(("Partially"),(C945))))</formula>
    </cfRule>
  </conditionalFormatting>
  <conditionalFormatting sqref="C954:C967">
    <cfRule type="containsText" dxfId="5" priority="356" operator="containsText" text="Partially">
      <formula>NOT(ISERROR(SEARCH(("Partially"),(C954))))</formula>
    </cfRule>
  </conditionalFormatting>
  <conditionalFormatting sqref="C969:C970">
    <cfRule type="containsText" dxfId="5" priority="357" operator="containsText" text="Partially">
      <formula>NOT(ISERROR(SEARCH(("Partially"),(C969))))</formula>
    </cfRule>
  </conditionalFormatting>
  <conditionalFormatting sqref="C972">
    <cfRule type="containsText" dxfId="5" priority="358" operator="containsText" text="Partially">
      <formula>NOT(ISERROR(SEARCH(("Partially"),(C972))))</formula>
    </cfRule>
  </conditionalFormatting>
  <conditionalFormatting sqref="C974:C1012">
    <cfRule type="containsText" dxfId="5" priority="359" operator="containsText" text="Partially">
      <formula>NOT(ISERROR(SEARCH(("Partially"),(C974))))</formula>
    </cfRule>
  </conditionalFormatting>
  <conditionalFormatting sqref="C1014:C1036">
    <cfRule type="containsText" dxfId="5" priority="360" operator="containsText" text="Partially">
      <formula>NOT(ISERROR(SEARCH(("Partially"),(C1014))))</formula>
    </cfRule>
  </conditionalFormatting>
  <conditionalFormatting sqref="C1038:C1050">
    <cfRule type="containsText" dxfId="5" priority="361" operator="containsText" text="Partially">
      <formula>NOT(ISERROR(SEARCH(("Partially"),(C1038))))</formula>
    </cfRule>
  </conditionalFormatting>
  <conditionalFormatting sqref="C1053:C1068">
    <cfRule type="containsText" dxfId="5" priority="362" operator="containsText" text="Partially">
      <formula>NOT(ISERROR(SEARCH(("Partially"),(C1053))))</formula>
    </cfRule>
  </conditionalFormatting>
  <conditionalFormatting sqref="C1071:C1089">
    <cfRule type="containsText" dxfId="5" priority="363" operator="containsText" text="Partially">
      <formula>NOT(ISERROR(SEARCH(("Partially"),(C1071))))</formula>
    </cfRule>
  </conditionalFormatting>
  <conditionalFormatting sqref="C1091:C1131">
    <cfRule type="containsText" dxfId="5" priority="364" operator="containsText" text="Partially">
      <formula>NOT(ISERROR(SEARCH(("Partially"),(C1091))))</formula>
    </cfRule>
  </conditionalFormatting>
  <conditionalFormatting sqref="C1133:C1163">
    <cfRule type="containsText" dxfId="5" priority="365" operator="containsText" text="Partially">
      <formula>NOT(ISERROR(SEARCH(("Partially"),(C1133))))</formula>
    </cfRule>
  </conditionalFormatting>
  <conditionalFormatting sqref="C1165:C1191">
    <cfRule type="containsText" dxfId="5" priority="366" operator="containsText" text="Partially">
      <formula>NOT(ISERROR(SEARCH(("Partially"),(C1165))))</formula>
    </cfRule>
  </conditionalFormatting>
  <conditionalFormatting sqref="C1193:C1198">
    <cfRule type="containsText" dxfId="5" priority="367" operator="containsText" text="Partially">
      <formula>NOT(ISERROR(SEARCH(("Partially"),(C1193))))</formula>
    </cfRule>
  </conditionalFormatting>
  <conditionalFormatting sqref="C1200">
    <cfRule type="containsText" dxfId="5" priority="368" operator="containsText" text="Partially">
      <formula>NOT(ISERROR(SEARCH(("Partially"),(C1200))))</formula>
    </cfRule>
  </conditionalFormatting>
  <conditionalFormatting sqref="C1202:C1210">
    <cfRule type="containsText" dxfId="5" priority="369" operator="containsText" text="Partially">
      <formula>NOT(ISERROR(SEARCH(("Partially"),(C1202))))</formula>
    </cfRule>
  </conditionalFormatting>
  <conditionalFormatting sqref="C1212">
    <cfRule type="containsText" dxfId="5" priority="370" operator="containsText" text="Partially">
      <formula>NOT(ISERROR(SEARCH(("Partially"),(C1212))))</formula>
    </cfRule>
  </conditionalFormatting>
  <conditionalFormatting sqref="C1214:C1218">
    <cfRule type="containsText" dxfId="5" priority="371" operator="containsText" text="Partially">
      <formula>NOT(ISERROR(SEARCH(("Partially"),(C1214))))</formula>
    </cfRule>
  </conditionalFormatting>
  <conditionalFormatting sqref="C1220:C1227">
    <cfRule type="containsText" dxfId="5" priority="372" operator="containsText" text="Partially">
      <formula>NOT(ISERROR(SEARCH(("Partially"),(C1220))))</formula>
    </cfRule>
  </conditionalFormatting>
  <conditionalFormatting sqref="C1229:C1241">
    <cfRule type="containsText" dxfId="5" priority="373" operator="containsText" text="Partially">
      <formula>NOT(ISERROR(SEARCH(("Partially"),(C1229))))</formula>
    </cfRule>
  </conditionalFormatting>
  <conditionalFormatting sqref="C1243:C1246">
    <cfRule type="containsText" dxfId="5" priority="374" operator="containsText" text="Partially">
      <formula>NOT(ISERROR(SEARCH(("Partially"),(C1243))))</formula>
    </cfRule>
  </conditionalFormatting>
  <conditionalFormatting sqref="C1248:C1302">
    <cfRule type="containsText" dxfId="5" priority="375" operator="containsText" text="Partially">
      <formula>NOT(ISERROR(SEARCH(("Partially"),(C1248))))</formula>
    </cfRule>
  </conditionalFormatting>
  <conditionalFormatting sqref="C1304:C1308">
    <cfRule type="containsText" dxfId="5" priority="376" operator="containsText" text="Partially">
      <formula>NOT(ISERROR(SEARCH(("Partially"),(C1304))))</formula>
    </cfRule>
  </conditionalFormatting>
  <conditionalFormatting sqref="C1310:C1312">
    <cfRule type="containsText" dxfId="5" priority="377" operator="containsText" text="Partially">
      <formula>NOT(ISERROR(SEARCH(("Partially"),(C1310))))</formula>
    </cfRule>
  </conditionalFormatting>
  <conditionalFormatting sqref="C1314">
    <cfRule type="containsText" dxfId="5" priority="378" operator="containsText" text="Partially">
      <formula>NOT(ISERROR(SEARCH(("Partially"),(C1314))))</formula>
    </cfRule>
  </conditionalFormatting>
  <conditionalFormatting sqref="C1316:C1341">
    <cfRule type="containsText" dxfId="5" priority="379" operator="containsText" text="Partially">
      <formula>NOT(ISERROR(SEARCH(("Partially"),(C1316))))</formula>
    </cfRule>
  </conditionalFormatting>
  <conditionalFormatting sqref="C1344:C1357">
    <cfRule type="containsText" dxfId="5" priority="380" operator="containsText" text="Partially">
      <formula>NOT(ISERROR(SEARCH(("Partially"),(C1344))))</formula>
    </cfRule>
  </conditionalFormatting>
  <conditionalFormatting sqref="C1359">
    <cfRule type="containsText" dxfId="5" priority="381" operator="containsText" text="Partially">
      <formula>NOT(ISERROR(SEARCH(("Partially"),(C1359))))</formula>
    </cfRule>
  </conditionalFormatting>
  <conditionalFormatting sqref="C1361:C1375">
    <cfRule type="containsText" dxfId="5" priority="382" operator="containsText" text="Partially">
      <formula>NOT(ISERROR(SEARCH(("Partially"),(C1361))))</formula>
    </cfRule>
  </conditionalFormatting>
  <conditionalFormatting sqref="C1377:C1379">
    <cfRule type="containsText" dxfId="5" priority="383" operator="containsText" text="Partially">
      <formula>NOT(ISERROR(SEARCH(("Partially"),(C1377))))</formula>
    </cfRule>
  </conditionalFormatting>
  <conditionalFormatting sqref="C1381:C1390">
    <cfRule type="containsText" dxfId="5" priority="384" operator="containsText" text="Partially">
      <formula>NOT(ISERROR(SEARCH(("Partially"),(C1381))))</formula>
    </cfRule>
  </conditionalFormatting>
  <conditionalFormatting sqref="C1392:C1400">
    <cfRule type="containsText" dxfId="5" priority="385" operator="containsText" text="Partially">
      <formula>NOT(ISERROR(SEARCH(("Partially"),(C1392))))</formula>
    </cfRule>
  </conditionalFormatting>
  <conditionalFormatting sqref="C1403:C1413">
    <cfRule type="containsText" dxfId="5" priority="386" operator="containsText" text="Partially">
      <formula>NOT(ISERROR(SEARCH(("Partially"),(C1403))))</formula>
    </cfRule>
  </conditionalFormatting>
  <conditionalFormatting sqref="C1415:C1444">
    <cfRule type="containsText" dxfId="5" priority="387" operator="containsText" text="Partially">
      <formula>NOT(ISERROR(SEARCH(("Partially"),(C1415))))</formula>
    </cfRule>
  </conditionalFormatting>
  <conditionalFormatting sqref="C1446:C1448">
    <cfRule type="containsText" dxfId="5" priority="388" operator="containsText" text="Partially">
      <formula>NOT(ISERROR(SEARCH(("Partially"),(C1446))))</formula>
    </cfRule>
  </conditionalFormatting>
  <conditionalFormatting sqref="C1450:C1464">
    <cfRule type="containsText" dxfId="5" priority="389" operator="containsText" text="Partially">
      <formula>NOT(ISERROR(SEARCH(("Partially"),(C1450))))</formula>
    </cfRule>
  </conditionalFormatting>
  <conditionalFormatting sqref="C1466:C1475">
    <cfRule type="containsText" dxfId="5" priority="390" operator="containsText" text="Partially">
      <formula>NOT(ISERROR(SEARCH(("Partially"),(C1466))))</formula>
    </cfRule>
  </conditionalFormatting>
  <conditionalFormatting sqref="C1477:C1490">
    <cfRule type="containsText" dxfId="5" priority="391" operator="containsText" text="Partially">
      <formula>NOT(ISERROR(SEARCH(("Partially"),(C1477))))</formula>
    </cfRule>
  </conditionalFormatting>
  <conditionalFormatting sqref="C1492">
    <cfRule type="containsText" dxfId="5" priority="392" operator="containsText" text="Partially">
      <formula>NOT(ISERROR(SEARCH(("Partially"),(C1492))))</formula>
    </cfRule>
  </conditionalFormatting>
  <conditionalFormatting sqref="C1494:C1516">
    <cfRule type="containsText" dxfId="5" priority="393" operator="containsText" text="Partially">
      <formula>NOT(ISERROR(SEARCH(("Partially"),(C1494))))</formula>
    </cfRule>
  </conditionalFormatting>
  <conditionalFormatting sqref="C1518:C1538">
    <cfRule type="containsText" dxfId="5" priority="394" operator="containsText" text="Partially">
      <formula>NOT(ISERROR(SEARCH(("Partially"),(C1518))))</formula>
    </cfRule>
  </conditionalFormatting>
  <conditionalFormatting sqref="C1540:C1549">
    <cfRule type="containsText" dxfId="5" priority="395" operator="containsText" text="Partially">
      <formula>NOT(ISERROR(SEARCH(("Partially"),(C1540))))</formula>
    </cfRule>
  </conditionalFormatting>
  <conditionalFormatting sqref="C1551:C1562">
    <cfRule type="containsText" dxfId="5" priority="396" operator="containsText" text="Partially">
      <formula>NOT(ISERROR(SEARCH(("Partially"),(C1551))))</formula>
    </cfRule>
  </conditionalFormatting>
  <hyperlinks>
    <hyperlink r:id="rId2" ref="A782"/>
    <hyperlink r:id="rId3" ref="A922"/>
    <hyperlink r:id="rId4" ref="A1361"/>
    <hyperlink r:id="rId5" ref="A1433"/>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35.86"/>
    <col customWidth="1" min="2" max="2" width="13.71"/>
    <col customWidth="1" min="3" max="3" width="17.29"/>
    <col customWidth="1" min="4" max="4" width="57.29"/>
    <col customWidth="1" min="5" max="5" width="21.57"/>
    <col customWidth="1" min="6" max="6" width="27.29"/>
  </cols>
  <sheetData>
    <row r="1" ht="15.0" customHeight="1">
      <c r="A1" s="1" t="s">
        <v>3082</v>
      </c>
    </row>
    <row r="2">
      <c r="A2" s="2" t="str">
        <f>HYPERLINK("http://bit.ly/iapfreesheet","Please keep ALL iAPFree apps in the iAPFree Compatibility list, which can be found by clicking here.")</f>
        <v>Please keep ALL iAPFree apps in the iAPFree Compatibility list, which can be found by clicking here.</v>
      </c>
    </row>
    <row r="3">
      <c r="A3" s="3" t="s">
        <v>1</v>
      </c>
      <c r="B3" s="3" t="s">
        <v>2</v>
      </c>
      <c r="C3" s="3" t="s">
        <v>3</v>
      </c>
      <c r="D3" s="3" t="s">
        <v>4</v>
      </c>
      <c r="E3" s="3" t="s">
        <v>5</v>
      </c>
      <c r="F3" s="4" t="s">
        <v>6</v>
      </c>
    </row>
    <row r="4">
      <c r="A4" s="59" t="str">
        <f>IFERROR(__xludf.DUMMYFUNCTION("FILTER('iAPCracker Compatibility List'!A:F, 'iAPCracker Compatibility List'!C:C=""Yes"")"),"#WayCooler")</f>
        <v>#WayCooler</v>
      </c>
      <c r="B4" s="60" t="str">
        <f>IFERROR(__xludf.DUMMYFUNCTION("""COMPUTED_VALUE"""),"1.0.0")</f>
        <v>1.0.0</v>
      </c>
      <c r="C4" s="61" t="str">
        <f>IFERROR(__xludf.DUMMYFUNCTION("""COMPUTED_VALUE"""),"Yes")</f>
        <v>Yes</v>
      </c>
      <c r="D4" s="62" t="str">
        <f>IFERROR(__xludf.DUMMYFUNCTION("""COMPUTED_VALUE"""),"You can purchase all premium packs")</f>
        <v>You can purchase all premium packs</v>
      </c>
      <c r="E4" s="61" t="str">
        <f>IFERROR(__xludf.DUMMYFUNCTION("""COMPUTED_VALUE"""),"Jtlogiks")</f>
        <v>Jtlogiks</v>
      </c>
      <c r="F4" s="63">
        <f>IFERROR(__xludf.DUMMYFUNCTION("""COMPUTED_VALUE"""),41106.0)</f>
        <v>41106</v>
      </c>
    </row>
    <row r="5">
      <c r="A5" s="59" t="str">
        <f>IFERROR(__xludf.DUMMYFUNCTION("""COMPUTED_VALUE"""),"101-in-1 Games !")</f>
        <v>101-in-1 Games !</v>
      </c>
      <c r="B5" s="60"/>
      <c r="C5" s="61" t="str">
        <f>IFERROR(__xludf.DUMMYFUNCTION("""COMPUTED_VALUE"""),"Yes")</f>
        <v>Yes</v>
      </c>
      <c r="D5" s="62"/>
      <c r="E5" s="61" t="str">
        <f>IFERROR(__xludf.DUMMYFUNCTION("""COMPUTED_VALUE"""),"Kev63")</f>
        <v>Kev63</v>
      </c>
      <c r="F5" s="63">
        <f>IFERROR(__xludf.DUMMYFUNCTION("""COMPUTED_VALUE"""),40928.0)</f>
        <v>40928</v>
      </c>
    </row>
    <row r="6">
      <c r="A6" s="59" t="str">
        <f>IFERROR(__xludf.DUMMYFUNCTION("""COMPUTED_VALUE"""),"123D Sculpt")</f>
        <v>123D Sculpt</v>
      </c>
      <c r="B6" s="60"/>
      <c r="C6" s="61" t="str">
        <f>IFERROR(__xludf.DUMMYFUNCTION("""COMPUTED_VALUE"""),"Yes")</f>
        <v>Yes</v>
      </c>
      <c r="D6" s="62"/>
      <c r="E6" s="61" t="str">
        <f>IFERROR(__xludf.DUMMYFUNCTION("""COMPUTED_VALUE"""),"ThePreserver")</f>
        <v>ThePreserver</v>
      </c>
      <c r="F6" s="63">
        <f>IFERROR(__xludf.DUMMYFUNCTION("""COMPUTED_VALUE"""),40890.0)</f>
        <v>40890</v>
      </c>
    </row>
    <row r="7">
      <c r="A7" s="59" t="str">
        <f>IFERROR(__xludf.DUMMYFUNCTION("""COMPUTED_VALUE"""),"360Live")</f>
        <v>360Live</v>
      </c>
      <c r="B7" s="60"/>
      <c r="C7" s="61" t="str">
        <f>IFERROR(__xludf.DUMMYFUNCTION("""COMPUTED_VALUE"""),"Yes")</f>
        <v>Yes</v>
      </c>
      <c r="D7" s="62"/>
      <c r="E7" s="61" t="str">
        <f>IFERROR(__xludf.DUMMYFUNCTION("""COMPUTED_VALUE"""),"LtNachos")</f>
        <v>LtNachos</v>
      </c>
      <c r="F7" s="63">
        <f>IFERROR(__xludf.DUMMYFUNCTION("""COMPUTED_VALUE"""),40828.0)</f>
        <v>40828</v>
      </c>
    </row>
    <row r="8">
      <c r="A8" s="59" t="str">
        <f>IFERROR(__xludf.DUMMYFUNCTION("""COMPUTED_VALUE"""),"3D Fish Puzzle 2 HD")</f>
        <v>3D Fish Puzzle 2 HD</v>
      </c>
      <c r="B8" s="60"/>
      <c r="C8" s="61" t="str">
        <f>IFERROR(__xludf.DUMMYFUNCTION("""COMPUTED_VALUE"""),"Yes")</f>
        <v>Yes</v>
      </c>
      <c r="D8" s="62" t="str">
        <f>IFERROR(__xludf.DUMMYFUNCTION("""COMPUTED_VALUE"""),"Unlock all the rest of the Fish Pack")</f>
        <v>Unlock all the rest of the Fish Pack</v>
      </c>
      <c r="E8" s="61" t="str">
        <f>IFERROR(__xludf.DUMMYFUNCTION("""COMPUTED_VALUE"""),"Vista2k7")</f>
        <v>Vista2k7</v>
      </c>
      <c r="F8" s="63">
        <f>IFERROR(__xludf.DUMMYFUNCTION("""COMPUTED_VALUE"""),40926.0)</f>
        <v>40926</v>
      </c>
    </row>
    <row r="9">
      <c r="A9" s="59" t="str">
        <f>IFERROR(__xludf.DUMMYFUNCTION("""COMPUTED_VALUE"""),"4 Elements")</f>
        <v>4 Elements</v>
      </c>
      <c r="B9" s="60"/>
      <c r="C9" s="61" t="str">
        <f>IFERROR(__xludf.DUMMYFUNCTION("""COMPUTED_VALUE"""),"Yes")</f>
        <v>Yes</v>
      </c>
      <c r="D9" s="62" t="str">
        <f>IFERROR(__xludf.DUMMYFUNCTION("""COMPUTED_VALUE"""),"Free → Full")</f>
        <v>Free → Full</v>
      </c>
      <c r="E9" s="61" t="str">
        <f>IFERROR(__xludf.DUMMYFUNCTION("""COMPUTED_VALUE"""),"Glisern")</f>
        <v>Glisern</v>
      </c>
      <c r="F9" s="63">
        <f>IFERROR(__xludf.DUMMYFUNCTION("""COMPUTED_VALUE"""),40916.0)</f>
        <v>40916</v>
      </c>
    </row>
    <row r="10">
      <c r="A10" s="59" t="str">
        <f>IFERROR(__xludf.DUMMYFUNCTION("""COMPUTED_VALUE"""),"4Towers Onslaught: Combo TD")</f>
        <v>4Towers Onslaught: Combo TD</v>
      </c>
      <c r="B10" s="60"/>
      <c r="C10" s="61" t="str">
        <f>IFERROR(__xludf.DUMMYFUNCTION("""COMPUTED_VALUE"""),"Yes")</f>
        <v>Yes</v>
      </c>
      <c r="D10" s="62"/>
      <c r="E10" s="61" t="str">
        <f>IFERROR(__xludf.DUMMYFUNCTION("""COMPUTED_VALUE"""),"zema1989")</f>
        <v>zema1989</v>
      </c>
      <c r="F10" s="63">
        <f>IFERROR(__xludf.DUMMYFUNCTION("""COMPUTED_VALUE"""),40891.0)</f>
        <v>40891</v>
      </c>
    </row>
    <row r="11">
      <c r="A11" s="59" t="str">
        <f>IFERROR(__xludf.DUMMYFUNCTION("""COMPUTED_VALUE"""),"7 Little Words")</f>
        <v>7 Little Words</v>
      </c>
      <c r="B11" s="60"/>
      <c r="C11" s="61" t="str">
        <f>IFERROR(__xludf.DUMMYFUNCTION("""COMPUTED_VALUE"""),"Yes")</f>
        <v>Yes</v>
      </c>
      <c r="D11" s="62" t="str">
        <f>IFERROR(__xludf.DUMMYFUNCTION("""COMPUTED_VALUE"""),"Buy all the puzzles")</f>
        <v>Buy all the puzzles</v>
      </c>
      <c r="E11" s="61" t="str">
        <f>IFERROR(__xludf.DUMMYFUNCTION("""COMPUTED_VALUE"""),"Neerolyte")</f>
        <v>Neerolyte</v>
      </c>
      <c r="F11" s="63">
        <f>IFERROR(__xludf.DUMMYFUNCTION("""COMPUTED_VALUE"""),40950.0)</f>
        <v>40950</v>
      </c>
    </row>
    <row r="12">
      <c r="A12" s="59" t="str">
        <f>IFERROR(__xludf.DUMMYFUNCTION("""COMPUTED_VALUE"""),"9 Digits")</f>
        <v>9 Digits</v>
      </c>
      <c r="B12" s="60"/>
      <c r="C12" s="61" t="str">
        <f>IFERROR(__xludf.DUMMYFUNCTION("""COMPUTED_VALUE"""),"Yes")</f>
        <v>Yes</v>
      </c>
      <c r="D12" s="62" t="str">
        <f>IFERROR(__xludf.DUMMYFUNCTION("""COMPUTED_VALUE"""),"All Packs")</f>
        <v>All Packs</v>
      </c>
      <c r="E12" s="61"/>
      <c r="F12" s="63">
        <f>IFERROR(__xludf.DUMMYFUNCTION("""COMPUTED_VALUE"""),40955.0)</f>
        <v>40955</v>
      </c>
    </row>
    <row r="13">
      <c r="A13" s="59" t="str">
        <f>IFERROR(__xludf.DUMMYFUNCTION("""COMPUTED_VALUE"""),"90°")</f>
        <v>90°</v>
      </c>
      <c r="B13" s="60"/>
      <c r="C13" s="61" t="str">
        <f>IFERROR(__xludf.DUMMYFUNCTION("""COMPUTED_VALUE"""),"Yes")</f>
        <v>Yes</v>
      </c>
      <c r="D13" s="62" t="str">
        <f>IFERROR(__xludf.DUMMYFUNCTION("""COMPUTED_VALUE"""),"Store purchases work")</f>
        <v>Store purchases work</v>
      </c>
      <c r="E13" s="61" t="str">
        <f>IFERROR(__xludf.DUMMYFUNCTION("""COMPUTED_VALUE"""),"Persephone")</f>
        <v>Persephone</v>
      </c>
      <c r="F13" s="41"/>
    </row>
    <row r="14">
      <c r="A14" s="59" t="str">
        <f>IFERROR(__xludf.DUMMYFUNCTION("""COMPUTED_VALUE"""),"9GAG Mobile")</f>
        <v>9GAG Mobile</v>
      </c>
      <c r="B14" s="60">
        <f>IFERROR(__xludf.DUMMYFUNCTION("""COMPUTED_VALUE"""),3.1)</f>
        <v>3.1</v>
      </c>
      <c r="C14" s="61" t="str">
        <f>IFERROR(__xludf.DUMMYFUNCTION("""COMPUTED_VALUE"""),"Yes")</f>
        <v>Yes</v>
      </c>
      <c r="D14" s="62" t="str">
        <f>IFERROR(__xludf.DUMMYFUNCTION("""COMPUTED_VALUE"""),"First crashes, but purchase is succesful")</f>
        <v>First crashes, but purchase is succesful</v>
      </c>
      <c r="E14" s="61" t="str">
        <f>IFERROR(__xludf.DUMMYFUNCTION("""COMPUTED_VALUE"""),"Adriaanzonn")</f>
        <v>Adriaanzonn</v>
      </c>
      <c r="F14" s="63">
        <f>IFERROR(__xludf.DUMMYFUNCTION("""COMPUTED_VALUE"""),40964.0)</f>
        <v>40964</v>
      </c>
    </row>
    <row r="15">
      <c r="A15" s="59" t="str">
        <f>IFERROR(__xludf.DUMMYFUNCTION("""COMPUTED_VALUE"""),"9GAG Reader")</f>
        <v>9GAG Reader</v>
      </c>
      <c r="B15" s="60"/>
      <c r="C15" s="61" t="str">
        <f>IFERROR(__xludf.DUMMYFUNCTION("""COMPUTED_VALUE"""),"Yes")</f>
        <v>Yes</v>
      </c>
      <c r="D15" s="62" t="str">
        <f>IFERROR(__xludf.DUMMYFUNCTION("""COMPUTED_VALUE"""),"Ad removal. Just Click 'buy now'. You'll get a 'thank you Greg' message. Now completely kill the app and reload and it'll be ad free :)")</f>
        <v>Ad removal. Just Click 'buy now'. You'll get a 'thank you Greg' message. Now completely kill the app and reload and it'll be ad free :)</v>
      </c>
      <c r="E15" s="61" t="str">
        <f>IFERROR(__xludf.DUMMYFUNCTION("""COMPUTED_VALUE"""),"blackthund3r")</f>
        <v>blackthund3r</v>
      </c>
      <c r="F15" s="63">
        <f>IFERROR(__xludf.DUMMYFUNCTION("""COMPUTED_VALUE"""),40915.0)</f>
        <v>40915</v>
      </c>
    </row>
    <row r="16">
      <c r="A16" s="59" t="str">
        <f>IFERROR(__xludf.DUMMYFUNCTION("""COMPUTED_VALUE"""),"9MM")</f>
        <v>9MM</v>
      </c>
      <c r="B16" s="60"/>
      <c r="C16" s="61" t="str">
        <f>IFERROR(__xludf.DUMMYFUNCTION("""COMPUTED_VALUE"""),"Yes")</f>
        <v>Yes</v>
      </c>
      <c r="D16" s="62"/>
      <c r="E16" s="61" t="str">
        <f>IFERROR(__xludf.DUMMYFUNCTION("""COMPUTED_VALUE"""),"phatpham")</f>
        <v>phatpham</v>
      </c>
      <c r="F16" s="63">
        <f>IFERROR(__xludf.DUMMYFUNCTION("""COMPUTED_VALUE"""),40899.0)</f>
        <v>40899</v>
      </c>
    </row>
    <row r="17">
      <c r="A17" s="59" t="str">
        <f>IFERROR(__xludf.DUMMYFUNCTION("""COMPUTED_VALUE"""),"A Knights Dawn")</f>
        <v>A Knights Dawn</v>
      </c>
      <c r="B17" s="60"/>
      <c r="C17" s="61" t="str">
        <f>IFERROR(__xludf.DUMMYFUNCTION("""COMPUTED_VALUE"""),"Yes")</f>
        <v>Yes</v>
      </c>
      <c r="D17" s="62"/>
      <c r="E17" s="61" t="str">
        <f>IFERROR(__xludf.DUMMYFUNCTION("""COMPUTED_VALUE"""),"phatpham")</f>
        <v>phatpham</v>
      </c>
      <c r="F17" s="63">
        <f>IFERROR(__xludf.DUMMYFUNCTION("""COMPUTED_VALUE"""),40900.0)</f>
        <v>40900</v>
      </c>
    </row>
    <row r="18">
      <c r="A18" s="59" t="str">
        <f>IFERROR(__xludf.DUMMYFUNCTION("""COMPUTED_VALUE"""),"A Monster Ate My Homework")</f>
        <v>A Monster Ate My Homework</v>
      </c>
      <c r="B18" s="60"/>
      <c r="C18" s="61" t="str">
        <f>IFERROR(__xludf.DUMMYFUNCTION("""COMPUTED_VALUE"""),"Yes")</f>
        <v>Yes</v>
      </c>
      <c r="D18" s="62" t="str">
        <f>IFERROR(__xludf.DUMMYFUNCTION("""COMPUTED_VALUE"""),"Able to purchase and unlock all levels")</f>
        <v>Able to purchase and unlock all levels</v>
      </c>
      <c r="E18" s="61" t="str">
        <f>IFERROR(__xludf.DUMMYFUNCTION("""COMPUTED_VALUE"""),"chowlala")</f>
        <v>chowlala</v>
      </c>
      <c r="F18" s="63">
        <f>IFERROR(__xludf.DUMMYFUNCTION("""COMPUTED_VALUE"""),40932.0)</f>
        <v>40932</v>
      </c>
    </row>
    <row r="19">
      <c r="A19" s="59" t="str">
        <f>IFERROR(__xludf.DUMMYFUNCTION("""COMPUTED_VALUE"""),"Abdominaux en 8 minutes")</f>
        <v>Abdominaux en 8 minutes</v>
      </c>
      <c r="B19" s="60"/>
      <c r="C19" s="61" t="str">
        <f>IFERROR(__xludf.DUMMYFUNCTION("""COMPUTED_VALUE"""),"Yes")</f>
        <v>Yes</v>
      </c>
      <c r="D19" s="62"/>
      <c r="E19" s="61" t="str">
        <f>IFERROR(__xludf.DUMMYFUNCTION("""COMPUTED_VALUE"""),"Dav ")</f>
        <v>Dav </v>
      </c>
      <c r="F19" s="63">
        <f>IFERROR(__xludf.DUMMYFUNCTION("""COMPUTED_VALUE"""),40908.0)</f>
        <v>40908</v>
      </c>
    </row>
    <row r="20">
      <c r="A20" s="59" t="str">
        <f>IFERROR(__xludf.DUMMYFUNCTION("""COMPUTED_VALUE"""),"Accura Premium")</f>
        <v>Accura Premium</v>
      </c>
      <c r="B20" s="60">
        <f>IFERROR(__xludf.DUMMYFUNCTION("""COMPUTED_VALUE"""),4.0)</f>
        <v>4</v>
      </c>
      <c r="C20" s="61" t="str">
        <f>IFERROR(__xludf.DUMMYFUNCTION("""COMPUTED_VALUE"""),"Yes")</f>
        <v>Yes</v>
      </c>
      <c r="D20" s="62" t="str">
        <f>IFERROR(__xludf.DUMMYFUNCTION("""COMPUTED_VALUE"""),"Purchase succesful")</f>
        <v>Purchase succesful</v>
      </c>
      <c r="E20" s="61" t="str">
        <f>IFERROR(__xludf.DUMMYFUNCTION("""COMPUTED_VALUE"""),"Adriaanzonn")</f>
        <v>Adriaanzonn</v>
      </c>
      <c r="F20" s="63">
        <f>IFERROR(__xludf.DUMMYFUNCTION("""COMPUTED_VALUE"""),40964.0)</f>
        <v>40964</v>
      </c>
    </row>
    <row r="21">
      <c r="A21" s="59" t="str">
        <f>IFERROR(__xludf.DUMMYFUNCTION("""COMPUTED_VALUE"""),"Action Bowling Free")</f>
        <v>Action Bowling Free</v>
      </c>
      <c r="B21" s="60"/>
      <c r="C21" s="61" t="str">
        <f>IFERROR(__xludf.DUMMYFUNCTION("""COMPUTED_VALUE"""),"Yes")</f>
        <v>Yes</v>
      </c>
      <c r="D21" s="62" t="str">
        <f>IFERROR(__xludf.DUMMYFUNCTION("""COMPUTED_VALUE"""),"Can buy everything from the Pro Shop")</f>
        <v>Can buy everything from the Pro Shop</v>
      </c>
      <c r="E21" s="61" t="str">
        <f>IFERROR(__xludf.DUMMYFUNCTION("""COMPUTED_VALUE"""),"Me@HotMaiL")</f>
        <v>Me@HotMaiL</v>
      </c>
      <c r="F21" s="41"/>
    </row>
    <row r="22">
      <c r="A22" s="59" t="str">
        <f>IFERROR(__xludf.DUMMYFUNCTION("""COMPUTED_VALUE"""),"Action Movie FX")</f>
        <v>Action Movie FX</v>
      </c>
      <c r="B22" s="60"/>
      <c r="C22" s="61" t="str">
        <f>IFERROR(__xludf.DUMMYFUNCTION("""COMPUTED_VALUE"""),"Yes")</f>
        <v>Yes</v>
      </c>
      <c r="D22" s="62" t="str">
        <f>IFERROR(__xludf.DUMMYFUNCTION("""COMPUTED_VALUE"""),"Can buy the additional 4 packs")</f>
        <v>Can buy the additional 4 packs</v>
      </c>
      <c r="E22" s="61" t="str">
        <f>IFERROR(__xludf.DUMMYFUNCTION("""COMPUTED_VALUE"""),"Guk")</f>
        <v>Guk</v>
      </c>
      <c r="F22" s="63">
        <f>IFERROR(__xludf.DUMMYFUNCTION("""COMPUTED_VALUE"""),40914.0)</f>
        <v>40914</v>
      </c>
    </row>
    <row r="23">
      <c r="A23" s="59" t="str">
        <f>IFERROR(__xludf.DUMMYFUNCTION("""COMPUTED_VALUE"""),"Action Truck")</f>
        <v>Action Truck</v>
      </c>
      <c r="B23" s="60"/>
      <c r="C23" s="61" t="str">
        <f>IFERROR(__xludf.DUMMYFUNCTION("""COMPUTED_VALUE"""),"Yes")</f>
        <v>Yes</v>
      </c>
      <c r="D23" s="62"/>
      <c r="E23" s="61"/>
      <c r="F23" s="63">
        <f>IFERROR(__xludf.DUMMYFUNCTION("""COMPUTED_VALUE"""),40922.0)</f>
        <v>40922</v>
      </c>
    </row>
    <row r="24">
      <c r="A24" s="59" t="str">
        <f>IFERROR(__xludf.DUMMYFUNCTION("""COMPUTED_VALUE"""),"Adobe Ideas")</f>
        <v>Adobe Ideas</v>
      </c>
      <c r="B24" s="60"/>
      <c r="C24" s="61" t="str">
        <f>IFERROR(__xludf.DUMMYFUNCTION("""COMPUTED_VALUE"""),"Yes")</f>
        <v>Yes</v>
      </c>
      <c r="D24" s="62" t="str">
        <f>IFERROR(__xludf.DUMMYFUNCTION("""COMPUTED_VALUE"""),"Can buy Layer with iAP Cracker 0.6-1")</f>
        <v>Can buy Layer with iAP Cracker 0.6-1</v>
      </c>
      <c r="E24" s="61" t="str">
        <f>IFERROR(__xludf.DUMMYFUNCTION("""COMPUTED_VALUE"""),"luudaigiang")</f>
        <v>luudaigiang</v>
      </c>
      <c r="F24" s="63">
        <f>IFERROR(__xludf.DUMMYFUNCTION("""COMPUTED_VALUE"""),40922.0)</f>
        <v>40922</v>
      </c>
    </row>
    <row r="25">
      <c r="A25" s="59" t="str">
        <f>IFERROR(__xludf.DUMMYFUNCTION("""COMPUTED_VALUE"""),"Adobe Photoshop Express")</f>
        <v>Adobe Photoshop Express</v>
      </c>
      <c r="B25" s="60"/>
      <c r="C25" s="61" t="str">
        <f>IFERROR(__xludf.DUMMYFUNCTION("""COMPUTED_VALUE"""),"Yes")</f>
        <v>Yes</v>
      </c>
      <c r="D25" s="62"/>
      <c r="E25" s="61" t="str">
        <f>IFERROR(__xludf.DUMMYFUNCTION("""COMPUTED_VALUE"""),"Guk")</f>
        <v>Guk</v>
      </c>
      <c r="F25" s="63">
        <f>IFERROR(__xludf.DUMMYFUNCTION("""COMPUTED_VALUE"""),40881.0)</f>
        <v>40881</v>
      </c>
    </row>
    <row r="26">
      <c r="A26" s="59" t="str">
        <f>IFERROR(__xludf.DUMMYFUNCTION("""COMPUTED_VALUE"""),"Advena")</f>
        <v>Advena</v>
      </c>
      <c r="B26" s="60"/>
      <c r="C26" s="61" t="str">
        <f>IFERROR(__xludf.DUMMYFUNCTION("""COMPUTED_VALUE"""),"Yes")</f>
        <v>Yes</v>
      </c>
      <c r="D26" s="62" t="str">
        <f>IFERROR(__xludf.DUMMYFUNCTION("""COMPUTED_VALUE"""),"Must buy game currency while connected to net. Will take a while, After a while of loading close cash shop and reopen and you will have the points.")</f>
        <v>Must buy game currency while connected to net. Will take a while, After a while of loading close cash shop and reopen and you will have the points.</v>
      </c>
      <c r="E26" s="61" t="str">
        <f>IFERROR(__xludf.DUMMYFUNCTION("""COMPUTED_VALUE"""),"NelsonS")</f>
        <v>NelsonS</v>
      </c>
      <c r="F26" s="63">
        <f>IFERROR(__xludf.DUMMYFUNCTION("""COMPUTED_VALUE"""),40891.0)</f>
        <v>40891</v>
      </c>
    </row>
    <row r="27">
      <c r="A27" s="59" t="str">
        <f>IFERROR(__xludf.DUMMYFUNCTION("""COMPUTED_VALUE"""),"Adventure Bar Story")</f>
        <v>Adventure Bar Story</v>
      </c>
      <c r="B27" s="60">
        <f>IFERROR(__xludf.DUMMYFUNCTION("""COMPUTED_VALUE"""),1.1)</f>
        <v>1.1</v>
      </c>
      <c r="C27" s="61" t="str">
        <f>IFERROR(__xludf.DUMMYFUNCTION("""COMPUTED_VALUE"""),"Yes")</f>
        <v>Yes</v>
      </c>
      <c r="D27" s="62" t="str">
        <f>IFERROR(__xludf.DUMMYFUNCTION("""COMPUTED_VALUE"""),"Can purchase Jewels")</f>
        <v>Can purchase Jewels</v>
      </c>
      <c r="E27" s="61" t="str">
        <f>IFERROR(__xludf.DUMMYFUNCTION("""COMPUTED_VALUE"""),"Natsuu")</f>
        <v>Natsuu</v>
      </c>
      <c r="F27" s="63">
        <f>IFERROR(__xludf.DUMMYFUNCTION("""COMPUTED_VALUE"""),41041.0)</f>
        <v>41041</v>
      </c>
    </row>
    <row r="28">
      <c r="A28" s="59" t="str">
        <f>IFERROR(__xludf.DUMMYFUNCTION("""COMPUTED_VALUE"""),"Age of Pinballs")</f>
        <v>Age of Pinballs</v>
      </c>
      <c r="B28" s="60">
        <f>IFERROR(__xludf.DUMMYFUNCTION("""COMPUTED_VALUE"""),2.1)</f>
        <v>2.1</v>
      </c>
      <c r="C28" s="61" t="str">
        <f>IFERROR(__xludf.DUMMYFUNCTION("""COMPUTED_VALUE"""),"Yes")</f>
        <v>Yes</v>
      </c>
      <c r="D28" s="62" t="str">
        <f>IFERROR(__xludf.DUMMYFUNCTION("""COMPUTED_VALUE"""),"I've unlocked everything in the newest version. (2.1, I believe)")</f>
        <v>I've unlocked everything in the newest version. (2.1, I believe)</v>
      </c>
      <c r="E28" s="61" t="str">
        <f>IFERROR(__xludf.DUMMYFUNCTION("""COMPUTED_VALUE"""),"Guk, ^eNeRGy^, Txnic")</f>
        <v>Guk, ^eNeRGy^, Txnic</v>
      </c>
      <c r="F28" s="63">
        <f>IFERROR(__xludf.DUMMYFUNCTION("""COMPUTED_VALUE"""),40939.0)</f>
        <v>40939</v>
      </c>
    </row>
    <row r="29">
      <c r="A29" s="59" t="str">
        <f>IFERROR(__xludf.DUMMYFUNCTION("""COMPUTED_VALUE"""),"Age of Shit")</f>
        <v>Age of Shit</v>
      </c>
      <c r="B29" s="60"/>
      <c r="C29" s="61" t="str">
        <f>IFERROR(__xludf.DUMMYFUNCTION("""COMPUTED_VALUE"""),"Yes")</f>
        <v>Yes</v>
      </c>
      <c r="D29" s="62"/>
      <c r="E29" s="61" t="str">
        <f>IFERROR(__xludf.DUMMYFUNCTION("""COMPUTED_VALUE"""),"phatpham")</f>
        <v>phatpham</v>
      </c>
      <c r="F29" s="63">
        <f>IFERROR(__xludf.DUMMYFUNCTION("""COMPUTED_VALUE"""),40900.0)</f>
        <v>40900</v>
      </c>
    </row>
    <row r="30">
      <c r="A30" s="59" t="str">
        <f>IFERROR(__xludf.DUMMYFUNCTION("""COMPUTED_VALUE"""),"Air Harp")</f>
        <v>Air Harp</v>
      </c>
      <c r="B30" s="60"/>
      <c r="C30" s="61" t="str">
        <f>IFERROR(__xludf.DUMMYFUNCTION("""COMPUTED_VALUE"""),"Yes")</f>
        <v>Yes</v>
      </c>
      <c r="D30" s="62"/>
      <c r="E30" s="61" t="str">
        <f>IFERROR(__xludf.DUMMYFUNCTION("""COMPUTED_VALUE"""),"Bull Moose")</f>
        <v>Bull Moose</v>
      </c>
      <c r="F30" s="63">
        <f>IFERROR(__xludf.DUMMYFUNCTION("""COMPUTED_VALUE"""),40895.0)</f>
        <v>40895</v>
      </c>
    </row>
    <row r="31">
      <c r="A31" s="59" t="str">
        <f>IFERROR(__xludf.DUMMYFUNCTION("""COMPUTED_VALUE"""),"Air Penguin")</f>
        <v>Air Penguin</v>
      </c>
      <c r="B31" s="60"/>
      <c r="C31" s="61" t="str">
        <f>IFERROR(__xludf.DUMMYFUNCTION("""COMPUTED_VALUE"""),"Yes")</f>
        <v>Yes</v>
      </c>
      <c r="D31" s="62" t="str">
        <f>IFERROR(__xludf.DUMMYFUNCTION("""COMPUTED_VALUE"""),"You can unlock gold coins")</f>
        <v>You can unlock gold coins</v>
      </c>
      <c r="E31" s="61" t="str">
        <f>IFERROR(__xludf.DUMMYFUNCTION("""COMPUTED_VALUE"""),"Gkhan")</f>
        <v>Gkhan</v>
      </c>
      <c r="F31" s="63">
        <f>IFERROR(__xludf.DUMMYFUNCTION("""COMPUTED_VALUE"""),40882.0)</f>
        <v>40882</v>
      </c>
    </row>
    <row r="32">
      <c r="A32" s="59" t="str">
        <f>IFERROR(__xludf.DUMMYFUNCTION("""COMPUTED_VALUE"""),"Airport Scanner")</f>
        <v>Airport Scanner</v>
      </c>
      <c r="B32" s="60"/>
      <c r="C32" s="61" t="str">
        <f>IFERROR(__xludf.DUMMYFUNCTION("""COMPUTED_VALUE"""),"Yes")</f>
        <v>Yes</v>
      </c>
      <c r="D32" s="62" t="str">
        <f>IFERROR(__xludf.DUMMYFUNCTION("""COMPUTED_VALUE"""),"Buy all shop items. ")</f>
        <v>Buy all shop items. </v>
      </c>
      <c r="E32" s="61" t="str">
        <f>IFERROR(__xludf.DUMMYFUNCTION("""COMPUTED_VALUE"""),"Zukagraf")</f>
        <v>Zukagraf</v>
      </c>
      <c r="F32" s="63">
        <f>IFERROR(__xludf.DUMMYFUNCTION("""COMPUTED_VALUE"""),41161.0)</f>
        <v>41161</v>
      </c>
    </row>
    <row r="33">
      <c r="A33" s="59" t="str">
        <f>IFERROR(__xludf.DUMMYFUNCTION("""COMPUTED_VALUE"""),"Alarmfase 1")</f>
        <v>Alarmfase 1</v>
      </c>
      <c r="B33" s="60"/>
      <c r="C33" s="61" t="str">
        <f>IFERROR(__xludf.DUMMYFUNCTION("""COMPUTED_VALUE"""),"Yes")</f>
        <v>Yes</v>
      </c>
      <c r="D33" s="62" t="str">
        <f>IFERROR(__xludf.DUMMYFUNCTION("""COMPUTED_VALUE"""),"Free push notifications")</f>
        <v>Free push notifications</v>
      </c>
      <c r="E33" s="61" t="str">
        <f>IFERROR(__xludf.DUMMYFUNCTION("""COMPUTED_VALUE"""),"rctgamer3")</f>
        <v>rctgamer3</v>
      </c>
      <c r="F33" s="63">
        <f>IFERROR(__xludf.DUMMYFUNCTION("""COMPUTED_VALUE"""),40871.0)</f>
        <v>40871</v>
      </c>
    </row>
    <row r="34">
      <c r="A34" s="59" t="str">
        <f>IFERROR(__xludf.DUMMYFUNCTION("""COMPUTED_VALUE"""),"Alert! Safety Boom!")</f>
        <v>Alert! Safety Boom!</v>
      </c>
      <c r="B34" s="60"/>
      <c r="C34" s="61" t="str">
        <f>IFERROR(__xludf.DUMMYFUNCTION("""COMPUTED_VALUE"""),"Yes")</f>
        <v>Yes</v>
      </c>
      <c r="D34" s="62"/>
      <c r="E34" s="61"/>
      <c r="F34" s="41"/>
    </row>
    <row r="35">
      <c r="A35" s="59" t="str">
        <f>IFERROR(__xludf.DUMMYFUNCTION("""COMPUTED_VALUE"""),"Alien Blue")</f>
        <v>Alien Blue</v>
      </c>
      <c r="B35" s="60"/>
      <c r="C35" s="61" t="str">
        <f>IFERROR(__xludf.DUMMYFUNCTION("""COMPUTED_VALUE"""),"Yes")</f>
        <v>Yes</v>
      </c>
      <c r="D35" s="62" t="str">
        <f>IFERROR(__xludf.DUMMYFUNCTION("""COMPUTED_VALUE"""),"Pro/Premium iAP works fine.")</f>
        <v>Pro/Premium iAP works fine.</v>
      </c>
      <c r="E35" s="61" t="str">
        <f>IFERROR(__xludf.DUMMYFUNCTION("""COMPUTED_VALUE"""),"Drieks, rctgamer3")</f>
        <v>Drieks, rctgamer3</v>
      </c>
      <c r="F35" s="63">
        <f>IFERROR(__xludf.DUMMYFUNCTION("""COMPUTED_VALUE"""),40928.0)</f>
        <v>40928</v>
      </c>
    </row>
    <row r="36">
      <c r="A36" s="59" t="str">
        <f>IFERROR(__xludf.DUMMYFUNCTION("""COMPUTED_VALUE"""),"Alien Jump")</f>
        <v>Alien Jump</v>
      </c>
      <c r="B36" s="60"/>
      <c r="C36" s="61" t="str">
        <f>IFERROR(__xludf.DUMMYFUNCTION("""COMPUTED_VALUE"""),"Yes")</f>
        <v>Yes</v>
      </c>
      <c r="D36" s="62" t="str">
        <f>IFERROR(__xludf.DUMMYFUNCTION("""COMPUTED_VALUE"""),"work perfectly. 100%")</f>
        <v>work perfectly. 100%</v>
      </c>
      <c r="E36" s="61" t="str">
        <f>IFERROR(__xludf.DUMMYFUNCTION("""COMPUTED_VALUE"""),"fi6e")</f>
        <v>fi6e</v>
      </c>
      <c r="F36" s="63">
        <f>IFERROR(__xludf.DUMMYFUNCTION("""COMPUTED_VALUE"""),40923.0)</f>
        <v>40923</v>
      </c>
    </row>
    <row r="37">
      <c r="A37" s="59" t="str">
        <f>IFERROR(__xludf.DUMMYFUNCTION("""COMPUTED_VALUE"""),"ALL APPS by: My First App")</f>
        <v>ALL APPS by: My First App</v>
      </c>
      <c r="B37" s="60"/>
      <c r="C37" s="61" t="str">
        <f>IFERROR(__xludf.DUMMYFUNCTION("""COMPUTED_VALUE"""),"Yes")</f>
        <v>Yes</v>
      </c>
      <c r="D37" s="62" t="str">
        <f>IFERROR(__xludf.DUMMYFUNCTION("""COMPUTED_VALUE"""),"Purchase Full/ Gets All Boards UNLOCKED")</f>
        <v>Purchase Full/ Gets All Boards UNLOCKED</v>
      </c>
      <c r="E37" s="61" t="str">
        <f>IFERROR(__xludf.DUMMYFUNCTION("""COMPUTED_VALUE"""),"Azh")</f>
        <v>Azh</v>
      </c>
      <c r="F37" s="63">
        <f>IFERROR(__xludf.DUMMYFUNCTION("""COMPUTED_VALUE"""),41178.0)</f>
        <v>41178</v>
      </c>
    </row>
    <row r="38">
      <c r="A38" s="59" t="str">
        <f>IFERROR(__xludf.DUMMYFUNCTION("""COMPUTED_VALUE"""),"All Games from Glu Games Inc. ")</f>
        <v>All Games from Glu Games Inc. </v>
      </c>
      <c r="B38" s="60"/>
      <c r="C38" s="61" t="str">
        <f>IFERROR(__xludf.DUMMYFUNCTION("""COMPUTED_VALUE"""),"Yes")</f>
        <v>Yes</v>
      </c>
      <c r="D38" s="62"/>
      <c r="E38" s="61"/>
      <c r="F38" s="63">
        <f>IFERROR(__xludf.DUMMYFUNCTION("""COMPUTED_VALUE"""),40901.0)</f>
        <v>40901</v>
      </c>
    </row>
    <row r="39">
      <c r="A39" s="59" t="str">
        <f>IFERROR(__xludf.DUMMYFUNCTION("""COMPUTED_VALUE"""),"All-in YOGA: 300 Poses &amp; Yoga Classes
")</f>
        <v>All-in YOGA: 300 Poses &amp; Yoga Classes
</v>
      </c>
      <c r="B39" s="60"/>
      <c r="C39" s="61" t="str">
        <f>IFERROR(__xludf.DUMMYFUNCTION("""COMPUTED_VALUE"""),"Yes")</f>
        <v>Yes</v>
      </c>
      <c r="D39" s="62" t="str">
        <f>IFERROR(__xludf.DUMMYFUNCTION("""COMPUTED_VALUE"""),"All Premium content")</f>
        <v>All Premium content</v>
      </c>
      <c r="E39" s="61" t="str">
        <f>IFERROR(__xludf.DUMMYFUNCTION("""COMPUTED_VALUE"""),"luudaigiang")</f>
        <v>luudaigiang</v>
      </c>
      <c r="F39" s="63">
        <f>IFERROR(__xludf.DUMMYFUNCTION("""COMPUTED_VALUE"""),40934.0)</f>
        <v>40934</v>
      </c>
    </row>
    <row r="40">
      <c r="A40" s="59" t="str">
        <f>IFERROR(__xludf.DUMMYFUNCTION("""COMPUTED_VALUE"""),"Alois Nebel - Na trati")</f>
        <v>Alois Nebel - Na trati</v>
      </c>
      <c r="B40" s="60"/>
      <c r="C40" s="61" t="str">
        <f>IFERROR(__xludf.DUMMYFUNCTION("""COMPUTED_VALUE"""),"Yes")</f>
        <v>Yes</v>
      </c>
      <c r="D40" s="62" t="str">
        <f>IFERROR(__xludf.DUMMYFUNCTION("""COMPUTED_VALUE"""),"Purchase comics")</f>
        <v>Purchase comics</v>
      </c>
      <c r="E40" s="61" t="str">
        <f>IFERROR(__xludf.DUMMYFUNCTION("""COMPUTED_VALUE"""),"KeceRim")</f>
        <v>KeceRim</v>
      </c>
      <c r="F40" s="63">
        <f>IFERROR(__xludf.DUMMYFUNCTION("""COMPUTED_VALUE"""),40935.0)</f>
        <v>40935</v>
      </c>
    </row>
    <row r="41">
      <c r="A41" s="59" t="str">
        <f>IFERROR(__xludf.DUMMYFUNCTION("""COMPUTED_VALUE"""),"AMC Free")</f>
        <v>AMC Free</v>
      </c>
      <c r="B41" s="60"/>
      <c r="C41" s="61" t="str">
        <f>IFERROR(__xludf.DUMMYFUNCTION("""COMPUTED_VALUE"""),"Yes")</f>
        <v>Yes</v>
      </c>
      <c r="D41" s="62" t="str">
        <f>IFERROR(__xludf.DUMMYFUNCTION("""COMPUTED_VALUE"""),"Unlocks additional maps")</f>
        <v>Unlocks additional maps</v>
      </c>
      <c r="E41" s="61" t="str">
        <f>IFERROR(__xludf.DUMMYFUNCTION("""COMPUTED_VALUE"""),"tester")</f>
        <v>tester</v>
      </c>
      <c r="F41" s="63">
        <f>IFERROR(__xludf.DUMMYFUNCTION("""COMPUTED_VALUE"""),40929.0)</f>
        <v>40929</v>
      </c>
    </row>
    <row r="42">
      <c r="A42" s="59" t="str">
        <f>IFERROR(__xludf.DUMMYFUNCTION("""COMPUTED_VALUE"""),"American Heritage Dictionary 5th Ed v1.2")</f>
        <v>American Heritage Dictionary 5th Ed v1.2</v>
      </c>
      <c r="B42" s="60"/>
      <c r="C42" s="61" t="str">
        <f>IFERROR(__xludf.DUMMYFUNCTION("""COMPUTED_VALUE"""),"Yes")</f>
        <v>Yes</v>
      </c>
      <c r="D42" s="62" t="str">
        <f>IFERROR(__xludf.DUMMYFUNCTION("""COMPUTED_VALUE"""),"Have IAP Cracker 0.6.1 installed. I signed out of iTunes then 'purchased'.")</f>
        <v>Have IAP Cracker 0.6.1 installed. I signed out of iTunes then 'purchased'.</v>
      </c>
      <c r="E42" s="61" t="str">
        <f>IFERROR(__xludf.DUMMYFUNCTION("""COMPUTED_VALUE"""),"Binky")</f>
        <v>Binky</v>
      </c>
      <c r="F42" s="63">
        <f>IFERROR(__xludf.DUMMYFUNCTION("""COMPUTED_VALUE"""),40918.0)</f>
        <v>40918</v>
      </c>
    </row>
    <row r="43">
      <c r="A43" s="59" t="str">
        <f>IFERROR(__xludf.DUMMYFUNCTION("""COMPUTED_VALUE"""),"AmpKit+")</f>
        <v>AmpKit+</v>
      </c>
      <c r="B43" s="60"/>
      <c r="C43" s="61" t="str">
        <f>IFERROR(__xludf.DUMMYFUNCTION("""COMPUTED_VALUE"""),"Yes")</f>
        <v>Yes</v>
      </c>
      <c r="D43" s="62"/>
      <c r="E43" s="61" t="str">
        <f>IFERROR(__xludf.DUMMYFUNCTION("""COMPUTED_VALUE"""),"cynxian")</f>
        <v>cynxian</v>
      </c>
      <c r="F43" s="63">
        <f>IFERROR(__xludf.DUMMYFUNCTION("""COMPUTED_VALUE"""),40882.0)</f>
        <v>40882</v>
      </c>
    </row>
    <row r="44">
      <c r="A44" s="59" t="str">
        <f>IFERROR(__xludf.DUMMYFUNCTION("""COMPUTED_VALUE"""),"AmpliTube")</f>
        <v>AmpliTube</v>
      </c>
      <c r="B44" s="60"/>
      <c r="C44" s="61" t="str">
        <f>IFERROR(__xludf.DUMMYFUNCTION("""COMPUTED_VALUE"""),"Yes")</f>
        <v>Yes</v>
      </c>
      <c r="D44" s="62" t="str">
        <f>IFERROR(__xludf.DUMMYFUNCTION("""COMPUTED_VALUE"""),"Buy any effect")</f>
        <v>Buy any effect</v>
      </c>
      <c r="E44" s="61"/>
      <c r="F44" s="41"/>
    </row>
    <row r="45">
      <c r="A45" s="59" t="str">
        <f>IFERROR(__xludf.DUMMYFUNCTION("""COMPUTED_VALUE"""),"Amplitube 2")</f>
        <v>Amplitube 2</v>
      </c>
      <c r="B45" s="60"/>
      <c r="C45" s="61" t="str">
        <f>IFERROR(__xludf.DUMMYFUNCTION("""COMPUTED_VALUE"""),"Yes")</f>
        <v>Yes</v>
      </c>
      <c r="D45" s="62"/>
      <c r="E45" s="61" t="str">
        <f>IFERROR(__xludf.DUMMYFUNCTION("""COMPUTED_VALUE"""),"Pollux0512")</f>
        <v>Pollux0512</v>
      </c>
      <c r="F45" s="63">
        <f>IFERROR(__xludf.DUMMYFUNCTION("""COMPUTED_VALUE"""),40931.0)</f>
        <v>40931</v>
      </c>
    </row>
    <row r="46">
      <c r="A46" s="59" t="str">
        <f>IFERROR(__xludf.DUMMYFUNCTION("""COMPUTED_VALUE"""),"Amplitube Fender")</f>
        <v>Amplitube Fender</v>
      </c>
      <c r="B46" s="60"/>
      <c r="C46" s="61" t="str">
        <f>IFERROR(__xludf.DUMMYFUNCTION("""COMPUTED_VALUE"""),"Yes")</f>
        <v>Yes</v>
      </c>
      <c r="D46" s="62"/>
      <c r="E46" s="61"/>
      <c r="F46" s="41"/>
    </row>
    <row r="47">
      <c r="A47" s="59" t="str">
        <f>IFERROR(__xludf.DUMMYFUNCTION("""COMPUTED_VALUE"""),"Ancient War")</f>
        <v>Ancient War</v>
      </c>
      <c r="B47" s="60"/>
      <c r="C47" s="61" t="str">
        <f>IFERROR(__xludf.DUMMYFUNCTION("""COMPUTED_VALUE"""),"Yes")</f>
        <v>Yes</v>
      </c>
      <c r="D47" s="62"/>
      <c r="E47" s="61" t="str">
        <f>IFERROR(__xludf.DUMMYFUNCTION("""COMPUTED_VALUE"""),"mytich")</f>
        <v>mytich</v>
      </c>
      <c r="F47" s="63">
        <f>IFERROR(__xludf.DUMMYFUNCTION("""COMPUTED_VALUE"""),40793.7604166667)</f>
        <v>40793.76042</v>
      </c>
    </row>
    <row r="48">
      <c r="A48" s="59" t="str">
        <f>IFERROR(__xludf.DUMMYFUNCTION("""COMPUTED_VALUE"""),"Ancient War 2")</f>
        <v>Ancient War 2</v>
      </c>
      <c r="B48" s="60"/>
      <c r="C48" s="61" t="str">
        <f>IFERROR(__xludf.DUMMYFUNCTION("""COMPUTED_VALUE"""),"Yes")</f>
        <v>Yes</v>
      </c>
      <c r="D48" s="62" t="str">
        <f>IFERROR(__xludf.DUMMYFUNCTION("""COMPUTED_VALUE"""),"Takes a while to credit the gems.")</f>
        <v>Takes a while to credit the gems.</v>
      </c>
      <c r="E48" s="61"/>
      <c r="F48" s="41"/>
    </row>
    <row r="49">
      <c r="A49" s="59" t="str">
        <f>IFERROR(__xludf.DUMMYFUNCTION("""COMPUTED_VALUE"""),"AngerOfStick")</f>
        <v>AngerOfStick</v>
      </c>
      <c r="B49" s="60"/>
      <c r="C49" s="61" t="str">
        <f>IFERROR(__xludf.DUMMYFUNCTION("""COMPUTED_VALUE"""),"Yes")</f>
        <v>Yes</v>
      </c>
      <c r="D49" s="62" t="str">
        <f>IFERROR(__xludf.DUMMYFUNCTION("""COMPUTED_VALUE"""),"Buy coin")</f>
        <v>Buy coin</v>
      </c>
      <c r="E49" s="61" t="str">
        <f>IFERROR(__xludf.DUMMYFUNCTION("""COMPUTED_VALUE"""),"phatpham")</f>
        <v>phatpham</v>
      </c>
      <c r="F49" s="63">
        <f>IFERROR(__xludf.DUMMYFUNCTION("""COMPUTED_VALUE"""),40902.0)</f>
        <v>40902</v>
      </c>
    </row>
    <row r="50">
      <c r="A50" s="59" t="str">
        <f>IFERROR(__xludf.DUMMYFUNCTION("""COMPUTED_VALUE"""),"AngerOfStick 2")</f>
        <v>AngerOfStick 2</v>
      </c>
      <c r="B50" s="60" t="str">
        <f>IFERROR(__xludf.DUMMYFUNCTION("""COMPUTED_VALUE"""),"1.1.3")</f>
        <v>1.1.3</v>
      </c>
      <c r="C50" s="61" t="str">
        <f>IFERROR(__xludf.DUMMYFUNCTION("""COMPUTED_VALUE"""),"Yes")</f>
        <v>Yes</v>
      </c>
      <c r="D50" s="62" t="str">
        <f>IFERROR(__xludf.DUMMYFUNCTION("""COMPUTED_VALUE"""),"Can Buy Everything")</f>
        <v>Can Buy Everything</v>
      </c>
      <c r="E50" s="61" t="str">
        <f>IFERROR(__xludf.DUMMYFUNCTION("""COMPUTED_VALUE"""),"CruNkS")</f>
        <v>CruNkS</v>
      </c>
      <c r="F50" s="63">
        <f>IFERROR(__xludf.DUMMYFUNCTION("""COMPUTED_VALUE"""),41161.0)</f>
        <v>41161</v>
      </c>
    </row>
    <row r="51">
      <c r="A51" s="59" t="str">
        <f>IFERROR(__xludf.DUMMYFUNCTION("""COMPUTED_VALUE"""),"AngerOfStick-Friend")</f>
        <v>AngerOfStick-Friend</v>
      </c>
      <c r="B51" s="60"/>
      <c r="C51" s="61" t="str">
        <f>IFERROR(__xludf.DUMMYFUNCTION("""COMPUTED_VALUE"""),"Yes")</f>
        <v>Yes</v>
      </c>
      <c r="D51" s="62"/>
      <c r="E51" s="61" t="str">
        <f>IFERROR(__xludf.DUMMYFUNCTION("""COMPUTED_VALUE"""),"phatpham")</f>
        <v>phatpham</v>
      </c>
      <c r="F51" s="63">
        <f>IFERROR(__xludf.DUMMYFUNCTION("""COMPUTED_VALUE"""),40902.0)</f>
        <v>40902</v>
      </c>
    </row>
    <row r="52">
      <c r="A52" s="59" t="str">
        <f>IFERROR(__xludf.DUMMYFUNCTION("""COMPUTED_VALUE"""),"AngerOfStick2: Jump Jump")</f>
        <v>AngerOfStick2: Jump Jump</v>
      </c>
      <c r="B52" s="60"/>
      <c r="C52" s="61" t="str">
        <f>IFERROR(__xludf.DUMMYFUNCTION("""COMPUTED_VALUE"""),"Yes")</f>
        <v>Yes</v>
      </c>
      <c r="D52" s="62"/>
      <c r="E52" s="61" t="str">
        <f>IFERROR(__xludf.DUMMYFUNCTION("""COMPUTED_VALUE"""),"phatpham")</f>
        <v>phatpham</v>
      </c>
      <c r="F52" s="63">
        <f>IFERROR(__xludf.DUMMYFUNCTION("""COMPUTED_VALUE"""),40902.0)</f>
        <v>40902</v>
      </c>
    </row>
    <row r="53">
      <c r="A53" s="59" t="str">
        <f>IFERROR(__xludf.DUMMYFUNCTION("""COMPUTED_VALUE"""),"Angry Birds (All)")</f>
        <v>Angry Birds (All)</v>
      </c>
      <c r="B53" s="60"/>
      <c r="C53" s="61" t="str">
        <f>IFERROR(__xludf.DUMMYFUNCTION("""COMPUTED_VALUE"""),"Yes")</f>
        <v>Yes</v>
      </c>
      <c r="D53" s="62" t="str">
        <f>IFERROR(__xludf.DUMMYFUNCTION("""COMPUTED_VALUE"""),"Unlocks the Mighty Eagle for Angry Birds, Angry Birds Seasons, and Angry Birds Rio.")</f>
        <v>Unlocks the Mighty Eagle for Angry Birds, Angry Birds Seasons, and Angry Birds Rio.</v>
      </c>
      <c r="E53" s="61" t="str">
        <f>IFERROR(__xludf.DUMMYFUNCTION("""COMPUTED_VALUE"""),"rctgamer3")</f>
        <v>rctgamer3</v>
      </c>
      <c r="F53" s="63">
        <f>IFERROR(__xludf.DUMMYFUNCTION("""COMPUTED_VALUE"""),40886.0)</f>
        <v>40886</v>
      </c>
    </row>
    <row r="54">
      <c r="A54" s="59" t="str">
        <f>IFERROR(__xludf.DUMMYFUNCTION("""COMPUTED_VALUE"""),"Angry Birds: Space")</f>
        <v>Angry Birds: Space</v>
      </c>
      <c r="B54" s="60"/>
      <c r="C54" s="61" t="str">
        <f>IFERROR(__xludf.DUMMYFUNCTION("""COMPUTED_VALUE"""),"Yes")</f>
        <v>Yes</v>
      </c>
      <c r="D54" s="62" t="str">
        <f>IFERROR(__xludf.DUMMYFUNCTION("""COMPUTED_VALUE"""),"Gives Space Eagle")</f>
        <v>Gives Space Eagle</v>
      </c>
      <c r="E54" s="61" t="str">
        <f>IFERROR(__xludf.DUMMYFUNCTION("""COMPUTED_VALUE"""),"anonymous")</f>
        <v>anonymous</v>
      </c>
      <c r="F54" s="63">
        <f>IFERROR(__xludf.DUMMYFUNCTION("""COMPUTED_VALUE"""),41009.0)</f>
        <v>41009</v>
      </c>
    </row>
    <row r="55">
      <c r="A55" s="59" t="str">
        <f>IFERROR(__xludf.DUMMYFUNCTION("""COMPUTED_VALUE"""),"Angry Gran")</f>
        <v>Angry Gran</v>
      </c>
      <c r="B55" s="60"/>
      <c r="C55" s="61" t="str">
        <f>IFERROR(__xludf.DUMMYFUNCTION("""COMPUTED_VALUE"""),"Yes")</f>
        <v>Yes</v>
      </c>
      <c r="D55" s="62"/>
      <c r="E55" s="61" t="str">
        <f>IFERROR(__xludf.DUMMYFUNCTION("""COMPUTED_VALUE"""),"Z1nC")</f>
        <v>Z1nC</v>
      </c>
      <c r="F55" s="63">
        <f>IFERROR(__xludf.DUMMYFUNCTION("""COMPUTED_VALUE"""),40901.0)</f>
        <v>40901</v>
      </c>
    </row>
    <row r="56">
      <c r="A56" s="59" t="str">
        <f>IFERROR(__xludf.DUMMYFUNCTION("""COMPUTED_VALUE"""),"Angry Words")</f>
        <v>Angry Words</v>
      </c>
      <c r="B56" s="60" t="str">
        <f>IFERROR(__xludf.DUMMYFUNCTION("""COMPUTED_VALUE"""),"1.2.0")</f>
        <v>1.2.0</v>
      </c>
      <c r="C56" s="61" t="str">
        <f>IFERROR(__xludf.DUMMYFUNCTION("""COMPUTED_VALUE"""),"Yes")</f>
        <v>Yes</v>
      </c>
      <c r="D56" s="62" t="str">
        <f>IFERROR(__xludf.DUMMYFUNCTION("""COMPUTED_VALUE"""),"Remove adds.")</f>
        <v>Remove adds.</v>
      </c>
      <c r="E56" s="61" t="str">
        <f>IFERROR(__xludf.DUMMYFUNCTION("""COMPUTED_VALUE"""),"charly007")</f>
        <v>charly007</v>
      </c>
      <c r="F56" s="63">
        <f>IFERROR(__xludf.DUMMYFUNCTION("""COMPUTED_VALUE"""),40963.0)</f>
        <v>40963</v>
      </c>
    </row>
    <row r="57">
      <c r="A57" s="59" t="str">
        <f>IFERROR(__xludf.DUMMYFUNCTION("""COMPUTED_VALUE"""),"Angry Zombies")</f>
        <v>Angry Zombies</v>
      </c>
      <c r="B57" s="60"/>
      <c r="C57" s="61" t="str">
        <f>IFERROR(__xludf.DUMMYFUNCTION("""COMPUTED_VALUE"""),"Yes")</f>
        <v>Yes</v>
      </c>
      <c r="D57" s="62" t="str">
        <f>IFERROR(__xludf.DUMMYFUNCTION("""COMPUTED_VALUE"""),"Bones and money
")</f>
        <v>Bones and money
</v>
      </c>
      <c r="E57" s="61" t="str">
        <f>IFERROR(__xludf.DUMMYFUNCTION("""COMPUTED_VALUE"""),"mytich")</f>
        <v>mytich</v>
      </c>
      <c r="F57" s="63">
        <f>IFERROR(__xludf.DUMMYFUNCTION("""COMPUTED_VALUE"""),40793.0)</f>
        <v>40793</v>
      </c>
    </row>
    <row r="58">
      <c r="A58" s="59" t="str">
        <f>IFERROR(__xludf.DUMMYFUNCTION("""COMPUTED_VALUE"""),"Animal Chess 2")</f>
        <v>Animal Chess 2</v>
      </c>
      <c r="B58" s="60"/>
      <c r="C58" s="61" t="str">
        <f>IFERROR(__xludf.DUMMYFUNCTION("""COMPUTED_VALUE"""),"Yes")</f>
        <v>Yes</v>
      </c>
      <c r="D58" s="62"/>
      <c r="E58" s="61"/>
      <c r="F58" s="41"/>
    </row>
    <row r="59">
      <c r="A59" s="59" t="str">
        <f>IFERROR(__xludf.DUMMYFUNCTION("""COMPUTED_VALUE"""),"Animated Puzzle")</f>
        <v>Animated Puzzle</v>
      </c>
      <c r="B59" s="60"/>
      <c r="C59" s="61" t="str">
        <f>IFERROR(__xludf.DUMMYFUNCTION("""COMPUTED_VALUE"""),"Yes")</f>
        <v>Yes</v>
      </c>
      <c r="D59" s="62" t="str">
        <f>IFERROR(__xludf.DUMMYFUNCTION("""COMPUTED_VALUE"""),"Unlock All additional animal")</f>
        <v>Unlock All additional animal</v>
      </c>
      <c r="E59" s="61" t="str">
        <f>IFERROR(__xludf.DUMMYFUNCTION("""COMPUTED_VALUE"""),"Vista2k7")</f>
        <v>Vista2k7</v>
      </c>
      <c r="F59" s="63">
        <f>IFERROR(__xludf.DUMMYFUNCTION("""COMPUTED_VALUE"""),40926.0)</f>
        <v>40926</v>
      </c>
    </row>
    <row r="60">
      <c r="A60" s="59" t="str">
        <f>IFERROR(__xludf.DUMMYFUNCTION("""COMPUTED_VALUE"""),"Anime Dress Up HD")</f>
        <v>Anime Dress Up HD</v>
      </c>
      <c r="B60" s="60"/>
      <c r="C60" s="61" t="str">
        <f>IFERROR(__xludf.DUMMYFUNCTION("""COMPUTED_VALUE"""),"Yes")</f>
        <v>Yes</v>
      </c>
      <c r="D60" s="62"/>
      <c r="E60" s="61" t="str">
        <f>IFERROR(__xludf.DUMMYFUNCTION("""COMPUTED_VALUE"""),"luudaigiang")</f>
        <v>luudaigiang</v>
      </c>
      <c r="F60" s="63">
        <f>IFERROR(__xludf.DUMMYFUNCTION("""COMPUTED_VALUE"""),40913.0)</f>
        <v>40913</v>
      </c>
    </row>
    <row r="61">
      <c r="A61" s="59" t="str">
        <f>IFERROR(__xludf.DUMMYFUNCTION("""COMPUTED_VALUE"""),"Anthill")</f>
        <v>Anthill</v>
      </c>
      <c r="B61" s="60"/>
      <c r="C61" s="61" t="str">
        <f>IFERROR(__xludf.DUMMYFUNCTION("""COMPUTED_VALUE"""),"Yes")</f>
        <v>Yes</v>
      </c>
      <c r="D61" s="62" t="str">
        <f>IFERROR(__xludf.DUMMYFUNCTION("""COMPUTED_VALUE"""),"Can buy stars")</f>
        <v>Can buy stars</v>
      </c>
      <c r="E61" s="61" t="str">
        <f>IFERROR(__xludf.DUMMYFUNCTION("""COMPUTED_VALUE"""),"chowlala")</f>
        <v>chowlala</v>
      </c>
      <c r="F61" s="63">
        <f>IFERROR(__xludf.DUMMYFUNCTION("""COMPUTED_VALUE"""),40950.0)</f>
        <v>40950</v>
      </c>
    </row>
    <row r="62">
      <c r="A62" s="59" t="str">
        <f>IFERROR(__xludf.DUMMYFUNCTION("""COMPUTED_VALUE"""),"Antrim Escape 3")</f>
        <v>Antrim Escape 3</v>
      </c>
      <c r="B62" s="60"/>
      <c r="C62" s="61" t="str">
        <f>IFERROR(__xludf.DUMMYFUNCTION("""COMPUTED_VALUE"""),"Yes")</f>
        <v>Yes</v>
      </c>
      <c r="D62" s="62"/>
      <c r="E62" s="61" t="str">
        <f>IFERROR(__xludf.DUMMYFUNCTION("""COMPUTED_VALUE"""),"Dizzy")</f>
        <v>Dizzy</v>
      </c>
      <c r="F62" s="63">
        <f>IFERROR(__xludf.DUMMYFUNCTION("""COMPUTED_VALUE"""),40912.0)</f>
        <v>40912</v>
      </c>
    </row>
    <row r="63">
      <c r="A63" s="59" t="str">
        <f>IFERROR(__xludf.DUMMYFUNCTION("""COMPUTED_VALUE"""),"AoZ Anniv.")</f>
        <v>AoZ Anniv.</v>
      </c>
      <c r="B63" s="60"/>
      <c r="C63" s="61" t="str">
        <f>IFERROR(__xludf.DUMMYFUNCTION("""COMPUTED_VALUE"""),"Yes")</f>
        <v>Yes</v>
      </c>
      <c r="D63" s="62" t="str">
        <f>IFERROR(__xludf.DUMMYFUNCTION("""COMPUTED_VALUE"""),"Unlock all levels! :)")</f>
        <v>Unlock all levels! :)</v>
      </c>
      <c r="E63" s="61" t="str">
        <f>IFERROR(__xludf.DUMMYFUNCTION("""COMPUTED_VALUE"""),"Coran!")</f>
        <v>Coran!</v>
      </c>
      <c r="F63" s="63">
        <f>IFERROR(__xludf.DUMMYFUNCTION("""COMPUTED_VALUE"""),40929.0)</f>
        <v>40929</v>
      </c>
    </row>
    <row r="64">
      <c r="A64" s="59" t="str">
        <f>IFERROR(__xludf.DUMMYFUNCTION("""COMPUTED_VALUE"""),"Applets")</f>
        <v>Applets</v>
      </c>
      <c r="B64" s="60"/>
      <c r="C64" s="61" t="str">
        <f>IFERROR(__xludf.DUMMYFUNCTION("""COMPUTED_VALUE"""),"Yes")</f>
        <v>Yes</v>
      </c>
      <c r="D64" s="62"/>
      <c r="E64" s="61" t="str">
        <f>IFERROR(__xludf.DUMMYFUNCTION("""COMPUTED_VALUE"""),"Dansco")</f>
        <v>Dansco</v>
      </c>
      <c r="F64" s="63">
        <f>IFERROR(__xludf.DUMMYFUNCTION("""COMPUTED_VALUE"""),40793.9138888889)</f>
        <v>40793.91389</v>
      </c>
    </row>
    <row r="65">
      <c r="A65" s="59" t="str">
        <f>IFERROR(__xludf.DUMMYFUNCTION("""COMPUTED_VALUE"""),"Appzila (Series)")</f>
        <v>Appzila (Series)</v>
      </c>
      <c r="B65" s="60"/>
      <c r="C65" s="61" t="str">
        <f>IFERROR(__xludf.DUMMYFUNCTION("""COMPUTED_VALUE"""),"Yes")</f>
        <v>Yes</v>
      </c>
      <c r="D65" s="62" t="str">
        <f>IFERROR(__xludf.DUMMYFUNCTION("""COMPUTED_VALUE"""),"Works with everything")</f>
        <v>Works with everything</v>
      </c>
      <c r="E65" s="61" t="str">
        <f>IFERROR(__xludf.DUMMYFUNCTION("""COMPUTED_VALUE"""),"^eNeRGy^")</f>
        <v>^eNeRGy^</v>
      </c>
      <c r="F65" s="63">
        <f>IFERROR(__xludf.DUMMYFUNCTION("""COMPUTED_VALUE"""),40891.0)</f>
        <v>40891</v>
      </c>
    </row>
    <row r="66">
      <c r="A66" s="59" t="str">
        <f>IFERROR(__xludf.DUMMYFUNCTION("""COMPUTED_VALUE"""),"Aqueduct")</f>
        <v>Aqueduct</v>
      </c>
      <c r="B66" s="60"/>
      <c r="C66" s="61" t="str">
        <f>IFERROR(__xludf.DUMMYFUNCTION("""COMPUTED_VALUE"""),"Yes")</f>
        <v>Yes</v>
      </c>
      <c r="D66" s="62" t="str">
        <f>IFERROR(__xludf.DUMMYFUNCTION("""COMPUTED_VALUE"""),"Ensure Metadata turned on")</f>
        <v>Ensure Metadata turned on</v>
      </c>
      <c r="E66" s="61" t="str">
        <f>IFERROR(__xludf.DUMMYFUNCTION("""COMPUTED_VALUE"""),"Bull Moose")</f>
        <v>Bull Moose</v>
      </c>
      <c r="F66" s="63">
        <f>IFERROR(__xludf.DUMMYFUNCTION("""COMPUTED_VALUE"""),40897.0)</f>
        <v>40897</v>
      </c>
    </row>
    <row r="67">
      <c r="A67" s="59" t="str">
        <f>IFERROR(__xludf.DUMMYFUNCTION("""COMPUTED_VALUE"""),"Aralon: Sword and Shadow")</f>
        <v>Aralon: Sword and Shadow</v>
      </c>
      <c r="B67" s="60"/>
      <c r="C67" s="61" t="str">
        <f>IFERROR(__xludf.DUMMYFUNCTION("""COMPUTED_VALUE"""),"Yes")</f>
        <v>Yes</v>
      </c>
      <c r="D67" s="62" t="str">
        <f>IFERROR(__xludf.DUMMYFUNCTION("""COMPUTED_VALUE"""),"Takes a little while to initialize karma, but it works")</f>
        <v>Takes a little while to initialize karma, but it works</v>
      </c>
      <c r="E67" s="61" t="str">
        <f>IFERROR(__xludf.DUMMYFUNCTION("""COMPUTED_VALUE"""),"EdgarDrake")</f>
        <v>EdgarDrake</v>
      </c>
      <c r="F67" s="63">
        <f>IFERROR(__xludf.DUMMYFUNCTION("""COMPUTED_VALUE"""),40914.0)</f>
        <v>40914</v>
      </c>
    </row>
    <row r="68">
      <c r="A68" s="59" t="str">
        <f>IFERROR(__xludf.DUMMYFUNCTION("""COMPUTED_VALUE"""),"Archies Comics")</f>
        <v>Archies Comics</v>
      </c>
      <c r="B68" s="60"/>
      <c r="C68" s="61" t="str">
        <f>IFERROR(__xludf.DUMMYFUNCTION("""COMPUTED_VALUE"""),"Yes")</f>
        <v>Yes</v>
      </c>
      <c r="D68" s="62" t="str">
        <f>IFERROR(__xludf.DUMMYFUNCTION("""COMPUTED_VALUE"""),"Takes a little while to initialize karma, but it works")</f>
        <v>Takes a little while to initialize karma, but it works</v>
      </c>
      <c r="E68" s="61" t="str">
        <f>IFERROR(__xludf.DUMMYFUNCTION("""COMPUTED_VALUE"""),"phatpham")</f>
        <v>phatpham</v>
      </c>
      <c r="F68" s="63">
        <f>IFERROR(__xludf.DUMMYFUNCTION("""COMPUTED_VALUE"""),40898.0)</f>
        <v>40898</v>
      </c>
    </row>
    <row r="69">
      <c r="A69" s="59" t="str">
        <f>IFERROR(__xludf.DUMMYFUNCTION("""COMPUTED_VALUE"""),"ArcMagic Lite")</f>
        <v>ArcMagic Lite</v>
      </c>
      <c r="B69" s="60"/>
      <c r="C69" s="61" t="str">
        <f>IFERROR(__xludf.DUMMYFUNCTION("""COMPUTED_VALUE"""),"Yes")</f>
        <v>Yes</v>
      </c>
      <c r="D69" s="62" t="str">
        <f>IFERROR(__xludf.DUMMYFUNCTION("""COMPUTED_VALUE"""),"Upgrade to full")</f>
        <v>Upgrade to full</v>
      </c>
      <c r="E69" s="61" t="str">
        <f>IFERROR(__xludf.DUMMYFUNCTION("""COMPUTED_VALUE"""),"Vista2k7")</f>
        <v>Vista2k7</v>
      </c>
      <c r="F69" s="63">
        <f>IFERROR(__xludf.DUMMYFUNCTION("""COMPUTED_VALUE"""),40926.0)</f>
        <v>40926</v>
      </c>
    </row>
    <row r="70">
      <c r="A70" s="59" t="str">
        <f>IFERROR(__xludf.DUMMYFUNCTION("""COMPUTED_VALUE"""),"Area 51 Defense")</f>
        <v>Area 51 Defense</v>
      </c>
      <c r="B70" s="60">
        <f>IFERROR(__xludf.DUMMYFUNCTION("""COMPUTED_VALUE"""),1.4)</f>
        <v>1.4</v>
      </c>
      <c r="C70" s="61" t="str">
        <f>IFERROR(__xludf.DUMMYFUNCTION("""COMPUTED_VALUE"""),"Yes")</f>
        <v>Yes</v>
      </c>
      <c r="D70" s="62" t="str">
        <f>IFERROR(__xludf.DUMMYFUNCTION("""COMPUTED_VALUE"""),"Can purchase all store upgrades except 'Upgrade to Pro'")</f>
        <v>Can purchase all store upgrades except 'Upgrade to Pro'</v>
      </c>
      <c r="E70" s="61" t="str">
        <f>IFERROR(__xludf.DUMMYFUNCTION("""COMPUTED_VALUE"""),"Exhausted81")</f>
        <v>Exhausted81</v>
      </c>
      <c r="F70" s="63">
        <f>IFERROR(__xludf.DUMMYFUNCTION("""COMPUTED_VALUE"""),40971.0)</f>
        <v>40971</v>
      </c>
    </row>
    <row r="71">
      <c r="A71" s="59" t="str">
        <f>IFERROR(__xludf.DUMMYFUNCTION("""COMPUTED_VALUE"""),"Army of Darkness Defense")</f>
        <v>Army of Darkness Defense</v>
      </c>
      <c r="B71" s="60"/>
      <c r="C71" s="61" t="str">
        <f>IFERROR(__xludf.DUMMYFUNCTION("""COMPUTED_VALUE"""),"Yes")</f>
        <v>Yes</v>
      </c>
      <c r="D71" s="62"/>
      <c r="E71" s="61" t="str">
        <f>IFERROR(__xludf.DUMMYFUNCTION("""COMPUTED_VALUE"""),"YoonaIsCute")</f>
        <v>YoonaIsCute</v>
      </c>
      <c r="F71" s="63">
        <f>IFERROR(__xludf.DUMMYFUNCTION("""COMPUTED_VALUE"""),40793.4569444444)</f>
        <v>40793.45694</v>
      </c>
    </row>
    <row r="72">
      <c r="A72" s="59" t="str">
        <f>IFERROR(__xludf.DUMMYFUNCTION("""COMPUTED_VALUE"""),"Army Wars 2")</f>
        <v>Army Wars 2</v>
      </c>
      <c r="B72" s="60" t="str">
        <f>IFERROR(__xludf.DUMMYFUNCTION("""COMPUTED_VALUE"""),"1.1.0")</f>
        <v>1.1.0</v>
      </c>
      <c r="C72" s="61" t="str">
        <f>IFERROR(__xludf.DUMMYFUNCTION("""COMPUTED_VALUE"""),"Yes")</f>
        <v>Yes</v>
      </c>
      <c r="D72" s="62" t="str">
        <f>IFERROR(__xludf.DUMMYFUNCTION("""COMPUTED_VALUE"""),"everything works")</f>
        <v>everything works</v>
      </c>
      <c r="E72" s="61">
        <f>IFERROR(__xludf.DUMMYFUNCTION("""COMPUTED_VALUE"""),6102.0)</f>
        <v>6102</v>
      </c>
      <c r="F72" s="63">
        <f>IFERROR(__xludf.DUMMYFUNCTION("""COMPUTED_VALUE"""),40883.0)</f>
        <v>40883</v>
      </c>
    </row>
    <row r="73">
      <c r="A73" s="59" t="str">
        <f>IFERROR(__xludf.DUMMYFUNCTION("""COMPUTED_VALUE"""),"Aroundme")</f>
        <v>Aroundme</v>
      </c>
      <c r="B73" s="60"/>
      <c r="C73" s="61" t="str">
        <f>IFERROR(__xludf.DUMMYFUNCTION("""COMPUTED_VALUE"""),"Yes")</f>
        <v>Yes</v>
      </c>
      <c r="D73" s="62"/>
      <c r="E73" s="61" t="str">
        <f>IFERROR(__xludf.DUMMYFUNCTION("""COMPUTED_VALUE"""),"Dansco")</f>
        <v>Dansco</v>
      </c>
      <c r="F73" s="63">
        <f>IFERROR(__xludf.DUMMYFUNCTION("""COMPUTED_VALUE"""),40793.9138888889)</f>
        <v>40793.91389</v>
      </c>
    </row>
    <row r="74">
      <c r="A74" s="59" t="str">
        <f>IFERROR(__xludf.DUMMYFUNCTION("""COMPUTED_VALUE"""),"Arsenal")</f>
        <v>Arsenal</v>
      </c>
      <c r="B74" s="60"/>
      <c r="C74" s="61" t="str">
        <f>IFERROR(__xludf.DUMMYFUNCTION("""COMPUTED_VALUE"""),"Yes")</f>
        <v>Yes</v>
      </c>
      <c r="D74" s="62" t="str">
        <f>IFERROR(__xludf.DUMMYFUNCTION("""COMPUTED_VALUE""")," You can get all pre match contents and post match videos. including longer highlights")</f>
        <v> You can get all pre match contents and post match videos. including longer highlights</v>
      </c>
      <c r="E74" s="61" t="str">
        <f>IFERROR(__xludf.DUMMYFUNCTION("""COMPUTED_VALUE"""),"KashMan")</f>
        <v>KashMan</v>
      </c>
      <c r="F74" s="63">
        <f>IFERROR(__xludf.DUMMYFUNCTION("""COMPUTED_VALUE"""),40916.0)</f>
        <v>40916</v>
      </c>
    </row>
    <row r="75">
      <c r="A75" s="59" t="str">
        <f>IFERROR(__xludf.DUMMYFUNCTION("""COMPUTED_VALUE"""),"Art of war 2")</f>
        <v>Art of war 2</v>
      </c>
      <c r="B75" s="60" t="str">
        <f>IFERROR(__xludf.DUMMYFUNCTION("""COMPUTED_VALUE"""),"1.5.6/1.5.4")</f>
        <v>1.5.6/1.5.4</v>
      </c>
      <c r="C75" s="61" t="str">
        <f>IFERROR(__xludf.DUMMYFUNCTION("""COMPUTED_VALUE"""),"Yes")</f>
        <v>Yes</v>
      </c>
      <c r="D75" s="62" t="str">
        <f>IFERROR(__xludf.DUMMYFUNCTION("""COMPUTED_VALUE"""),"Free -&gt; Full and buy everything (packs and textures import)")</f>
        <v>Free -&gt; Full and buy everything (packs and textures import)</v>
      </c>
      <c r="E75" s="61" t="str">
        <f>IFERROR(__xludf.DUMMYFUNCTION("""COMPUTED_VALUE"""),"Kev63")</f>
        <v>Kev63</v>
      </c>
      <c r="F75" s="63">
        <f>IFERROR(__xludf.DUMMYFUNCTION("""COMPUTED_VALUE"""),40968.0)</f>
        <v>40968</v>
      </c>
    </row>
    <row r="76">
      <c r="A76" s="59" t="str">
        <f>IFERROR(__xludf.DUMMYFUNCTION("""COMPUTED_VALUE"""),"ArtCamera")</f>
        <v>ArtCamera</v>
      </c>
      <c r="B76" s="60"/>
      <c r="C76" s="61" t="str">
        <f>IFERROR(__xludf.DUMMYFUNCTION("""COMPUTED_VALUE"""),"Yes")</f>
        <v>Yes</v>
      </c>
      <c r="D76" s="62"/>
      <c r="E76" s="61" t="str">
        <f>IFERROR(__xludf.DUMMYFUNCTION("""COMPUTED_VALUE"""),"luudaigiang")</f>
        <v>luudaigiang</v>
      </c>
      <c r="F76" s="63">
        <f>IFERROR(__xludf.DUMMYFUNCTION("""COMPUTED_VALUE"""),40922.0)</f>
        <v>40922</v>
      </c>
    </row>
    <row r="77">
      <c r="A77" s="59" t="str">
        <f>IFERROR(__xludf.DUMMYFUNCTION("""COMPUTED_VALUE"""),"artDatabase")</f>
        <v>artDatabase</v>
      </c>
      <c r="B77" s="60"/>
      <c r="C77" s="61" t="str">
        <f>IFERROR(__xludf.DUMMYFUNCTION("""COMPUTED_VALUE"""),"Yes")</f>
        <v>Yes</v>
      </c>
      <c r="D77" s="62"/>
      <c r="E77" s="61" t="str">
        <f>IFERROR(__xludf.DUMMYFUNCTION("""COMPUTED_VALUE"""),"luudaigiang")</f>
        <v>luudaigiang</v>
      </c>
      <c r="F77" s="63">
        <f>IFERROR(__xludf.DUMMYFUNCTION("""COMPUTED_VALUE"""),40918.0)</f>
        <v>40918</v>
      </c>
    </row>
    <row r="78">
      <c r="A78" s="59" t="str">
        <f>IFERROR(__xludf.DUMMYFUNCTION("""COMPUTED_VALUE"""),"Ascension")</f>
        <v>Ascension</v>
      </c>
      <c r="B78" s="60"/>
      <c r="C78" s="61" t="str">
        <f>IFERROR(__xludf.DUMMYFUNCTION("""COMPUTED_VALUE"""),"Yes")</f>
        <v>Yes</v>
      </c>
      <c r="D78" s="62" t="str">
        <f>IFERROR(__xludf.DUMMYFUNCTION("""COMPUTED_VALUE""")," Return of the Fallen IAP")</f>
        <v> Return of the Fallen IAP</v>
      </c>
      <c r="E78" s="61" t="str">
        <f>IFERROR(__xludf.DUMMYFUNCTION("""COMPUTED_VALUE"""),"Mariano Rajoy")</f>
        <v>Mariano Rajoy</v>
      </c>
      <c r="F78" s="63">
        <f>IFERROR(__xludf.DUMMYFUNCTION("""COMPUTED_VALUE"""),40920.0)</f>
        <v>40920</v>
      </c>
    </row>
    <row r="79">
      <c r="A79" s="59" t="str">
        <f>IFERROR(__xludf.DUMMYFUNCTION("""COMPUTED_VALUE"""),"Assassin's Creed Rearmed")</f>
        <v>Assassin's Creed Rearmed</v>
      </c>
      <c r="B79" s="60"/>
      <c r="C79" s="61" t="str">
        <f>IFERROR(__xludf.DUMMYFUNCTION("""COMPUTED_VALUE"""),"Yes")</f>
        <v>Yes</v>
      </c>
      <c r="D79" s="62"/>
      <c r="E79" s="61" t="str">
        <f>IFERROR(__xludf.DUMMYFUNCTION("""COMPUTED_VALUE"""),"phatpham")</f>
        <v>phatpham</v>
      </c>
      <c r="F79" s="63">
        <f>IFERROR(__xludf.DUMMYFUNCTION("""COMPUTED_VALUE"""),40898.0)</f>
        <v>40898</v>
      </c>
    </row>
    <row r="80">
      <c r="A80" s="59" t="str">
        <f>IFERROR(__xludf.DUMMYFUNCTION("""COMPUTED_VALUE"""),"Atari's Greatest Hits")</f>
        <v>Atari's Greatest Hits</v>
      </c>
      <c r="B80" s="60"/>
      <c r="C80" s="61" t="str">
        <f>IFERROR(__xludf.DUMMYFUNCTION("""COMPUTED_VALUE"""),"Yes")</f>
        <v>Yes</v>
      </c>
      <c r="D80" s="62" t="str">
        <f>IFERROR(__xludf.DUMMYFUNCTION("""COMPUTED_VALUE"""),"Purchase all 100+ games")</f>
        <v>Purchase all 100+ games</v>
      </c>
      <c r="E80" s="61" t="str">
        <f>IFERROR(__xludf.DUMMYFUNCTION("""COMPUTED_VALUE"""),"ThePreserver")</f>
        <v>ThePreserver</v>
      </c>
      <c r="F80" s="63">
        <f>IFERROR(__xludf.DUMMYFUNCTION("""COMPUTED_VALUE"""),40890.0)</f>
        <v>40890</v>
      </c>
    </row>
    <row r="81">
      <c r="A81" s="59" t="str">
        <f>IFERROR(__xludf.DUMMYFUNCTION("""COMPUTED_VALUE"""),"Audiobooks (blue icon)")</f>
        <v>Audiobooks (blue icon)</v>
      </c>
      <c r="B81" s="60"/>
      <c r="C81" s="61" t="str">
        <f>IFERROR(__xludf.DUMMYFUNCTION("""COMPUTED_VALUE"""),"Yes")</f>
        <v>Yes</v>
      </c>
      <c r="D81" s="62" t="str">
        <f>IFERROR(__xludf.DUMMYFUNCTION("""COMPUTED_VALUE"""),"Just like that.")</f>
        <v>Just like that.</v>
      </c>
      <c r="E81" s="61" t="str">
        <f>IFERROR(__xludf.DUMMYFUNCTION("""COMPUTED_VALUE"""),"theBruce")</f>
        <v>theBruce</v>
      </c>
      <c r="F81" s="63">
        <f>IFERROR(__xludf.DUMMYFUNCTION("""COMPUTED_VALUE"""),40906.0)</f>
        <v>40906</v>
      </c>
    </row>
    <row r="82">
      <c r="A82" s="59" t="str">
        <f>IFERROR(__xludf.DUMMYFUNCTION("""COMPUTED_VALUE"""),"Audiogalaxy")</f>
        <v>Audiogalaxy</v>
      </c>
      <c r="B82" s="60"/>
      <c r="C82" s="61" t="str">
        <f>IFERROR(__xludf.DUMMYFUNCTION("""COMPUTED_VALUE"""),"Yes")</f>
        <v>Yes</v>
      </c>
      <c r="D82" s="62" t="str">
        <f>IFERROR(__xludf.DUMMYFUNCTION("""COMPUTED_VALUE"""),"Can purchase offline playback")</f>
        <v>Can purchase offline playback</v>
      </c>
      <c r="E82" s="61" t="str">
        <f>IFERROR(__xludf.DUMMYFUNCTION("""COMPUTED_VALUE"""),"Moeses")</f>
        <v>Moeses</v>
      </c>
      <c r="F82" s="63">
        <f>IFERROR(__xludf.DUMMYFUNCTION("""COMPUTED_VALUE"""),40925.0)</f>
        <v>40925</v>
      </c>
    </row>
    <row r="83">
      <c r="A83" s="59" t="str">
        <f>IFERROR(__xludf.DUMMYFUNCTION("""COMPUTED_VALUE"""),"AurumBlade")</f>
        <v>AurumBlade</v>
      </c>
      <c r="B83" s="60" t="str">
        <f>IFERROR(__xludf.DUMMYFUNCTION("""COMPUTED_VALUE"""),"1.0.4")</f>
        <v>1.0.4</v>
      </c>
      <c r="C83" s="61" t="str">
        <f>IFERROR(__xludf.DUMMYFUNCTION("""COMPUTED_VALUE"""),"Yes")</f>
        <v>Yes</v>
      </c>
      <c r="D83" s="62" t="str">
        <f>IFERROR(__xludf.DUMMYFUNCTION("""COMPUTED_VALUE"""),"Gem shop works but you cannot exceed 1000 gems")</f>
        <v>Gem shop works but you cannot exceed 1000 gems</v>
      </c>
      <c r="E83" s="61" t="str">
        <f>IFERROR(__xludf.DUMMYFUNCTION("""COMPUTED_VALUE"""),"Jason")</f>
        <v>Jason</v>
      </c>
      <c r="F83" s="63">
        <f>IFERROR(__xludf.DUMMYFUNCTION("""COMPUTED_VALUE"""),40793.0)</f>
        <v>40793</v>
      </c>
    </row>
    <row r="84">
      <c r="A84" s="59" t="str">
        <f>IFERROR(__xludf.DUMMYFUNCTION("""COMPUTED_VALUE"""),"Australias Got Talent")</f>
        <v>Australias Got Talent</v>
      </c>
      <c r="B84" s="60"/>
      <c r="C84" s="61" t="str">
        <f>IFERROR(__xludf.DUMMYFUNCTION("""COMPUTED_VALUE"""),"Yes")</f>
        <v>Yes</v>
      </c>
      <c r="D84" s="62" t="str">
        <f>IFERROR(__xludf.DUMMYFUNCTION("""COMPUTED_VALUE"""),"Can purchase free votes...I CAN RIG AGT")</f>
        <v>Can purchase free votes...I CAN RIG AGT</v>
      </c>
      <c r="E84" s="61" t="str">
        <f>IFERROR(__xludf.DUMMYFUNCTION("""COMPUTED_VALUE"""),"Pitto")</f>
        <v>Pitto</v>
      </c>
      <c r="F84" s="63">
        <f>IFERROR(__xludf.DUMMYFUNCTION("""COMPUTED_VALUE"""),41042.0)</f>
        <v>41042</v>
      </c>
    </row>
    <row r="85">
      <c r="A85" s="59" t="str">
        <f>IFERROR(__xludf.DUMMYFUNCTION("""COMPUTED_VALUE"""),"Autotrader")</f>
        <v>Autotrader</v>
      </c>
      <c r="B85" s="60" t="str">
        <f>IFERROR(__xludf.DUMMYFUNCTION("""COMPUTED_VALUE"""),"V.2.2.0")</f>
        <v>V.2.2.0</v>
      </c>
      <c r="C85" s="61" t="str">
        <f>IFERROR(__xludf.DUMMYFUNCTION("""COMPUTED_VALUE"""),"Yes")</f>
        <v>Yes</v>
      </c>
      <c r="D85" s="62" t="str">
        <f>IFERROR(__xludf.DUMMYFUNCTION("""COMPUTED_VALUE"""),"Works on vehicle check, usually £3.99")</f>
        <v>Works on vehicle check, usually £3.99</v>
      </c>
      <c r="E85" s="61" t="str">
        <f>IFERROR(__xludf.DUMMYFUNCTION("""COMPUTED_VALUE"""),"Stiggyb1234")</f>
        <v>Stiggyb1234</v>
      </c>
      <c r="F85" s="63">
        <f>IFERROR(__xludf.DUMMYFUNCTION("""COMPUTED_VALUE"""),41004.0)</f>
        <v>41004</v>
      </c>
    </row>
    <row r="86">
      <c r="A86" s="59" t="str">
        <f>IFERROR(__xludf.DUMMYFUNCTION("""COMPUTED_VALUE"""),"Babel Rising")</f>
        <v>Babel Rising</v>
      </c>
      <c r="B86" s="60"/>
      <c r="C86" s="61" t="str">
        <f>IFERROR(__xludf.DUMMYFUNCTION("""COMPUTED_VALUE"""),"Yes")</f>
        <v>Yes</v>
      </c>
      <c r="D86" s="62" t="str">
        <f>IFERROR(__xludf.DUMMYFUNCTION("""COMPUTED_VALUE"""),"Unlock all modes")</f>
        <v>Unlock all modes</v>
      </c>
      <c r="E86" s="61" t="str">
        <f>IFERROR(__xludf.DUMMYFUNCTION("""COMPUTED_VALUE"""),"playboy6006")</f>
        <v>playboy6006</v>
      </c>
      <c r="F86" s="63">
        <f>IFERROR(__xludf.DUMMYFUNCTION("""COMPUTED_VALUE"""),40887.0)</f>
        <v>40887</v>
      </c>
    </row>
    <row r="87">
      <c r="A87" s="59" t="str">
        <f>IFERROR(__xludf.DUMMYFUNCTION("""COMPUTED_VALUE"""),"Baby Madness")</f>
        <v>Baby Madness</v>
      </c>
      <c r="B87" s="60"/>
      <c r="C87" s="61" t="str">
        <f>IFERROR(__xludf.DUMMYFUNCTION("""COMPUTED_VALUE"""),"Yes")</f>
        <v>Yes</v>
      </c>
      <c r="D87" s="62"/>
      <c r="E87" s="61"/>
      <c r="F87" s="41"/>
    </row>
    <row r="88">
      <c r="A88" s="59" t="str">
        <f>IFERROR(__xludf.DUMMYFUNCTION("""COMPUTED_VALUE"""),"Baby TV (education)")</f>
        <v>Baby TV (education)</v>
      </c>
      <c r="B88" s="60"/>
      <c r="C88" s="61" t="str">
        <f>IFERROR(__xludf.DUMMYFUNCTION("""COMPUTED_VALUE"""),"Yes")</f>
        <v>Yes</v>
      </c>
      <c r="D88" s="62" t="str">
        <f>IFERROR(__xludf.DUMMYFUNCTION("""COMPUTED_VALUE"""),"Can download ALL EDUCATIONAL MOVIES ")</f>
        <v>Can download ALL EDUCATIONAL MOVIES </v>
      </c>
      <c r="E88" s="61" t="str">
        <f>IFERROR(__xludf.DUMMYFUNCTION("""COMPUTED_VALUE"""),"AZh")</f>
        <v>AZh</v>
      </c>
      <c r="F88" s="63">
        <f>IFERROR(__xludf.DUMMYFUNCTION("""COMPUTED_VALUE"""),41178.0)</f>
        <v>41178</v>
      </c>
    </row>
    <row r="89">
      <c r="A89" s="59" t="str">
        <f>IFERROR(__xludf.DUMMYFUNCTION("""COMPUTED_VALUE"""),"Bamboo Paper")</f>
        <v>Bamboo Paper</v>
      </c>
      <c r="B89" s="60"/>
      <c r="C89" s="61" t="str">
        <f>IFERROR(__xludf.DUMMYFUNCTION("""COMPUTED_VALUE"""),"Yes")</f>
        <v>Yes</v>
      </c>
      <c r="D89" s="62" t="str">
        <f>IFERROR(__xludf.DUMMYFUNCTION("""COMPUTED_VALUE"""),"Notebook Pack")</f>
        <v>Notebook Pack</v>
      </c>
      <c r="E89" s="61" t="str">
        <f>IFERROR(__xludf.DUMMYFUNCTION("""COMPUTED_VALUE"""),"Glisern")</f>
        <v>Glisern</v>
      </c>
      <c r="F89" s="63">
        <f>IFERROR(__xludf.DUMMYFUNCTION("""COMPUTED_VALUE"""),40903.0)</f>
        <v>40903</v>
      </c>
    </row>
    <row r="90">
      <c r="A90" s="59" t="str">
        <f>IFERROR(__xludf.DUMMYFUNCTION("""COMPUTED_VALUE"""),"Baseball Superstars II")</f>
        <v>Baseball Superstars II</v>
      </c>
      <c r="B90" s="60" t="str">
        <f>IFERROR(__xludf.DUMMYFUNCTION("""COMPUTED_VALUE"""),"1.0.4")</f>
        <v>1.0.4</v>
      </c>
      <c r="C90" s="61" t="str">
        <f>IFERROR(__xludf.DUMMYFUNCTION("""COMPUTED_VALUE"""),"Yes")</f>
        <v>Yes</v>
      </c>
      <c r="D90" s="62" t="str">
        <f>IFERROR(__xludf.DUMMYFUNCTION("""COMPUTED_VALUE"""),"Can buy Alots of G points and other purcharses")</f>
        <v>Can buy Alots of G points and other purcharses</v>
      </c>
      <c r="E90" s="61" t="str">
        <f>IFERROR(__xludf.DUMMYFUNCTION("""COMPUTED_VALUE"""),"Luizoe")</f>
        <v>Luizoe</v>
      </c>
      <c r="F90" s="63">
        <f>IFERROR(__xludf.DUMMYFUNCTION("""COMPUTED_VALUE"""),41159.0)</f>
        <v>41159</v>
      </c>
    </row>
    <row r="91">
      <c r="A91" s="59" t="str">
        <f>IFERROR(__xludf.DUMMYFUNCTION("""COMPUTED_VALUE"""),"Batman Arkham City Lockdown")</f>
        <v>Batman Arkham City Lockdown</v>
      </c>
      <c r="B91" s="60">
        <f>IFERROR(__xludf.DUMMYFUNCTION("""COMPUTED_VALUE"""),1.1)</f>
        <v>1.1</v>
      </c>
      <c r="C91" s="61" t="str">
        <f>IFERROR(__xludf.DUMMYFUNCTION("""COMPUTED_VALUE"""),"Yes")</f>
        <v>Yes</v>
      </c>
      <c r="D91" s="62" t="str">
        <f>IFERROR(__xludf.DUMMYFUNCTION("""COMPUTED_VALUE"""),"All purchases can be made in cracked version.  Need internet connection to do so")</f>
        <v>All purchases can be made in cracked version.  Need internet connection to do so</v>
      </c>
      <c r="E91" s="61"/>
      <c r="F91" s="41"/>
    </row>
    <row r="92">
      <c r="A92" s="59" t="str">
        <f>IFERROR(__xludf.DUMMYFUNCTION("""COMPUTED_VALUE"""),"Battery Watch Plus (free) v2.1.0 [iPhone]")</f>
        <v>Battery Watch Plus (free) v2.1.0 [iPhone]</v>
      </c>
      <c r="B92" s="60" t="str">
        <f>IFERROR(__xludf.DUMMYFUNCTION("""COMPUTED_VALUE"""),"2.1.0")</f>
        <v>2.1.0</v>
      </c>
      <c r="C92" s="61" t="str">
        <f>IFERROR(__xludf.DUMMYFUNCTION("""COMPUTED_VALUE"""),"Yes")</f>
        <v>Yes</v>
      </c>
      <c r="D92" s="62" t="str">
        <f>IFERROR(__xludf.DUMMYFUNCTION("""COMPUTED_VALUE"""),"Unlock Pro Features ($0.99)")</f>
        <v>Unlock Pro Features ($0.99)</v>
      </c>
      <c r="E92" s="61" t="str">
        <f>IFERROR(__xludf.DUMMYFUNCTION("""COMPUTED_VALUE"""),"DarkSkies")</f>
        <v>DarkSkies</v>
      </c>
      <c r="F92" s="63">
        <f>IFERROR(__xludf.DUMMYFUNCTION("""COMPUTED_VALUE"""),40947.0)</f>
        <v>40947</v>
      </c>
    </row>
    <row r="93">
      <c r="A93" s="59" t="str">
        <f>IFERROR(__xludf.DUMMYFUNCTION("""COMPUTED_VALUE"""),"Battle Bear Zombies!")</f>
        <v>Battle Bear Zombies!</v>
      </c>
      <c r="B93" s="60"/>
      <c r="C93" s="61" t="str">
        <f>IFERROR(__xludf.DUMMYFUNCTION("""COMPUTED_VALUE"""),"Yes")</f>
        <v>Yes</v>
      </c>
      <c r="D93" s="62" t="str">
        <f>IFERROR(__xludf.DUMMYFUNCTION("""COMPUTED_VALUE"""),"Ad removal")</f>
        <v>Ad removal</v>
      </c>
      <c r="E93" s="61" t="str">
        <f>IFERROR(__xludf.DUMMYFUNCTION("""COMPUTED_VALUE"""),"phatpham")</f>
        <v>phatpham</v>
      </c>
      <c r="F93" s="63">
        <f>IFERROR(__xludf.DUMMYFUNCTION("""COMPUTED_VALUE"""),40901.0)</f>
        <v>40901</v>
      </c>
    </row>
    <row r="94">
      <c r="A94" s="59" t="str">
        <f>IFERROR(__xludf.DUMMYFUNCTION("""COMPUTED_VALUE"""),"Battle Bears -1")</f>
        <v>Battle Bears -1</v>
      </c>
      <c r="B94" s="60"/>
      <c r="C94" s="61" t="str">
        <f>IFERROR(__xludf.DUMMYFUNCTION("""COMPUTED_VALUE"""),"Yes")</f>
        <v>Yes</v>
      </c>
      <c r="D94" s="62" t="str">
        <f>IFERROR(__xludf.DUMMYFUNCTION("""COMPUTED_VALUE"""),"Gets rid of ads &amp; gives you other stuff")</f>
        <v>Gets rid of ads &amp; gives you other stuff</v>
      </c>
      <c r="E94" s="61" t="str">
        <f>IFERROR(__xludf.DUMMYFUNCTION("""COMPUTED_VALUE"""),"PiggyAmmo")</f>
        <v>PiggyAmmo</v>
      </c>
      <c r="F94" s="63">
        <f>IFERROR(__xludf.DUMMYFUNCTION("""COMPUTED_VALUE"""),40961.0)</f>
        <v>40961</v>
      </c>
    </row>
    <row r="95">
      <c r="A95" s="59" t="str">
        <f>IFERROR(__xludf.DUMMYFUNCTION("""COMPUTED_VALUE"""),"Battle Fury")</f>
        <v>Battle Fury</v>
      </c>
      <c r="B95" s="60">
        <f>IFERROR(__xludf.DUMMYFUNCTION("""COMPUTED_VALUE"""),1.6)</f>
        <v>1.6</v>
      </c>
      <c r="C95" s="61" t="str">
        <f>IFERROR(__xludf.DUMMYFUNCTION("""COMPUTED_VALUE"""),"Yes")</f>
        <v>Yes</v>
      </c>
      <c r="D95" s="62" t="str">
        <f>IFERROR(__xludf.DUMMYFUNCTION("""COMPUTED_VALUE"""),"Works for buying gems, gold, etc.")</f>
        <v>Works for buying gems, gold, etc.</v>
      </c>
      <c r="E95" s="61" t="str">
        <f>IFERROR(__xludf.DUMMYFUNCTION("""COMPUTED_VALUE"""),"J")</f>
        <v>J</v>
      </c>
      <c r="F95" s="63">
        <f>IFERROR(__xludf.DUMMYFUNCTION("""COMPUTED_VALUE"""),40966.0)</f>
        <v>40966</v>
      </c>
    </row>
    <row r="96">
      <c r="A96" s="59" t="str">
        <f>IFERROR(__xludf.DUMMYFUNCTION("""COMPUTED_VALUE"""),"Battleground")</f>
        <v>Battleground</v>
      </c>
      <c r="B96" s="60"/>
      <c r="C96" s="61" t="str">
        <f>IFERROR(__xludf.DUMMYFUNCTION("""COMPUTED_VALUE"""),"Yes")</f>
        <v>Yes</v>
      </c>
      <c r="D96" s="62"/>
      <c r="E96" s="61"/>
      <c r="F96" s="41"/>
    </row>
    <row r="97">
      <c r="A97" s="59" t="str">
        <f>IFERROR(__xludf.DUMMYFUNCTION("""COMPUTED_VALUE"""),"Battleloot")</f>
        <v>Battleloot</v>
      </c>
      <c r="B97" s="60" t="str">
        <f>IFERROR(__xludf.DUMMYFUNCTION("""COMPUTED_VALUE"""),"1.0.4")</f>
        <v>1.0.4</v>
      </c>
      <c r="C97" s="61" t="str">
        <f>IFERROR(__xludf.DUMMYFUNCTION("""COMPUTED_VALUE"""),"Yes")</f>
        <v>Yes</v>
      </c>
      <c r="D97" s="62" t="str">
        <f>IFERROR(__xludf.DUMMYFUNCTION("""COMPUTED_VALUE"""),"Can Buy Coins")</f>
        <v>Can Buy Coins</v>
      </c>
      <c r="E97" s="61" t="str">
        <f>IFERROR(__xludf.DUMMYFUNCTION("""COMPUTED_VALUE"""),"NakedFury")</f>
        <v>NakedFury</v>
      </c>
      <c r="F97" s="63">
        <f>IFERROR(__xludf.DUMMYFUNCTION("""COMPUTED_VALUE"""),41099.0)</f>
        <v>41099</v>
      </c>
    </row>
    <row r="98">
      <c r="A98" s="59" t="str">
        <f>IFERROR(__xludf.DUMMYFUNCTION("""COMPUTED_VALUE"""),"Beat Hazard Ultra")</f>
        <v>Beat Hazard Ultra</v>
      </c>
      <c r="B98" s="60"/>
      <c r="C98" s="61" t="str">
        <f>IFERROR(__xludf.DUMMYFUNCTION("""COMPUTED_VALUE"""),"Yes")</f>
        <v>Yes</v>
      </c>
      <c r="D98" s="62"/>
      <c r="E98" s="61" t="str">
        <f>IFERROR(__xludf.DUMMYFUNCTION("""COMPUTED_VALUE"""),"SkHero")</f>
        <v>SkHero</v>
      </c>
      <c r="F98" s="63">
        <f>IFERROR(__xludf.DUMMYFUNCTION("""COMPUTED_VALUE"""),40952.0)</f>
        <v>40952</v>
      </c>
    </row>
    <row r="99">
      <c r="A99" s="59" t="str">
        <f>IFERROR(__xludf.DUMMYFUNCTION("""COMPUTED_VALUE"""),"Beatwave")</f>
        <v>Beatwave</v>
      </c>
      <c r="B99" s="60"/>
      <c r="C99" s="61" t="str">
        <f>IFERROR(__xludf.DUMMYFUNCTION("""COMPUTED_VALUE"""),"Yes")</f>
        <v>Yes</v>
      </c>
      <c r="D99" s="62" t="str">
        <f>IFERROR(__xludf.DUMMYFUNCTION("""COMPUTED_VALUE"""),"Able to download all song packs and loops well. No issues.")</f>
        <v>Able to download all song packs and loops well. No issues.</v>
      </c>
      <c r="E99" s="61" t="str">
        <f>IFERROR(__xludf.DUMMYFUNCTION("""COMPUTED_VALUE"""),"jeremy89632")</f>
        <v>jeremy89632</v>
      </c>
      <c r="F99" s="63">
        <f>IFERROR(__xludf.DUMMYFUNCTION("""COMPUTED_VALUE"""),40947.0)</f>
        <v>40947</v>
      </c>
    </row>
    <row r="100">
      <c r="A100" s="59" t="str">
        <f>IFERROR(__xludf.DUMMYFUNCTION("""COMPUTED_VALUE"""),"Beejive GT")</f>
        <v>Beejive GT</v>
      </c>
      <c r="B100" s="60"/>
      <c r="C100" s="61" t="str">
        <f>IFERROR(__xludf.DUMMYFUNCTION("""COMPUTED_VALUE"""),"Yes")</f>
        <v>Yes</v>
      </c>
      <c r="D100" s="62"/>
      <c r="E100" s="61" t="str">
        <f>IFERROR(__xludf.DUMMYFUNCTION("""COMPUTED_VALUE"""),"lex")</f>
        <v>lex</v>
      </c>
      <c r="F100" s="63">
        <f>IFERROR(__xludf.DUMMYFUNCTION("""COMPUTED_VALUE"""),40905.0)</f>
        <v>40905</v>
      </c>
    </row>
    <row r="101">
      <c r="A101" s="59" t="str">
        <f>IFERROR(__xludf.DUMMYFUNCTION("""COMPUTED_VALUE"""),"BeejiveIM for Facebook")</f>
        <v>BeejiveIM for Facebook</v>
      </c>
      <c r="B101" s="60"/>
      <c r="C101" s="61" t="str">
        <f>IFERROR(__xludf.DUMMYFUNCTION("""COMPUTED_VALUE"""),"Yes")</f>
        <v>Yes</v>
      </c>
      <c r="D101" s="62"/>
      <c r="E101" s="61" t="str">
        <f>IFERROR(__xludf.DUMMYFUNCTION("""COMPUTED_VALUE"""),"Kaydin")</f>
        <v>Kaydin</v>
      </c>
      <c r="F101" s="63">
        <f>IFERROR(__xludf.DUMMYFUNCTION("""COMPUTED_VALUE"""),40792.0)</f>
        <v>40792</v>
      </c>
    </row>
    <row r="102">
      <c r="A102" s="59" t="str">
        <f>IFERROR(__xludf.DUMMYFUNCTION("""COMPUTED_VALUE"""),"Belly Jam")</f>
        <v>Belly Jam</v>
      </c>
      <c r="B102" s="60"/>
      <c r="C102" s="61" t="str">
        <f>IFERROR(__xludf.DUMMYFUNCTION("""COMPUTED_VALUE"""),"Yes")</f>
        <v>Yes</v>
      </c>
      <c r="D102" s="62"/>
      <c r="E102" s="61" t="str">
        <f>IFERROR(__xludf.DUMMYFUNCTION("""COMPUTED_VALUE"""),"vidolaem")</f>
        <v>vidolaem</v>
      </c>
      <c r="F102" s="63">
        <f>IFERROR(__xludf.DUMMYFUNCTION("""COMPUTED_VALUE"""),40923.0)</f>
        <v>40923</v>
      </c>
    </row>
    <row r="103">
      <c r="A103" s="59" t="str">
        <f>IFERROR(__xludf.DUMMYFUNCTION("""COMPUTED_VALUE"""),"Bible+")</f>
        <v>Bible+</v>
      </c>
      <c r="B103" s="60"/>
      <c r="C103" s="61" t="str">
        <f>IFERROR(__xludf.DUMMYFUNCTION("""COMPUTED_VALUE"""),"Yes")</f>
        <v>Yes</v>
      </c>
      <c r="D103" s="62"/>
      <c r="E103" s="61" t="str">
        <f>IFERROR(__xludf.DUMMYFUNCTION("""COMPUTED_VALUE"""),"chowlala")</f>
        <v>chowlala</v>
      </c>
      <c r="F103" s="63">
        <f>IFERROR(__xludf.DUMMYFUNCTION("""COMPUTED_VALUE"""),40946.0)</f>
        <v>40946</v>
      </c>
    </row>
    <row r="104">
      <c r="A104" s="59" t="str">
        <f>IFERROR(__xludf.DUMMYFUNCTION("""COMPUTED_VALUE"""),"Bieber Find
")</f>
        <v>Bieber Find
</v>
      </c>
      <c r="B104" s="60"/>
      <c r="C104" s="61" t="str">
        <f>IFERROR(__xludf.DUMMYFUNCTION("""COMPUTED_VALUE"""),"Yes")</f>
        <v>Yes</v>
      </c>
      <c r="D104" s="62"/>
      <c r="E104" s="61" t="str">
        <f>IFERROR(__xludf.DUMMYFUNCTION("""COMPUTED_VALUE"""),"zus")</f>
        <v>zus</v>
      </c>
      <c r="F104" s="63">
        <f>IFERROR(__xludf.DUMMYFUNCTION("""COMPUTED_VALUE"""),40946.0)</f>
        <v>40946</v>
      </c>
    </row>
    <row r="105">
      <c r="A105" s="59" t="str">
        <f>IFERROR(__xludf.DUMMYFUNCTION("""COMPUTED_VALUE"""),"Bieber Photo Me
")</f>
        <v>Bieber Photo Me
</v>
      </c>
      <c r="B105" s="60"/>
      <c r="C105" s="61" t="str">
        <f>IFERROR(__xludf.DUMMYFUNCTION("""COMPUTED_VALUE"""),"Yes")</f>
        <v>Yes</v>
      </c>
      <c r="D105" s="62"/>
      <c r="E105" s="61" t="str">
        <f>IFERROR(__xludf.DUMMYFUNCTION("""COMPUTED_VALUE"""),"zus")</f>
        <v>zus</v>
      </c>
      <c r="F105" s="63">
        <f>IFERROR(__xludf.DUMMYFUNCTION("""COMPUTED_VALUE"""),40946.0)</f>
        <v>40946</v>
      </c>
    </row>
    <row r="106">
      <c r="A106" s="59" t="str">
        <f>IFERROR(__xludf.DUMMYFUNCTION("""COMPUTED_VALUE"""),"Bieber Spot
")</f>
        <v>Bieber Spot
</v>
      </c>
      <c r="B106" s="60"/>
      <c r="C106" s="61" t="str">
        <f>IFERROR(__xludf.DUMMYFUNCTION("""COMPUTED_VALUE"""),"Yes")</f>
        <v>Yes</v>
      </c>
      <c r="D106" s="62"/>
      <c r="E106" s="61" t="str">
        <f>IFERROR(__xludf.DUMMYFUNCTION("""COMPUTED_VALUE"""),"zus")</f>
        <v>zus</v>
      </c>
      <c r="F106" s="63">
        <f>IFERROR(__xludf.DUMMYFUNCTION("""COMPUTED_VALUE"""),40946.0)</f>
        <v>40946</v>
      </c>
    </row>
    <row r="107">
      <c r="A107" s="59" t="str">
        <f>IFERROR(__xludf.DUMMYFUNCTION("""COMPUTED_VALUE"""),"Big Fish Games (Especially Hidden Objects)")</f>
        <v>Big Fish Games (Especially Hidden Objects)</v>
      </c>
      <c r="B107" s="60"/>
      <c r="C107" s="61" t="str">
        <f>IFERROR(__xludf.DUMMYFUNCTION("""COMPUTED_VALUE"""),"Yes")</f>
        <v>Yes</v>
      </c>
      <c r="D107" s="62" t="str">
        <f>IFERROR(__xludf.DUMMYFUNCTION("""COMPUTED_VALUE"""),"All in app purchases work, including unlock &amp; collector edition unlock")</f>
        <v>All in app purchases work, including unlock &amp; collector edition unlock</v>
      </c>
      <c r="E107" s="61" t="str">
        <f>IFERROR(__xludf.DUMMYFUNCTION("""COMPUTED_VALUE"""),"Guk")</f>
        <v>Guk</v>
      </c>
      <c r="F107" s="63">
        <f>IFERROR(__xludf.DUMMYFUNCTION("""COMPUTED_VALUE"""),40881.0)</f>
        <v>40881</v>
      </c>
    </row>
    <row r="108">
      <c r="A108" s="59" t="str">
        <f>IFERROR(__xludf.DUMMYFUNCTION("""COMPUTED_VALUE"""),"Big Time Gangsta")</f>
        <v>Big Time Gangsta</v>
      </c>
      <c r="B108" s="60"/>
      <c r="C108" s="61" t="str">
        <f>IFERROR(__xludf.DUMMYFUNCTION("""COMPUTED_VALUE"""),"Yes")</f>
        <v>Yes</v>
      </c>
      <c r="D108" s="62" t="str">
        <f>IFERROR(__xludf.DUMMYFUNCTION("""COMPUTED_VALUE"""),"Buy Everything perfect!")</f>
        <v>Buy Everything perfect!</v>
      </c>
      <c r="E108" s="61" t="str">
        <f>IFERROR(__xludf.DUMMYFUNCTION("""COMPUTED_VALUE"""),"Karmazz")</f>
        <v>Karmazz</v>
      </c>
      <c r="F108" s="63">
        <f>IFERROR(__xludf.DUMMYFUNCTION("""COMPUTED_VALUE"""),40928.0)</f>
        <v>40928</v>
      </c>
    </row>
    <row r="109">
      <c r="A109" s="59" t="str">
        <f>IFERROR(__xludf.DUMMYFUNCTION("""COMPUTED_VALUE"""),"Bike Baron")</f>
        <v>Bike Baron</v>
      </c>
      <c r="B109" s="60"/>
      <c r="C109" s="61" t="str">
        <f>IFERROR(__xludf.DUMMYFUNCTION("""COMPUTED_VALUE"""),"Yes")</f>
        <v>Yes</v>
      </c>
      <c r="D109" s="62" t="str">
        <f>IFERROR(__xludf.DUMMYFUNCTION("""COMPUTED_VALUE"""),"Works perfectly for all purchases")</f>
        <v>Works perfectly for all purchases</v>
      </c>
      <c r="E109" s="61" t="str">
        <f>IFERROR(__xludf.DUMMYFUNCTION("""COMPUTED_VALUE"""),"niteshade")</f>
        <v>niteshade</v>
      </c>
      <c r="F109" s="63">
        <f>IFERROR(__xludf.DUMMYFUNCTION("""COMPUTED_VALUE"""),40946.0)</f>
        <v>40946</v>
      </c>
    </row>
    <row r="110">
      <c r="A110" s="59" t="str">
        <f>IFERROR(__xludf.DUMMYFUNCTION("""COMPUTED_VALUE"""),"Bike Mania")</f>
        <v>Bike Mania</v>
      </c>
      <c r="B110" s="60"/>
      <c r="C110" s="61" t="str">
        <f>IFERROR(__xludf.DUMMYFUNCTION("""COMPUTED_VALUE"""),"Yes")</f>
        <v>Yes</v>
      </c>
      <c r="D110" s="62" t="str">
        <f>IFERROR(__xludf.DUMMYFUNCTION("""COMPUTED_VALUE"""),"Unlock all levels")</f>
        <v>Unlock all levels</v>
      </c>
      <c r="E110" s="61" t="str">
        <f>IFERROR(__xludf.DUMMYFUNCTION("""COMPUTED_VALUE"""),"BoLaS")</f>
        <v>BoLaS</v>
      </c>
      <c r="F110" s="63">
        <f>IFERROR(__xludf.DUMMYFUNCTION("""COMPUTED_VALUE"""),40912.0)</f>
        <v>40912</v>
      </c>
    </row>
    <row r="111">
      <c r="A111" s="59" t="str">
        <f>IFERROR(__xludf.DUMMYFUNCTION("""COMPUTED_VALUE"""),"Bird Zapper!")</f>
        <v>Bird Zapper!</v>
      </c>
      <c r="B111" s="60"/>
      <c r="C111" s="61" t="str">
        <f>IFERROR(__xludf.DUMMYFUNCTION("""COMPUTED_VALUE"""),"Yes")</f>
        <v>Yes</v>
      </c>
      <c r="D111" s="62" t="str">
        <f>IFERROR(__xludf.DUMMYFUNCTION("""COMPUTED_VALUE"""),"Can buy all battery charge")</f>
        <v>Can buy all battery charge</v>
      </c>
      <c r="E111" s="61"/>
      <c r="F111" s="41"/>
    </row>
    <row r="112">
      <c r="A112" s="59" t="str">
        <f>IFERROR(__xludf.DUMMYFUNCTION("""COMPUTED_VALUE"""),"Blackjack")</f>
        <v>Blackjack</v>
      </c>
      <c r="B112" s="60"/>
      <c r="C112" s="61" t="str">
        <f>IFERROR(__xludf.DUMMYFUNCTION("""COMPUTED_VALUE"""),"Yes")</f>
        <v>Yes</v>
      </c>
      <c r="D112" s="62" t="str">
        <f>IFERROR(__xludf.DUMMYFUNCTION("""COMPUTED_VALUE"""),"You can buy all of the chips! Works fine!")</f>
        <v>You can buy all of the chips! Works fine!</v>
      </c>
      <c r="E112" s="61" t="str">
        <f>IFERROR(__xludf.DUMMYFUNCTION("""COMPUTED_VALUE"""),"cars1806")</f>
        <v>cars1806</v>
      </c>
      <c r="F112" s="63">
        <f>IFERROR(__xludf.DUMMYFUNCTION("""COMPUTED_VALUE"""),40927.0)</f>
        <v>40927</v>
      </c>
    </row>
    <row r="113">
      <c r="A113" s="59" t="str">
        <f>IFERROR(__xludf.DUMMYFUNCTION("""COMPUTED_VALUE"""),"Blade Of Darkness ")</f>
        <v>Blade Of Darkness </v>
      </c>
      <c r="B113" s="60"/>
      <c r="C113" s="61" t="str">
        <f>IFERROR(__xludf.DUMMYFUNCTION("""COMPUTED_VALUE"""),"Yes")</f>
        <v>Yes</v>
      </c>
      <c r="D113" s="62"/>
      <c r="E113" s="61" t="str">
        <f>IFERROR(__xludf.DUMMYFUNCTION("""COMPUTED_VALUE"""),"ShaunLQZ")</f>
        <v>ShaunLQZ</v>
      </c>
      <c r="F113" s="63">
        <f>IFERROR(__xludf.DUMMYFUNCTION("""COMPUTED_VALUE"""),40918.0)</f>
        <v>40918</v>
      </c>
    </row>
    <row r="114">
      <c r="A114" s="59" t="str">
        <f>IFERROR(__xludf.DUMMYFUNCTION("""COMPUTED_VALUE"""),"Blobster")</f>
        <v>Blobster</v>
      </c>
      <c r="B114" s="60"/>
      <c r="C114" s="61" t="str">
        <f>IFERROR(__xludf.DUMMYFUNCTION("""COMPUTED_VALUE"""),"Yes")</f>
        <v>Yes</v>
      </c>
      <c r="D114" s="62"/>
      <c r="E114" s="61" t="str">
        <f>IFERROR(__xludf.DUMMYFUNCTION("""COMPUTED_VALUE"""),"luudaigiang")</f>
        <v>luudaigiang</v>
      </c>
      <c r="F114" s="41"/>
    </row>
    <row r="115">
      <c r="A115" s="59" t="str">
        <f>IFERROR(__xludf.DUMMYFUNCTION("""COMPUTED_VALUE"""),"Blockwick")</f>
        <v>Blockwick</v>
      </c>
      <c r="B115" s="60"/>
      <c r="C115" s="61" t="str">
        <f>IFERROR(__xludf.DUMMYFUNCTION("""COMPUTED_VALUE"""),"Yes")</f>
        <v>Yes</v>
      </c>
      <c r="D115" s="62" t="str">
        <f>IFERROR(__xludf.DUMMYFUNCTION("""COMPUTED_VALUE"""),"Can buy every pack")</f>
        <v>Can buy every pack</v>
      </c>
      <c r="E115" s="61"/>
      <c r="F115" s="63">
        <f>IFERROR(__xludf.DUMMYFUNCTION("""COMPUTED_VALUE"""),40899.0)</f>
        <v>40899</v>
      </c>
    </row>
    <row r="116">
      <c r="A116" s="59" t="str">
        <f>IFERROR(__xludf.DUMMYFUNCTION("""COMPUTED_VALUE"""),"Blood &amp; Glory (Blood and Glory)")</f>
        <v>Blood &amp; Glory (Blood and Glory)</v>
      </c>
      <c r="B116" s="60" t="str">
        <f>IFERROR(__xludf.DUMMYFUNCTION("""COMPUTED_VALUE"""),"1.1.0")</f>
        <v>1.1.0</v>
      </c>
      <c r="C116" s="61" t="str">
        <f>IFERROR(__xludf.DUMMYFUNCTION("""COMPUTED_VALUE"""),"Yes")</f>
        <v>Yes</v>
      </c>
      <c r="D116" s="62" t="str">
        <f>IFERROR(__xludf.DUMMYFUNCTION("""COMPUTED_VALUE"""),"
")</f>
        <v>
</v>
      </c>
      <c r="E116" s="61" t="str">
        <f>IFERROR(__xludf.DUMMYFUNCTION("""COMPUTED_VALUE"""),"Ninja")</f>
        <v>Ninja</v>
      </c>
      <c r="F116" s="63">
        <f>IFERROR(__xludf.DUMMYFUNCTION("""COMPUTED_VALUE"""),40960.0)</f>
        <v>40960</v>
      </c>
    </row>
    <row r="117">
      <c r="A117" s="59" t="str">
        <f>IFERROR(__xludf.DUMMYFUNCTION("""COMPUTED_VALUE"""),"Bloons 2")</f>
        <v>Bloons 2</v>
      </c>
      <c r="B117" s="60"/>
      <c r="C117" s="61" t="str">
        <f>IFERROR(__xludf.DUMMYFUNCTION("""COMPUTED_VALUE"""),"Yes")</f>
        <v>Yes</v>
      </c>
      <c r="D117" s="62" t="str">
        <f>IFERROR(__xludf.DUMMYFUNCTION("""COMPUTED_VALUE"""),"Able to purchase infinite solutions + skips")</f>
        <v>Able to purchase infinite solutions + skips</v>
      </c>
      <c r="E117" s="61" t="str">
        <f>IFERROR(__xludf.DUMMYFUNCTION("""COMPUTED_VALUE"""),"ThePreserver")</f>
        <v>ThePreserver</v>
      </c>
      <c r="F117" s="63">
        <f>IFERROR(__xludf.DUMMYFUNCTION("""COMPUTED_VALUE"""),40894.0)</f>
        <v>40894</v>
      </c>
    </row>
    <row r="118">
      <c r="A118" s="59" t="str">
        <f>IFERROR(__xludf.DUMMYFUNCTION("""COMPUTED_VALUE"""),"Bloons TD 4")</f>
        <v>Bloons TD 4</v>
      </c>
      <c r="B118" s="60"/>
      <c r="C118" s="61" t="str">
        <f>IFERROR(__xludf.DUMMYFUNCTION("""COMPUTED_VALUE"""),"Yes")</f>
        <v>Yes</v>
      </c>
      <c r="D118" s="62" t="str">
        <f>IFERROR(__xludf.DUMMYFUNCTION("""COMPUTED_VALUE"""),"It unlocks all the upgrades")</f>
        <v>It unlocks all the upgrades</v>
      </c>
      <c r="E118" s="61" t="str">
        <f>IFERROR(__xludf.DUMMYFUNCTION("""COMPUTED_VALUE"""),"Modreducks")</f>
        <v>Modreducks</v>
      </c>
      <c r="F118" s="63">
        <f>IFERROR(__xludf.DUMMYFUNCTION("""COMPUTED_VALUE"""),40897.0)</f>
        <v>40897</v>
      </c>
    </row>
    <row r="119">
      <c r="A119" s="59" t="str">
        <f>IFERROR(__xludf.DUMMYFUNCTION("""COMPUTED_VALUE"""),"Bloons TD 4")</f>
        <v>Bloons TD 4</v>
      </c>
      <c r="B119" s="60">
        <f>IFERROR(__xludf.DUMMYFUNCTION("""COMPUTED_VALUE"""),2.9)</f>
        <v>2.9</v>
      </c>
      <c r="C119" s="61" t="str">
        <f>IFERROR(__xludf.DUMMYFUNCTION("""COMPUTED_VALUE"""),"Yes")</f>
        <v>Yes</v>
      </c>
      <c r="D119" s="62" t="str">
        <f>IFERROR(__xludf.DUMMYFUNCTION("""COMPUTED_VALUE"""),"Unlocks all upgrades and extreme maps")</f>
        <v>Unlocks all upgrades and extreme maps</v>
      </c>
      <c r="E119" s="61" t="str">
        <f>IFERROR(__xludf.DUMMYFUNCTION("""COMPUTED_VALUE"""),"BraveTitan22")</f>
        <v>BraveTitan22</v>
      </c>
      <c r="F119" s="63">
        <f>IFERROR(__xludf.DUMMYFUNCTION("""COMPUTED_VALUE"""),40967.0)</f>
        <v>40967</v>
      </c>
    </row>
    <row r="120">
      <c r="A120" s="59" t="str">
        <f>IFERROR(__xludf.DUMMYFUNCTION("""COMPUTED_VALUE"""),"Blueprint 3D HD")</f>
        <v>Blueprint 3D HD</v>
      </c>
      <c r="B120" s="60"/>
      <c r="C120" s="61" t="str">
        <f>IFERROR(__xludf.DUMMYFUNCTION("""COMPUTED_VALUE"""),"Yes")</f>
        <v>Yes</v>
      </c>
      <c r="D120" s="62"/>
      <c r="E120" s="61" t="str">
        <f>IFERROR(__xludf.DUMMYFUNCTION("""COMPUTED_VALUE"""),"Guk")</f>
        <v>Guk</v>
      </c>
      <c r="F120" s="63">
        <f>IFERROR(__xludf.DUMMYFUNCTION("""COMPUTED_VALUE"""),40881.0)</f>
        <v>40881</v>
      </c>
    </row>
    <row r="121">
      <c r="A121" s="59" t="str">
        <f>IFERROR(__xludf.DUMMYFUNCTION("""COMPUTED_VALUE"""),"Boinga")</f>
        <v>Boinga</v>
      </c>
      <c r="B121" s="60"/>
      <c r="C121" s="61" t="str">
        <f>IFERROR(__xludf.DUMMYFUNCTION("""COMPUTED_VALUE"""),"Yes")</f>
        <v>Yes</v>
      </c>
      <c r="D121" s="62" t="str">
        <f>IFERROR(__xludf.DUMMYFUNCTION("""COMPUTED_VALUE"""),"purchase credits")</f>
        <v>purchase credits</v>
      </c>
      <c r="E121" s="61" t="str">
        <f>IFERROR(__xludf.DUMMYFUNCTION("""COMPUTED_VALUE"""),"ZaizenK")</f>
        <v>ZaizenK</v>
      </c>
      <c r="F121" s="63">
        <f>IFERROR(__xludf.DUMMYFUNCTION("""COMPUTED_VALUE"""),40894.0)</f>
        <v>40894</v>
      </c>
    </row>
    <row r="122">
      <c r="A122" s="59" t="str">
        <f>IFERROR(__xludf.DUMMYFUNCTION("""COMPUTED_VALUE"""),"Boss Battles")</f>
        <v>Boss Battles</v>
      </c>
      <c r="B122" s="60"/>
      <c r="C122" s="61" t="str">
        <f>IFERROR(__xludf.DUMMYFUNCTION("""COMPUTED_VALUE"""),"Yes")</f>
        <v>Yes</v>
      </c>
      <c r="D122" s="62" t="str">
        <f>IFERROR(__xludf.DUMMYFUNCTION("""COMPUTED_VALUE"""),"Able to buy gems.")</f>
        <v>Able to buy gems.</v>
      </c>
      <c r="E122" s="61" t="str">
        <f>IFERROR(__xludf.DUMMYFUNCTION("""COMPUTED_VALUE"""),"Aarian")</f>
        <v>Aarian</v>
      </c>
      <c r="F122" s="63">
        <f>IFERROR(__xludf.DUMMYFUNCTION("""COMPUTED_VALUE"""),40896.0)</f>
        <v>40896</v>
      </c>
    </row>
    <row r="123">
      <c r="A123" s="59" t="str">
        <f>IFERROR(__xludf.DUMMYFUNCTION("""COMPUTED_VALUE"""),"Bouncy Penguin HD")</f>
        <v>Bouncy Penguin HD</v>
      </c>
      <c r="B123" s="60"/>
      <c r="C123" s="61" t="str">
        <f>IFERROR(__xludf.DUMMYFUNCTION("""COMPUTED_VALUE"""),"Yes")</f>
        <v>Yes</v>
      </c>
      <c r="D123" s="62" t="str">
        <f>IFERROR(__xludf.DUMMYFUNCTION("""COMPUTED_VALUE"""),"All in app purchases work ")</f>
        <v>All in app purchases work </v>
      </c>
      <c r="E123" s="61" t="str">
        <f>IFERROR(__xludf.DUMMYFUNCTION("""COMPUTED_VALUE"""),"Vista2k7")</f>
        <v>Vista2k7</v>
      </c>
      <c r="F123" s="63">
        <f>IFERROR(__xludf.DUMMYFUNCTION("""COMPUTED_VALUE"""),40926.0)</f>
        <v>40926</v>
      </c>
    </row>
    <row r="124">
      <c r="A124" s="59" t="str">
        <f>IFERROR(__xludf.DUMMYFUNCTION("""COMPUTED_VALUE"""),"Boxcar")</f>
        <v>Boxcar</v>
      </c>
      <c r="B124" s="60"/>
      <c r="C124" s="61" t="str">
        <f>IFERROR(__xludf.DUMMYFUNCTION("""COMPUTED_VALUE"""),"Yes")</f>
        <v>Yes</v>
      </c>
      <c r="D124" s="62" t="str">
        <f>IFERROR(__xludf.DUMMYFUNCTION("""COMPUTED_VALUE"""),"Purchase to disable ads. Think it worked.")</f>
        <v>Purchase to disable ads. Think it worked.</v>
      </c>
      <c r="E124" s="61" t="str">
        <f>IFERROR(__xludf.DUMMYFUNCTION("""COMPUTED_VALUE"""),"iamse7en")</f>
        <v>iamse7en</v>
      </c>
      <c r="F124" s="63">
        <f>IFERROR(__xludf.DUMMYFUNCTION("""COMPUTED_VALUE"""),40937.0)</f>
        <v>40937</v>
      </c>
    </row>
    <row r="125">
      <c r="A125" s="59" t="str">
        <f>IFERROR(__xludf.DUMMYFUNCTION("""COMPUTED_VALUE"""),"Boxman HD")</f>
        <v>Boxman HD</v>
      </c>
      <c r="B125" s="60"/>
      <c r="C125" s="61" t="str">
        <f>IFERROR(__xludf.DUMMYFUNCTION("""COMPUTED_VALUE"""),"Yes")</f>
        <v>Yes</v>
      </c>
      <c r="D125" s="62" t="str">
        <f>IFERROR(__xludf.DUMMYFUNCTION("""COMPUTED_VALUE"""),"Can buy more ""initial money""")</f>
        <v>Can buy more "initial money"</v>
      </c>
      <c r="E125" s="61" t="str">
        <f>IFERROR(__xludf.DUMMYFUNCTION("""COMPUTED_VALUE"""),"chowlala")</f>
        <v>chowlala</v>
      </c>
      <c r="F125" s="63">
        <f>IFERROR(__xludf.DUMMYFUNCTION("""COMPUTED_VALUE"""),40951.0)</f>
        <v>40951</v>
      </c>
    </row>
    <row r="126">
      <c r="A126" s="59" t="str">
        <f>IFERROR(__xludf.DUMMYFUNCTION("""COMPUTED_VALUE"""),"Braveheart")</f>
        <v>Braveheart</v>
      </c>
      <c r="B126" s="60"/>
      <c r="C126" s="61" t="str">
        <f>IFERROR(__xludf.DUMMYFUNCTION("""COMPUTED_VALUE"""),"Yes")</f>
        <v>Yes</v>
      </c>
      <c r="D126" s="62" t="str">
        <f>IFERROR(__xludf.DUMMYFUNCTION("""COMPUTED_VALUE"""),"Unlocks the new content also able to purchase gold and boost gold drop rate")</f>
        <v>Unlocks the new content also able to purchase gold and boost gold drop rate</v>
      </c>
      <c r="E126" s="61"/>
      <c r="F126" s="41"/>
    </row>
    <row r="127">
      <c r="A127" s="59" t="str">
        <f>IFERROR(__xludf.DUMMYFUNCTION("""COMPUTED_VALUE"""),"Break &amp; Crack it !")</f>
        <v>Break &amp; Crack it !</v>
      </c>
      <c r="B127" s="60"/>
      <c r="C127" s="61" t="str">
        <f>IFERROR(__xludf.DUMMYFUNCTION("""COMPUTED_VALUE"""),"Yes")</f>
        <v>Yes</v>
      </c>
      <c r="D127" s="62"/>
      <c r="E127" s="61" t="str">
        <f>IFERROR(__xludf.DUMMYFUNCTION("""COMPUTED_VALUE"""),"Greek-Immortal")</f>
        <v>Greek-Immortal</v>
      </c>
      <c r="F127" s="63">
        <f>IFERROR(__xludf.DUMMYFUNCTION("""COMPUTED_VALUE"""),40915.0)</f>
        <v>40915</v>
      </c>
    </row>
    <row r="128">
      <c r="A128" s="59" t="str">
        <f>IFERROR(__xludf.DUMMYFUNCTION("""COMPUTED_VALUE"""),"BREAKOUT")</f>
        <v>BREAKOUT</v>
      </c>
      <c r="B128" s="60"/>
      <c r="C128" s="61" t="str">
        <f>IFERROR(__xludf.DUMMYFUNCTION("""COMPUTED_VALUE"""),"Yes")</f>
        <v>Yes</v>
      </c>
      <c r="D128" s="62" t="str">
        <f>IFERROR(__xludf.DUMMYFUNCTION("""COMPUTED_VALUE"""),"Purchase additional levels")</f>
        <v>Purchase additional levels</v>
      </c>
      <c r="E128" s="61" t="str">
        <f>IFERROR(__xludf.DUMMYFUNCTION("""COMPUTED_VALUE"""),"Duces")</f>
        <v>Duces</v>
      </c>
      <c r="F128" s="63">
        <f>IFERROR(__xludf.DUMMYFUNCTION("""COMPUTED_VALUE"""),40898.0)</f>
        <v>40898</v>
      </c>
    </row>
    <row r="129">
      <c r="A129" s="59" t="str">
        <f>IFERROR(__xludf.DUMMYFUNCTION("""COMPUTED_VALUE"""),"Bria (iPhone Edition)")</f>
        <v>Bria (iPhone Edition)</v>
      </c>
      <c r="B129" s="60"/>
      <c r="C129" s="61" t="str">
        <f>IFERROR(__xludf.DUMMYFUNCTION("""COMPUTED_VALUE"""),"Yes")</f>
        <v>Yes</v>
      </c>
      <c r="D129" s="62" t="str">
        <f>IFERROR(__xludf.DUMMYFUNCTION("""COMPUTED_VALUE"""),"All Premium Features (Codec, Messenger)")</f>
        <v>All Premium Features (Codec, Messenger)</v>
      </c>
      <c r="E129" s="61" t="str">
        <f>IFERROR(__xludf.DUMMYFUNCTION("""COMPUTED_VALUE"""),"D3LTA")</f>
        <v>D3LTA</v>
      </c>
      <c r="F129" s="63">
        <f>IFERROR(__xludf.DUMMYFUNCTION("""COMPUTED_VALUE"""),40925.0)</f>
        <v>40925</v>
      </c>
    </row>
    <row r="130">
      <c r="A130" s="59" t="str">
        <f>IFERROR(__xludf.DUMMYFUNCTION("""COMPUTED_VALUE"""),"British medical journal")</f>
        <v>British medical journal</v>
      </c>
      <c r="B130" s="60"/>
      <c r="C130" s="61" t="str">
        <f>IFERROR(__xludf.DUMMYFUNCTION("""COMPUTED_VALUE"""),"Yes")</f>
        <v>Yes</v>
      </c>
      <c r="D130" s="62" t="str">
        <f>IFERROR(__xludf.DUMMYFUNCTION("""COMPUTED_VALUE"""),"Purchases and download every issue")</f>
        <v>Purchases and download every issue</v>
      </c>
      <c r="E130" s="61" t="str">
        <f>IFERROR(__xludf.DUMMYFUNCTION("""COMPUTED_VALUE"""),"Pegsk")</f>
        <v>Pegsk</v>
      </c>
      <c r="F130" s="63">
        <f>IFERROR(__xludf.DUMMYFUNCTION("""COMPUTED_VALUE"""),40828.0)</f>
        <v>40828</v>
      </c>
    </row>
    <row r="131">
      <c r="A131" s="59" t="str">
        <f>IFERROR(__xludf.DUMMYFUNCTION("""COMPUTED_VALUE"""),"Bubble Bust ")</f>
        <v>Bubble Bust </v>
      </c>
      <c r="B131" s="60"/>
      <c r="C131" s="61" t="str">
        <f>IFERROR(__xludf.DUMMYFUNCTION("""COMPUTED_VALUE"""),"Yes")</f>
        <v>Yes</v>
      </c>
      <c r="D131" s="62" t="str">
        <f>IFERROR(__xludf.DUMMYFUNCTION("""COMPUTED_VALUE"""),"PURCHASE ANYTHING IN THE POWER UP STORE")</f>
        <v>PURCHASE ANYTHING IN THE POWER UP STORE</v>
      </c>
      <c r="E131" s="61" t="str">
        <f>IFERROR(__xludf.DUMMYFUNCTION("""COMPUTED_VALUE"""),"Azh")</f>
        <v>Azh</v>
      </c>
      <c r="F131" s="63">
        <f>IFERROR(__xludf.DUMMYFUNCTION("""COMPUTED_VALUE"""),41178.0)</f>
        <v>41178</v>
      </c>
    </row>
    <row r="132">
      <c r="A132" s="59" t="str">
        <f>IFERROR(__xludf.DUMMYFUNCTION("""COMPUTED_VALUE"""),"Bubble Bust!")</f>
        <v>Bubble Bust!</v>
      </c>
      <c r="B132" s="60"/>
      <c r="C132" s="61" t="str">
        <f>IFERROR(__xludf.DUMMYFUNCTION("""COMPUTED_VALUE"""),"Yes")</f>
        <v>Yes</v>
      </c>
      <c r="D132" s="62" t="str">
        <f>IFERROR(__xludf.DUMMYFUNCTION("""COMPUTED_VALUE"""),"Works fine!")</f>
        <v>Works fine!</v>
      </c>
      <c r="E132" s="61" t="str">
        <f>IFERROR(__xludf.DUMMYFUNCTION("""COMPUTED_VALUE"""),"[Ars]Giang")</f>
        <v>[Ars]Giang</v>
      </c>
      <c r="F132" s="63">
        <f>IFERROR(__xludf.DUMMYFUNCTION("""COMPUTED_VALUE"""),40920.0)</f>
        <v>40920</v>
      </c>
    </row>
    <row r="133">
      <c r="A133" s="59" t="str">
        <f>IFERROR(__xludf.DUMMYFUNCTION("""COMPUTED_VALUE"""),"Bull Mouse")</f>
        <v>Bull Mouse</v>
      </c>
      <c r="B133" s="60"/>
      <c r="C133" s="61" t="str">
        <f>IFERROR(__xludf.DUMMYFUNCTION("""COMPUTED_VALUE"""),"Yes")</f>
        <v>Yes</v>
      </c>
      <c r="D133" s="62" t="str">
        <f>IFERROR(__xludf.DUMMYFUNCTION("""COMPUTED_VALUE"""),"Works perfectly for all purchases")</f>
        <v>Works perfectly for all purchases</v>
      </c>
      <c r="E133" s="61" t="str">
        <f>IFERROR(__xludf.DUMMYFUNCTION("""COMPUTED_VALUE"""),"Arayel")</f>
        <v>Arayel</v>
      </c>
      <c r="F133" s="63">
        <f>IFERROR(__xludf.DUMMYFUNCTION("""COMPUTED_VALUE"""),40945.0)</f>
        <v>40945</v>
      </c>
    </row>
    <row r="134">
      <c r="A134" s="59" t="str">
        <f>IFERROR(__xludf.DUMMYFUNCTION("""COMPUTED_VALUE"""),"Bullet time HD")</f>
        <v>Bullet time HD</v>
      </c>
      <c r="B134" s="60"/>
      <c r="C134" s="61" t="str">
        <f>IFERROR(__xludf.DUMMYFUNCTION("""COMPUTED_VALUE"""),"Yes")</f>
        <v>Yes</v>
      </c>
      <c r="D134" s="62"/>
      <c r="E134" s="61"/>
      <c r="F134" s="63">
        <f>IFERROR(__xludf.DUMMYFUNCTION("""COMPUTED_VALUE"""),40884.0)</f>
        <v>40884</v>
      </c>
    </row>
    <row r="135">
      <c r="A135" s="59" t="str">
        <f>IFERROR(__xludf.DUMMYFUNCTION("""COMPUTED_VALUE"""),"Bunny Shooter Christmas")</f>
        <v>Bunny Shooter Christmas</v>
      </c>
      <c r="B135" s="60"/>
      <c r="C135" s="61" t="str">
        <f>IFERROR(__xludf.DUMMYFUNCTION("""COMPUTED_VALUE"""),"Yes")</f>
        <v>Yes</v>
      </c>
      <c r="D135" s="62"/>
      <c r="E135" s="61" t="str">
        <f>IFERROR(__xludf.DUMMYFUNCTION("""COMPUTED_VALUE"""),"Z1nC")</f>
        <v>Z1nC</v>
      </c>
      <c r="F135" s="63">
        <f>IFERROR(__xludf.DUMMYFUNCTION("""COMPUTED_VALUE"""),40923.0)</f>
        <v>40923</v>
      </c>
    </row>
    <row r="136">
      <c r="A136" s="59" t="str">
        <f>IFERROR(__xludf.DUMMYFUNCTION("""COMPUTED_VALUE"""),"Burn the Rope &amp; Burn the Rope World")</f>
        <v>Burn the Rope &amp; Burn the Rope World</v>
      </c>
      <c r="B136" s="60"/>
      <c r="C136" s="61" t="str">
        <f>IFERROR(__xludf.DUMMYFUNCTION("""COMPUTED_VALUE"""),"Yes")</f>
        <v>Yes</v>
      </c>
      <c r="D136" s="62"/>
      <c r="E136" s="61" t="str">
        <f>IFERROR(__xludf.DUMMYFUNCTION("""COMPUTED_VALUE"""),"playboy6006")</f>
        <v>playboy6006</v>
      </c>
      <c r="F136" s="63">
        <f>IFERROR(__xludf.DUMMYFUNCTION("""COMPUTED_VALUE"""),40888.0)</f>
        <v>40888</v>
      </c>
    </row>
    <row r="137">
      <c r="A137" s="59" t="str">
        <f>IFERROR(__xludf.DUMMYFUNCTION("""COMPUTED_VALUE"""),"busuu Language Programs")</f>
        <v>busuu Language Programs</v>
      </c>
      <c r="B137" s="60"/>
      <c r="C137" s="61" t="str">
        <f>IFERROR(__xludf.DUMMYFUNCTION("""COMPUTED_VALUE"""),"Yes")</f>
        <v>Yes</v>
      </c>
      <c r="D137" s="62" t="str">
        <f>IFERROR(__xludf.DUMMYFUNCTION("""COMPUTED_VALUE"""),"All additional levels")</f>
        <v>All additional levels</v>
      </c>
      <c r="E137" s="61" t="str">
        <f>IFERROR(__xludf.DUMMYFUNCTION("""COMPUTED_VALUE"""),"Lang")</f>
        <v>Lang</v>
      </c>
      <c r="F137" s="63">
        <f>IFERROR(__xludf.DUMMYFUNCTION("""COMPUTED_VALUE"""),40913.0)</f>
        <v>40913</v>
      </c>
    </row>
    <row r="138">
      <c r="A138" s="59" t="str">
        <f>IFERROR(__xludf.DUMMYFUNCTION("""COMPUTED_VALUE"""),"Byline")</f>
        <v>Byline</v>
      </c>
      <c r="B138" s="60"/>
      <c r="C138" s="61" t="str">
        <f>IFERROR(__xludf.DUMMYFUNCTION("""COMPUTED_VALUE"""),"Yes")</f>
        <v>Yes</v>
      </c>
      <c r="D138" s="62" t="str">
        <f>IFERROR(__xludf.DUMMYFUNCTION("""COMPUTED_VALUE"""),"Remove Ads")</f>
        <v>Remove Ads</v>
      </c>
      <c r="E138" s="61" t="str">
        <f>IFERROR(__xludf.DUMMYFUNCTION("""COMPUTED_VALUE"""),"B0B")</f>
        <v>B0B</v>
      </c>
      <c r="F138" s="63">
        <f>IFERROR(__xludf.DUMMYFUNCTION("""COMPUTED_VALUE"""),40935.0)</f>
        <v>40935</v>
      </c>
    </row>
    <row r="139">
      <c r="A139" s="59" t="str">
        <f>IFERROR(__xludf.DUMMYFUNCTION("""COMPUTED_VALUE"""),"Calculator for iPad Free")</f>
        <v>Calculator for iPad Free</v>
      </c>
      <c r="B139" s="60"/>
      <c r="C139" s="61" t="str">
        <f>IFERROR(__xludf.DUMMYFUNCTION("""COMPUTED_VALUE"""),"Yes")</f>
        <v>Yes</v>
      </c>
      <c r="D139" s="62" t="str">
        <f>IFERROR(__xludf.DUMMYFUNCTION("""COMPUTED_VALUE"""),"Free → Full")</f>
        <v>Free → Full</v>
      </c>
      <c r="E139" s="61" t="str">
        <f>IFERROR(__xludf.DUMMYFUNCTION("""COMPUTED_VALUE"""),"Glisern")</f>
        <v>Glisern</v>
      </c>
      <c r="F139" s="63">
        <f>IFERROR(__xludf.DUMMYFUNCTION("""COMPUTED_VALUE"""),40914.0)</f>
        <v>40914</v>
      </c>
    </row>
    <row r="140">
      <c r="A140" s="59" t="str">
        <f>IFERROR(__xludf.DUMMYFUNCTION("""COMPUTED_VALUE"""),"Call Monitor")</f>
        <v>Call Monitor</v>
      </c>
      <c r="B140" s="60"/>
      <c r="C140" s="61" t="str">
        <f>IFERROR(__xludf.DUMMYFUNCTION("""COMPUTED_VALUE"""),"Yes")</f>
        <v>Yes</v>
      </c>
      <c r="D140" s="62" t="str">
        <f>IFERROR(__xludf.DUMMYFUNCTION("""COMPUTED_VALUE"""),"Unlocks Plan Monitor")</f>
        <v>Unlocks Plan Monitor</v>
      </c>
      <c r="E140" s="61"/>
      <c r="F140" s="63">
        <f>IFERROR(__xludf.DUMMYFUNCTION("""COMPUTED_VALUE"""),40912.0)</f>
        <v>40912</v>
      </c>
    </row>
    <row r="141">
      <c r="A141" s="59" t="str">
        <f>IFERROR(__xludf.DUMMYFUNCTION("""COMPUTED_VALUE"""),"Call of Mini: Double Shot")</f>
        <v>Call of Mini: Double Shot</v>
      </c>
      <c r="B141" s="60"/>
      <c r="C141" s="61" t="str">
        <f>IFERROR(__xludf.DUMMYFUNCTION("""COMPUTED_VALUE"""),"Yes")</f>
        <v>Yes</v>
      </c>
      <c r="D141" s="62" t="str">
        <f>IFERROR(__xludf.DUMMYFUNCTION("""COMPUTED_VALUE"""),"Buy coin and unlock weapon")</f>
        <v>Buy coin and unlock weapon</v>
      </c>
      <c r="E141" s="61" t="str">
        <f>IFERROR(__xludf.DUMMYFUNCTION("""COMPUTED_VALUE"""),"phatpham")</f>
        <v>phatpham</v>
      </c>
      <c r="F141" s="63">
        <f>IFERROR(__xludf.DUMMYFUNCTION("""COMPUTED_VALUE"""),40902.0)</f>
        <v>40902</v>
      </c>
    </row>
    <row r="142">
      <c r="A142" s="59" t="str">
        <f>IFERROR(__xludf.DUMMYFUNCTION("""COMPUTED_VALUE"""),"Call of Mini: Zombies")</f>
        <v>Call of Mini: Zombies</v>
      </c>
      <c r="B142" s="60"/>
      <c r="C142" s="61" t="str">
        <f>IFERROR(__xludf.DUMMYFUNCTION("""COMPUTED_VALUE"""),"Yes")</f>
        <v>Yes</v>
      </c>
      <c r="D142" s="62"/>
      <c r="E142" s="61"/>
      <c r="F142" s="63">
        <f>IFERROR(__xludf.DUMMYFUNCTION("""COMPUTED_VALUE"""),40871.0)</f>
        <v>40871</v>
      </c>
    </row>
    <row r="143">
      <c r="A143" s="59" t="str">
        <f>IFERROR(__xludf.DUMMYFUNCTION("""COMPUTED_VALUE"""),"Camera+")</f>
        <v>Camera+</v>
      </c>
      <c r="B143" s="60"/>
      <c r="C143" s="61" t="str">
        <f>IFERROR(__xludf.DUMMYFUNCTION("""COMPUTED_VALUE"""),"Yes")</f>
        <v>Yes</v>
      </c>
      <c r="D143" s="62" t="str">
        <f>IFERROR(__xludf.DUMMYFUNCTION("""COMPUTED_VALUE"""),"Works for all extra filter")</f>
        <v>Works for all extra filter</v>
      </c>
      <c r="E143" s="61" t="str">
        <f>IFERROR(__xludf.DUMMYFUNCTION("""COMPUTED_VALUE"""),"Hawkeye")</f>
        <v>Hawkeye</v>
      </c>
      <c r="F143" s="63">
        <f>IFERROR(__xludf.DUMMYFUNCTION("""COMPUTED_VALUE"""),40925.0)</f>
        <v>40925</v>
      </c>
    </row>
    <row r="144">
      <c r="A144" s="59" t="str">
        <f>IFERROR(__xludf.DUMMYFUNCTION("""COMPUTED_VALUE"""),"CamWow")</f>
        <v>CamWow</v>
      </c>
      <c r="B144" s="60"/>
      <c r="C144" s="61" t="str">
        <f>IFERROR(__xludf.DUMMYFUNCTION("""COMPUTED_VALUE"""),"Yes")</f>
        <v>Yes</v>
      </c>
      <c r="D144" s="62" t="str">
        <f>IFERROR(__xludf.DUMMYFUNCTION("""COMPUTED_VALUE"""),"Removes watermark")</f>
        <v>Removes watermark</v>
      </c>
      <c r="E144" s="61" t="str">
        <f>IFERROR(__xludf.DUMMYFUNCTION("""COMPUTED_VALUE"""),"jpalharini")</f>
        <v>jpalharini</v>
      </c>
      <c r="F144" s="63">
        <f>IFERROR(__xludf.DUMMYFUNCTION("""COMPUTED_VALUE"""),40894.0)</f>
        <v>40894</v>
      </c>
    </row>
    <row r="145">
      <c r="A145" s="59" t="str">
        <f>IFERROR(__xludf.DUMMYFUNCTION("""COMPUTED_VALUE"""),"Candy Count - Learn Colors &amp; Numbers")</f>
        <v>Candy Count - Learn Colors &amp; Numbers</v>
      </c>
      <c r="B145" s="60"/>
      <c r="C145" s="61" t="str">
        <f>IFERROR(__xludf.DUMMYFUNCTION("""COMPUTED_VALUE"""),"Yes")</f>
        <v>Yes</v>
      </c>
      <c r="D145" s="62"/>
      <c r="E145" s="61" t="str">
        <f>IFERROR(__xludf.DUMMYFUNCTION("""COMPUTED_VALUE"""),"luudaigiang")</f>
        <v>luudaigiang</v>
      </c>
      <c r="F145" s="63">
        <f>IFERROR(__xludf.DUMMYFUNCTION("""COMPUTED_VALUE"""),40922.0)</f>
        <v>40922</v>
      </c>
    </row>
    <row r="146">
      <c r="A146" s="59" t="str">
        <f>IFERROR(__xludf.DUMMYFUNCTION("""COMPUTED_VALUE"""),"CanKnockDown")</f>
        <v>CanKnockDown</v>
      </c>
      <c r="B146" s="60"/>
      <c r="C146" s="61" t="str">
        <f>IFERROR(__xludf.DUMMYFUNCTION("""COMPUTED_VALUE"""),"Yes")</f>
        <v>Yes</v>
      </c>
      <c r="D146" s="62" t="str">
        <f>IFERROR(__xludf.DUMMYFUNCTION("""COMPUTED_VALUE"""),"Unlock ""EXTRA STUFF""")</f>
        <v>Unlock "EXTRA STUFF"</v>
      </c>
      <c r="E146" s="61" t="str">
        <f>IFERROR(__xludf.DUMMYFUNCTION("""COMPUTED_VALUE"""),"SaviorAdam")</f>
        <v>SaviorAdam</v>
      </c>
      <c r="F146" s="63">
        <f>IFERROR(__xludf.DUMMYFUNCTION("""COMPUTED_VALUE"""),40908.0)</f>
        <v>40908</v>
      </c>
    </row>
    <row r="147">
      <c r="A147" s="59" t="str">
        <f>IFERROR(__xludf.DUMMYFUNCTION("""COMPUTED_VALUE"""),"Canon Lenses")</f>
        <v>Canon Lenses</v>
      </c>
      <c r="B147" s="60"/>
      <c r="C147" s="61" t="str">
        <f>IFERROR(__xludf.DUMMYFUNCTION("""COMPUTED_VALUE"""),"Yes")</f>
        <v>Yes</v>
      </c>
      <c r="D147" s="62" t="str">
        <f>IFERROR(__xludf.DUMMYFUNCTION("""COMPUTED_VALUE"""),"Upgrade is working")</f>
        <v>Upgrade is working</v>
      </c>
      <c r="E147" s="61" t="str">
        <f>IFERROR(__xludf.DUMMYFUNCTION("""COMPUTED_VALUE"""),"cynxian")</f>
        <v>cynxian</v>
      </c>
      <c r="F147" s="63">
        <f>IFERROR(__xludf.DUMMYFUNCTION("""COMPUTED_VALUE"""),40953.0)</f>
        <v>40953</v>
      </c>
    </row>
    <row r="148">
      <c r="A148" s="59" t="str">
        <f>IFERROR(__xludf.DUMMYFUNCTION("""COMPUTED_VALUE"""),"CAPCOM ARCADE")</f>
        <v>CAPCOM ARCADE</v>
      </c>
      <c r="B148" s="60"/>
      <c r="C148" s="61" t="str">
        <f>IFERROR(__xludf.DUMMYFUNCTION("""COMPUTED_VALUE"""),"Yes")</f>
        <v>Yes</v>
      </c>
      <c r="D148" s="62" t="str">
        <f>IFERROR(__xludf.DUMMYFUNCTION("""COMPUTED_VALUE"""),"Works perfectly for all purchases")</f>
        <v>Works perfectly for all purchases</v>
      </c>
      <c r="E148" s="61" t="str">
        <f>IFERROR(__xludf.DUMMYFUNCTION("""COMPUTED_VALUE"""),"Craigeyboyz")</f>
        <v>Craigeyboyz</v>
      </c>
      <c r="F148" s="63">
        <f>IFERROR(__xludf.DUMMYFUNCTION("""COMPUTED_VALUE"""),40946.0)</f>
        <v>40946</v>
      </c>
    </row>
    <row r="149">
      <c r="A149" s="59" t="str">
        <f>IFERROR(__xludf.DUMMYFUNCTION("""COMPUTED_VALUE"""),"Capital Quizzer / Capitales")</f>
        <v>Capital Quizzer / Capitales</v>
      </c>
      <c r="B149" s="60">
        <f>IFERROR(__xludf.DUMMYFUNCTION("""COMPUTED_VALUE"""),8.01)</f>
        <v>8.01</v>
      </c>
      <c r="C149" s="61" t="str">
        <f>IFERROR(__xludf.DUMMYFUNCTION("""COMPUTED_VALUE"""),"Yes")</f>
        <v>Yes</v>
      </c>
      <c r="D149" s="62" t="str">
        <f>IFERROR(__xludf.DUMMYFUNCTION("""COMPUTED_VALUE"""),"You can purchase the golden ticket to unlock all packages or purchase each pack separately")</f>
        <v>You can purchase the golden ticket to unlock all packages or purchase each pack separately</v>
      </c>
      <c r="E149" s="61" t="str">
        <f>IFERROR(__xludf.DUMMYFUNCTION("""COMPUTED_VALUE"""),"Prometeo17")</f>
        <v>Prometeo17</v>
      </c>
      <c r="F149" s="63">
        <f>IFERROR(__xludf.DUMMYFUNCTION("""COMPUTED_VALUE"""),40959.0)</f>
        <v>40959</v>
      </c>
    </row>
    <row r="150">
      <c r="A150" s="59" t="str">
        <f>IFERROR(__xludf.DUMMYFUNCTION("""COMPUTED_VALUE"""),"Capture Pilot")</f>
        <v>Capture Pilot</v>
      </c>
      <c r="B150" s="60"/>
      <c r="C150" s="61" t="str">
        <f>IFERROR(__xludf.DUMMYFUNCTION("""COMPUTED_VALUE"""),"Yes")</f>
        <v>Yes</v>
      </c>
      <c r="D150" s="62"/>
      <c r="E150" s="61" t="str">
        <f>IFERROR(__xludf.DUMMYFUNCTION("""COMPUTED_VALUE"""),"LogiTexX")</f>
        <v>LogiTexX</v>
      </c>
      <c r="F150" s="63">
        <f>IFERROR(__xludf.DUMMYFUNCTION("""COMPUTED_VALUE"""),40952.0)</f>
        <v>40952</v>
      </c>
    </row>
    <row r="151">
      <c r="A151" s="59" t="str">
        <f>IFERROR(__xludf.DUMMYFUNCTION("""COMPUTED_VALUE"""),"Car City Pro")</f>
        <v>Car City Pro</v>
      </c>
      <c r="B151" s="60"/>
      <c r="C151" s="61" t="str">
        <f>IFERROR(__xludf.DUMMYFUNCTION("""COMPUTED_VALUE"""),"Yes")</f>
        <v>Yes</v>
      </c>
      <c r="D151" s="62" t="str">
        <f>IFERROR(__xludf.DUMMYFUNCTION("""COMPUTED_VALUE"""),"Buying coins ok")</f>
        <v>Buying coins ok</v>
      </c>
      <c r="E151" s="61">
        <f>IFERROR(__xludf.DUMMYFUNCTION("""COMPUTED_VALUE"""),4004.0)</f>
        <v>4004</v>
      </c>
      <c r="F151" s="63">
        <f>IFERROR(__xludf.DUMMYFUNCTION("""COMPUTED_VALUE"""),40920.0)</f>
        <v>40920</v>
      </c>
    </row>
    <row r="152">
      <c r="A152" s="59" t="str">
        <f>IFERROR(__xludf.DUMMYFUNCTION("""COMPUTED_VALUE"""),"Carcassonne")</f>
        <v>Carcassonne</v>
      </c>
      <c r="B152" s="60"/>
      <c r="C152" s="61" t="str">
        <f>IFERROR(__xludf.DUMMYFUNCTION("""COMPUTED_VALUE"""),"Yes")</f>
        <v>Yes</v>
      </c>
      <c r="D152" s="62" t="str">
        <f>IFERROR(__xludf.DUMMYFUNCTION("""COMPUTED_VALUE"""),"Works for River and Inns and Cathedrals Purchases")</f>
        <v>Works for River and Inns and Cathedrals Purchases</v>
      </c>
      <c r="E152" s="61" t="str">
        <f>IFERROR(__xludf.DUMMYFUNCTION("""COMPUTED_VALUE"""),"f3int")</f>
        <v>f3int</v>
      </c>
      <c r="F152" s="63">
        <f>IFERROR(__xludf.DUMMYFUNCTION("""COMPUTED_VALUE"""),40897.0)</f>
        <v>40897</v>
      </c>
    </row>
    <row r="153">
      <c r="A153" s="59" t="str">
        <f>IFERROR(__xludf.DUMMYFUNCTION("""COMPUTED_VALUE"""),"Cartoon War 2: Heros")</f>
        <v>Cartoon War 2: Heros</v>
      </c>
      <c r="B153" s="60"/>
      <c r="C153" s="61" t="str">
        <f>IFERROR(__xludf.DUMMYFUNCTION("""COMPUTED_VALUE"""),"Yes")</f>
        <v>Yes</v>
      </c>
      <c r="D153" s="62"/>
      <c r="E153" s="61" t="str">
        <f>IFERROR(__xludf.DUMMYFUNCTION("""COMPUTED_VALUE"""),"evildragon")</f>
        <v>evildragon</v>
      </c>
      <c r="F153" s="63">
        <f>IFERROR(__xludf.DUMMYFUNCTION("""COMPUTED_VALUE"""),40916.0)</f>
        <v>40916</v>
      </c>
    </row>
    <row r="154">
      <c r="A154" s="59" t="str">
        <f>IFERROR(__xludf.DUMMYFUNCTION("""COMPUTED_VALUE"""),"Cartoon Wars")</f>
        <v>Cartoon Wars</v>
      </c>
      <c r="B154" s="60" t="str">
        <f>IFERROR(__xludf.DUMMYFUNCTION("""COMPUTED_VALUE"""),"1.1.3")</f>
        <v>1.1.3</v>
      </c>
      <c r="C154" s="61" t="str">
        <f>IFERROR(__xludf.DUMMYFUNCTION("""COMPUTED_VALUE"""),"Yes")</f>
        <v>Yes</v>
      </c>
      <c r="D154" s="62" t="str">
        <f>IFERROR(__xludf.DUMMYFUNCTION("""COMPUTED_VALUE"""),"Everything fine")</f>
        <v>Everything fine</v>
      </c>
      <c r="E154" s="61" t="str">
        <f>IFERROR(__xludf.DUMMYFUNCTION("""COMPUTED_VALUE"""),"CruNkS")</f>
        <v>CruNkS</v>
      </c>
      <c r="F154" s="63">
        <f>IFERROR(__xludf.DUMMYFUNCTION("""COMPUTED_VALUE"""),41161.0)</f>
        <v>41161</v>
      </c>
    </row>
    <row r="155">
      <c r="A155" s="59" t="str">
        <f>IFERROR(__xludf.DUMMYFUNCTION("""COMPUTED_VALUE"""),"Cartoon Wars (Original)")</f>
        <v>Cartoon Wars (Original)</v>
      </c>
      <c r="B155" s="60"/>
      <c r="C155" s="61" t="str">
        <f>IFERROR(__xludf.DUMMYFUNCTION("""COMPUTED_VALUE"""),"Yes")</f>
        <v>Yes</v>
      </c>
      <c r="D155" s="62" t="str">
        <f>IFERROR(__xludf.DUMMYFUNCTION("""COMPUTED_VALUE"""),"Able to Buy Gold")</f>
        <v>Able to Buy Gold</v>
      </c>
      <c r="E155" s="61" t="str">
        <f>IFERROR(__xludf.DUMMYFUNCTION("""COMPUTED_VALUE"""),"JD")</f>
        <v>JD</v>
      </c>
      <c r="F155" s="63">
        <f>IFERROR(__xludf.DUMMYFUNCTION("""COMPUTED_VALUE"""),40918.0)</f>
        <v>40918</v>
      </c>
    </row>
    <row r="156">
      <c r="A156" s="59" t="str">
        <f>IFERROR(__xludf.DUMMYFUNCTION("""COMPUTED_VALUE"""),"Cartoon Wars Gunner+")</f>
        <v>Cartoon Wars Gunner+</v>
      </c>
      <c r="B156" s="60" t="str">
        <f>IFERROR(__xludf.DUMMYFUNCTION("""COMPUTED_VALUE"""),"1.1.1")</f>
        <v>1.1.1</v>
      </c>
      <c r="C156" s="61" t="str">
        <f>IFERROR(__xludf.DUMMYFUNCTION("""COMPUTED_VALUE"""),"Yes")</f>
        <v>Yes</v>
      </c>
      <c r="D156" s="62" t="str">
        <f>IFERROR(__xludf.DUMMYFUNCTION("""COMPUTED_VALUE"""),"Everything fine")</f>
        <v>Everything fine</v>
      </c>
      <c r="E156" s="61" t="str">
        <f>IFERROR(__xludf.DUMMYFUNCTION("""COMPUTED_VALUE"""),"CruNkS")</f>
        <v>CruNkS</v>
      </c>
      <c r="F156" s="63">
        <f>IFERROR(__xludf.DUMMYFUNCTION("""COMPUTED_VALUE"""),41161.0)</f>
        <v>41161</v>
      </c>
    </row>
    <row r="157">
      <c r="A157" s="59" t="str">
        <f>IFERROR(__xludf.DUMMYFUNCTION("""COMPUTED_VALUE"""),"Casino Free")</f>
        <v>Casino Free</v>
      </c>
      <c r="B157" s="60"/>
      <c r="C157" s="61" t="str">
        <f>IFERROR(__xludf.DUMMYFUNCTION("""COMPUTED_VALUE"""),"Yes")</f>
        <v>Yes</v>
      </c>
      <c r="D157" s="62" t="str">
        <f>IFERROR(__xludf.DUMMYFUNCTION("""COMPUTED_VALUE""")," ")</f>
        <v> </v>
      </c>
      <c r="E157" s="61" t="str">
        <f>IFERROR(__xludf.DUMMYFUNCTION("""COMPUTED_VALUE"""),"Guk")</f>
        <v>Guk</v>
      </c>
      <c r="F157" s="63">
        <f>IFERROR(__xludf.DUMMYFUNCTION("""COMPUTED_VALUE"""),40885.0)</f>
        <v>40885</v>
      </c>
    </row>
    <row r="158">
      <c r="A158" s="59" t="str">
        <f>IFERROR(__xludf.DUMMYFUNCTION("""COMPUTED_VALUE"""),"Catan")</f>
        <v>Catan</v>
      </c>
      <c r="B158" s="60" t="str">
        <f>IFERROR(__xludf.DUMMYFUNCTION("""COMPUTED_VALUE"""),"2.1.4")</f>
        <v>2.1.4</v>
      </c>
      <c r="C158" s="61" t="str">
        <f>IFERROR(__xludf.DUMMYFUNCTION("""COMPUTED_VALUE"""),"Yes")</f>
        <v>Yes</v>
      </c>
      <c r="D158" s="62" t="str">
        <f>IFERROR(__xludf.DUMMYFUNCTION("""COMPUTED_VALUE"""),"Unlock Seafarers on 2.1.4")</f>
        <v>Unlock Seafarers on 2.1.4</v>
      </c>
      <c r="E158" s="61" t="str">
        <f>IFERROR(__xludf.DUMMYFUNCTION("""COMPUTED_VALUE"""),"cytmike")</f>
        <v>cytmike</v>
      </c>
      <c r="F158" s="63">
        <f>IFERROR(__xludf.DUMMYFUNCTION("""COMPUTED_VALUE"""),40959.0)</f>
        <v>40959</v>
      </c>
    </row>
    <row r="159">
      <c r="A159" s="59" t="str">
        <f>IFERROR(__xludf.DUMMYFUNCTION("""COMPUTED_VALUE"""),"CATCHa PRINCE")</f>
        <v>CATCHa PRINCE</v>
      </c>
      <c r="B159" s="60"/>
      <c r="C159" s="61" t="str">
        <f>IFERROR(__xludf.DUMMYFUNCTION("""COMPUTED_VALUE"""),"Yes")</f>
        <v>Yes</v>
      </c>
      <c r="D159" s="62" t="str">
        <f>IFERROR(__xludf.DUMMYFUNCTION("""COMPUTED_VALUE"""),"Works fine")</f>
        <v>Works fine</v>
      </c>
      <c r="E159" s="61" t="str">
        <f>IFERROR(__xludf.DUMMYFUNCTION("""COMPUTED_VALUE"""),"luudaigiang")</f>
        <v>luudaigiang</v>
      </c>
      <c r="F159" s="63">
        <f>IFERROR(__xludf.DUMMYFUNCTION("""COMPUTED_VALUE"""),40922.0)</f>
        <v>40922</v>
      </c>
    </row>
    <row r="160">
      <c r="A160" s="59" t="str">
        <f>IFERROR(__xludf.DUMMYFUNCTION("""COMPUTED_VALUE"""),"Celeb Me")</f>
        <v>Celeb Me</v>
      </c>
      <c r="B160" s="60"/>
      <c r="C160" s="61" t="str">
        <f>IFERROR(__xludf.DUMMYFUNCTION("""COMPUTED_VALUE"""),"Yes")</f>
        <v>Yes</v>
      </c>
      <c r="D160" s="62"/>
      <c r="E160" s="61" t="str">
        <f>IFERROR(__xludf.DUMMYFUNCTION("""COMPUTED_VALUE"""),"zus")</f>
        <v>zus</v>
      </c>
      <c r="F160" s="41"/>
    </row>
    <row r="161">
      <c r="A161" s="59" t="str">
        <f>IFERROR(__xludf.DUMMYFUNCTION("""COMPUTED_VALUE"""),"ChasinYello")</f>
        <v>ChasinYello</v>
      </c>
      <c r="B161" s="60" t="str">
        <f>IFERROR(__xludf.DUMMYFUNCTION("""COMPUTED_VALUE"""),"1.0.3")</f>
        <v>1.0.3</v>
      </c>
      <c r="C161" s="61" t="str">
        <f>IFERROR(__xludf.DUMMYFUNCTION("""COMPUTED_VALUE"""),"Yes")</f>
        <v>Yes</v>
      </c>
      <c r="D161" s="62" t="str">
        <f>IFERROR(__xludf.DUMMYFUNCTION("""COMPUTED_VALUE"""),"Can buy all")</f>
        <v>Can buy all</v>
      </c>
      <c r="E161" s="61"/>
      <c r="F161" s="63">
        <f>IFERROR(__xludf.DUMMYFUNCTION("""COMPUTED_VALUE"""),41104.0)</f>
        <v>41104</v>
      </c>
    </row>
    <row r="162">
      <c r="A162" s="59" t="str">
        <f>IFERROR(__xludf.DUMMYFUNCTION("""COMPUTED_VALUE"""),"Cheats for PS3")</f>
        <v>Cheats for PS3</v>
      </c>
      <c r="B162" s="60">
        <f>IFERROR(__xludf.DUMMYFUNCTION("""COMPUTED_VALUE"""),1.6)</f>
        <v>1.6</v>
      </c>
      <c r="C162" s="61" t="str">
        <f>IFERROR(__xludf.DUMMYFUNCTION("""COMPUTED_VALUE"""),"Yes")</f>
        <v>Yes</v>
      </c>
      <c r="D162" s="62" t="str">
        <f>IFERROR(__xludf.DUMMYFUNCTION("""COMPUTED_VALUE"""),"It works I bought the cheat of FIFA 12")</f>
        <v>It works I bought the cheat of FIFA 12</v>
      </c>
      <c r="E162" s="61" t="str">
        <f>IFERROR(__xludf.DUMMYFUNCTION("""COMPUTED_VALUE"""),"Michael Joel")</f>
        <v>Michael Joel</v>
      </c>
      <c r="F162" s="63">
        <f>IFERROR(__xludf.DUMMYFUNCTION("""COMPUTED_VALUE"""),41043.0)</f>
        <v>41043</v>
      </c>
    </row>
    <row r="163">
      <c r="A163" s="59" t="str">
        <f>IFERROR(__xludf.DUMMYFUNCTION("""COMPUTED_VALUE"""),"Chicken Rain")</f>
        <v>Chicken Rain</v>
      </c>
      <c r="B163" s="60"/>
      <c r="C163" s="61" t="str">
        <f>IFERROR(__xludf.DUMMYFUNCTION("""COMPUTED_VALUE"""),"Yes")</f>
        <v>Yes</v>
      </c>
      <c r="D163" s="62" t="str">
        <f>IFERROR(__xludf.DUMMYFUNCTION("""COMPUTED_VALUE"""),"Can purchase coins")</f>
        <v>Can purchase coins</v>
      </c>
      <c r="E163" s="61" t="str">
        <f>IFERROR(__xludf.DUMMYFUNCTION("""COMPUTED_VALUE"""),"Natsuu")</f>
        <v>Natsuu</v>
      </c>
      <c r="F163" s="63">
        <f>IFERROR(__xludf.DUMMYFUNCTION("""COMPUTED_VALUE"""),41041.0)</f>
        <v>41041</v>
      </c>
    </row>
    <row r="164">
      <c r="A164" s="59" t="str">
        <f>IFERROR(__xludf.DUMMYFUNCTION("""COMPUTED_VALUE"""),"Chicken Revolution")</f>
        <v>Chicken Revolution</v>
      </c>
      <c r="B164" s="60"/>
      <c r="C164" s="61" t="str">
        <f>IFERROR(__xludf.DUMMYFUNCTION("""COMPUTED_VALUE"""),"Yes")</f>
        <v>Yes</v>
      </c>
      <c r="D164" s="62" t="str">
        <f>IFERROR(__xludf.DUMMYFUNCTION("""COMPUTED_VALUE"""),"Everything works")</f>
        <v>Everything works</v>
      </c>
      <c r="E164" s="61" t="str">
        <f>IFERROR(__xludf.DUMMYFUNCTION("""COMPUTED_VALUE"""),"Greek-Immortal")</f>
        <v>Greek-Immortal</v>
      </c>
      <c r="F164" s="63">
        <f>IFERROR(__xludf.DUMMYFUNCTION("""COMPUTED_VALUE"""),40915.0)</f>
        <v>40915</v>
      </c>
    </row>
    <row r="165">
      <c r="A165" s="59" t="str">
        <f>IFERROR(__xludf.DUMMYFUNCTION("""COMPUTED_VALUE"""),"CineCam")</f>
        <v>CineCam</v>
      </c>
      <c r="B165" s="60"/>
      <c r="C165" s="61" t="str">
        <f>IFERROR(__xludf.DUMMYFUNCTION("""COMPUTED_VALUE"""),"Yes")</f>
        <v>Yes</v>
      </c>
      <c r="D165" s="62" t="str">
        <f>IFERROR(__xludf.DUMMYFUNCTION("""COMPUTED_VALUE"""),"Able to buy credits and spend them in packages.")</f>
        <v>Able to buy credits and spend them in packages.</v>
      </c>
      <c r="E165" s="61" t="str">
        <f>IFERROR(__xludf.DUMMYFUNCTION("""COMPUTED_VALUE"""),"Aarian")</f>
        <v>Aarian</v>
      </c>
      <c r="F165" s="63">
        <f>IFERROR(__xludf.DUMMYFUNCTION("""COMPUTED_VALUE"""),40896.0)</f>
        <v>40896</v>
      </c>
    </row>
    <row r="166">
      <c r="A166" s="59" t="str">
        <f>IFERROR(__xludf.DUMMYFUNCTION("""COMPUTED_VALUE"""),"CineXPlayer")</f>
        <v>CineXPlayer</v>
      </c>
      <c r="B166" s="60"/>
      <c r="C166" s="61" t="str">
        <f>IFERROR(__xludf.DUMMYFUNCTION("""COMPUTED_VALUE"""),"Yes")</f>
        <v>Yes</v>
      </c>
      <c r="D166" s="62"/>
      <c r="E166" s="61" t="str">
        <f>IFERROR(__xludf.DUMMYFUNCTION("""COMPUTED_VALUE"""),"fbloise")</f>
        <v>fbloise</v>
      </c>
      <c r="F166" s="63">
        <f>IFERROR(__xludf.DUMMYFUNCTION("""COMPUTED_VALUE"""),40793.0)</f>
        <v>40793</v>
      </c>
    </row>
    <row r="167">
      <c r="A167" s="59" t="str">
        <f>IFERROR(__xludf.DUMMYFUNCTION("""COMPUTED_VALUE"""),"Circus City")</f>
        <v>Circus City</v>
      </c>
      <c r="B167" s="60"/>
      <c r="C167" s="61" t="str">
        <f>IFERROR(__xludf.DUMMYFUNCTION("""COMPUTED_VALUE"""),"Yes")</f>
        <v>Yes</v>
      </c>
      <c r="D167" s="62" t="str">
        <f>IFERROR(__xludf.DUMMYFUNCTION("""COMPUTED_VALUE"""),"You can buy Tickets")</f>
        <v>You can buy Tickets</v>
      </c>
      <c r="E167" s="61" t="str">
        <f>IFERROR(__xludf.DUMMYFUNCTION("""COMPUTED_VALUE"""),"Gambit")</f>
        <v>Gambit</v>
      </c>
      <c r="F167" s="63">
        <f>IFERROR(__xludf.DUMMYFUNCTION("""COMPUTED_VALUE"""),40920.0)</f>
        <v>40920</v>
      </c>
    </row>
    <row r="168">
      <c r="A168" s="59" t="str">
        <f>IFERROR(__xludf.DUMMYFUNCTION("""COMPUTED_VALUE"""),"City Guide")</f>
        <v>City Guide</v>
      </c>
      <c r="B168" s="60"/>
      <c r="C168" s="61" t="str">
        <f>IFERROR(__xludf.DUMMYFUNCTION("""COMPUTED_VALUE"""),"Yes")</f>
        <v>Yes</v>
      </c>
      <c r="D168" s="62" t="str">
        <f>IFERROR(__xludf.DUMMYFUNCTION("""COMPUTED_VALUE"""),"All maps")</f>
        <v>All maps</v>
      </c>
      <c r="E168" s="61" t="str">
        <f>IFERROR(__xludf.DUMMYFUNCTION("""COMPUTED_VALUE"""),"sergjjj")</f>
        <v>sergjjj</v>
      </c>
      <c r="F168" s="41"/>
    </row>
    <row r="169">
      <c r="A169" s="59" t="str">
        <f>IFERROR(__xludf.DUMMYFUNCTION("""COMPUTED_VALUE"""),"Cliff Diver")</f>
        <v>Cliff Diver</v>
      </c>
      <c r="B169" s="60"/>
      <c r="C169" s="61" t="str">
        <f>IFERROR(__xludf.DUMMYFUNCTION("""COMPUTED_VALUE"""),"Yes")</f>
        <v>Yes</v>
      </c>
      <c r="D169" s="62" t="str">
        <f>IFERROR(__xludf.DUMMYFUNCTION("""COMPUTED_VALUE"""),"Buy more coins")</f>
        <v>Buy more coins</v>
      </c>
      <c r="E169" s="61" t="str">
        <f>IFERROR(__xludf.DUMMYFUNCTION("""COMPUTED_VALUE"""),"Jaaaaaaaaaam")</f>
        <v>Jaaaaaaaaaam</v>
      </c>
      <c r="F169" s="63">
        <f>IFERROR(__xludf.DUMMYFUNCTION("""COMPUTED_VALUE"""),40888.0)</f>
        <v>40888</v>
      </c>
    </row>
    <row r="170">
      <c r="A170" s="59" t="str">
        <f>IFERROR(__xludf.DUMMYFUNCTION("""COMPUTED_VALUE"""),"Cocktail Flow")</f>
        <v>Cocktail Flow</v>
      </c>
      <c r="B170" s="60" t="str">
        <f>IFERROR(__xludf.DUMMYFUNCTION("""COMPUTED_VALUE"""),"1.0.2")</f>
        <v>1.0.2</v>
      </c>
      <c r="C170" s="61" t="str">
        <f>IFERROR(__xludf.DUMMYFUNCTION("""COMPUTED_VALUE"""),"Yes")</f>
        <v>Yes</v>
      </c>
      <c r="D170" s="62" t="str">
        <f>IFERROR(__xludf.DUMMYFUNCTION("""COMPUTED_VALUE"""),"Can purchase all store premium packages.")</f>
        <v>Can purchase all store premium packages.</v>
      </c>
      <c r="E170" s="61" t="str">
        <f>IFERROR(__xludf.DUMMYFUNCTION("""COMPUTED_VALUE"""),"QretywX")</f>
        <v>QretywX</v>
      </c>
      <c r="F170" s="63">
        <f>IFERROR(__xludf.DUMMYFUNCTION("""COMPUTED_VALUE"""),40973.0)</f>
        <v>40973</v>
      </c>
    </row>
    <row r="171">
      <c r="A171" s="59" t="str">
        <f>IFERROR(__xludf.DUMMYFUNCTION("""COMPUTED_VALUE"""),"Cogs")</f>
        <v>Cogs</v>
      </c>
      <c r="B171" s="60"/>
      <c r="C171" s="61" t="str">
        <f>IFERROR(__xludf.DUMMYFUNCTION("""COMPUTED_VALUE"""),"Yes")</f>
        <v>Yes</v>
      </c>
      <c r="D171" s="62" t="str">
        <f>IFERROR(__xludf.DUMMYFUNCTION("""COMPUTED_VALUE"""),"Purchase all levels")</f>
        <v>Purchase all levels</v>
      </c>
      <c r="E171" s="61" t="str">
        <f>IFERROR(__xludf.DUMMYFUNCTION("""COMPUTED_VALUE"""),"luudaigiang")</f>
        <v>luudaigiang</v>
      </c>
      <c r="F171" s="63">
        <f>IFERROR(__xludf.DUMMYFUNCTION("""COMPUTED_VALUE"""),40918.0)</f>
        <v>40918</v>
      </c>
    </row>
    <row r="172">
      <c r="A172" s="59" t="str">
        <f>IFERROR(__xludf.DUMMYFUNCTION("""COMPUTED_VALUE"""),"Coin Dozer")</f>
        <v>Coin Dozer</v>
      </c>
      <c r="B172" s="60"/>
      <c r="C172" s="61" t="str">
        <f>IFERROR(__xludf.DUMMYFUNCTION("""COMPUTED_VALUE"""),"Yes")</f>
        <v>Yes</v>
      </c>
      <c r="D172" s="62"/>
      <c r="E172" s="61" t="str">
        <f>IFERROR(__xludf.DUMMYFUNCTION("""COMPUTED_VALUE"""),"rctgamer3")</f>
        <v>rctgamer3</v>
      </c>
      <c r="F172" s="63">
        <f>IFERROR(__xludf.DUMMYFUNCTION("""COMPUTED_VALUE"""),40871.0)</f>
        <v>40871</v>
      </c>
    </row>
    <row r="173">
      <c r="A173" s="59" t="str">
        <f>IFERROR(__xludf.DUMMYFUNCTION("""COMPUTED_VALUE"""),"Coin Frenzy HD")</f>
        <v>Coin Frenzy HD</v>
      </c>
      <c r="B173" s="60"/>
      <c r="C173" s="61" t="str">
        <f>IFERROR(__xludf.DUMMYFUNCTION("""COMPUTED_VALUE"""),"Yes")</f>
        <v>Yes</v>
      </c>
      <c r="D173" s="62" t="str">
        <f>IFERROR(__xludf.DUMMYFUNCTION("""COMPUTED_VALUE"""),"Buying 2,000 coins actually gives you 6,000 coins")</f>
        <v>Buying 2,000 coins actually gives you 6,000 coins</v>
      </c>
      <c r="E173" s="61" t="str">
        <f>IFERROR(__xludf.DUMMYFUNCTION("""COMPUTED_VALUE"""),"ThePreserver")</f>
        <v>ThePreserver</v>
      </c>
      <c r="F173" s="63">
        <f>IFERROR(__xludf.DUMMYFUNCTION("""COMPUTED_VALUE"""),40890.0)</f>
        <v>40890</v>
      </c>
    </row>
    <row r="174">
      <c r="A174" s="59" t="str">
        <f>IFERROR(__xludf.DUMMYFUNCTION("""COMPUTED_VALUE"""),"Coin Pirates")</f>
        <v>Coin Pirates</v>
      </c>
      <c r="B174" s="60"/>
      <c r="C174" s="61" t="str">
        <f>IFERROR(__xludf.DUMMYFUNCTION("""COMPUTED_VALUE"""),"Yes")</f>
        <v>Yes</v>
      </c>
      <c r="D174" s="62"/>
      <c r="E174" s="61" t="str">
        <f>IFERROR(__xludf.DUMMYFUNCTION("""COMPUTED_VALUE"""),"Kets")</f>
        <v>Kets</v>
      </c>
      <c r="F174" s="63">
        <f>IFERROR(__xludf.DUMMYFUNCTION("""COMPUTED_VALUE"""),40793.6236111111)</f>
        <v>40793.62361</v>
      </c>
    </row>
    <row r="175">
      <c r="A175" s="59" t="str">
        <f>IFERROR(__xludf.DUMMYFUNCTION("""COMPUTED_VALUE"""),"Coin vs Zombies")</f>
        <v>Coin vs Zombies</v>
      </c>
      <c r="B175" s="60"/>
      <c r="C175" s="61" t="str">
        <f>IFERROR(__xludf.DUMMYFUNCTION("""COMPUTED_VALUE"""),"Yes")</f>
        <v>Yes</v>
      </c>
      <c r="D175" s="62" t="str">
        <f>IFERROR(__xludf.DUMMYFUNCTION("""COMPUTED_VALUE"""),"Works on iAP crackers v0.5-1")</f>
        <v>Works on iAP crackers v0.5-1</v>
      </c>
      <c r="E175" s="61" t="str">
        <f>IFERROR(__xludf.DUMMYFUNCTION("""COMPUTED_VALUE"""),"Guk")</f>
        <v>Guk</v>
      </c>
      <c r="F175" s="63">
        <f>IFERROR(__xludf.DUMMYFUNCTION("""COMPUTED_VALUE"""),40889.0)</f>
        <v>40889</v>
      </c>
    </row>
    <row r="176">
      <c r="A176" s="59" t="str">
        <f>IFERROR(__xludf.DUMMYFUNCTION("""COMPUTED_VALUE"""),"coinDatabase")</f>
        <v>coinDatabase</v>
      </c>
      <c r="B176" s="60"/>
      <c r="C176" s="61" t="str">
        <f>IFERROR(__xludf.DUMMYFUNCTION("""COMPUTED_VALUE"""),"Yes")</f>
        <v>Yes</v>
      </c>
      <c r="D176" s="62"/>
      <c r="E176" s="61"/>
      <c r="F176" s="41"/>
    </row>
    <row r="177">
      <c r="A177" s="59" t="str">
        <f>IFERROR(__xludf.DUMMYFUNCTION("""COMPUTED_VALUE"""),"Color Pencil")</f>
        <v>Color Pencil</v>
      </c>
      <c r="B177" s="60">
        <f>IFERROR(__xludf.DUMMYFUNCTION("""COMPUTED_VALUE"""),1.331)</f>
        <v>1.331</v>
      </c>
      <c r="C177" s="61" t="str">
        <f>IFERROR(__xludf.DUMMYFUNCTION("""COMPUTED_VALUE"""),"Yes")</f>
        <v>Yes</v>
      </c>
      <c r="D177" s="62" t="str">
        <f>IFERROR(__xludf.DUMMYFUNCTION("""COMPUTED_VALUE"""),"Can purchase packs")</f>
        <v>Can purchase packs</v>
      </c>
      <c r="E177" s="61" t="str">
        <f>IFERROR(__xludf.DUMMYFUNCTION("""COMPUTED_VALUE"""),"Keigo@ZA")</f>
        <v>Keigo@ZA</v>
      </c>
      <c r="F177" s="63">
        <f>IFERROR(__xludf.DUMMYFUNCTION("""COMPUTED_VALUE"""),40957.0)</f>
        <v>40957</v>
      </c>
    </row>
    <row r="178">
      <c r="A178" s="59" t="str">
        <f>IFERROR(__xludf.DUMMYFUNCTION("""COMPUTED_VALUE"""),"Command &amp; Conquer: Red Alert")</f>
        <v>Command &amp; Conquer: Red Alert</v>
      </c>
      <c r="B178" s="60"/>
      <c r="C178" s="61" t="str">
        <f>IFERROR(__xludf.DUMMYFUNCTION("""COMPUTED_VALUE"""),"Yes")</f>
        <v>Yes</v>
      </c>
      <c r="D178" s="62" t="str">
        <f>IFERROR(__xludf.DUMMYFUNCTION("""COMPUTED_VALUE"""),"Map and Expansion parks download and install, but are not present in Skirmish mode.")</f>
        <v>Map and Expansion parks download and install, but are not present in Skirmish mode.</v>
      </c>
      <c r="E178" s="61" t="str">
        <f>IFERROR(__xludf.DUMMYFUNCTION("""COMPUTED_VALUE"""),"Annyms")</f>
        <v>Annyms</v>
      </c>
      <c r="F178" s="63">
        <f>IFERROR(__xludf.DUMMYFUNCTION("""COMPUTED_VALUE"""),40918.0)</f>
        <v>40918</v>
      </c>
    </row>
    <row r="179">
      <c r="A179" s="59" t="str">
        <f>IFERROR(__xludf.DUMMYFUNCTION("""COMPUTED_VALUE"""),"Commodore 64")</f>
        <v>Commodore 64</v>
      </c>
      <c r="B179" s="60"/>
      <c r="C179" s="61" t="str">
        <f>IFERROR(__xludf.DUMMYFUNCTION("""COMPUTED_VALUE"""),"Yes")</f>
        <v>Yes</v>
      </c>
      <c r="D179" s="62" t="str">
        <f>IFERROR(__xludf.DUMMYFUNCTION("""COMPUTED_VALUE"""),"It work!!! All games available unlocked!")</f>
        <v>It work!!! All games available unlocked!</v>
      </c>
      <c r="E179" s="61" t="str">
        <f>IFERROR(__xludf.DUMMYFUNCTION("""COMPUTED_VALUE"""),"Maurice, Qixx, Mizzio")</f>
        <v>Maurice, Qixx, Mizzio</v>
      </c>
      <c r="F179" s="63">
        <f>IFERROR(__xludf.DUMMYFUNCTION("""COMPUTED_VALUE"""),40885.0)</f>
        <v>40885</v>
      </c>
    </row>
    <row r="180">
      <c r="A180" s="59" t="str">
        <f>IFERROR(__xludf.DUMMYFUNCTION("""COMPUTED_VALUE"""),"Congas")</f>
        <v>Congas</v>
      </c>
      <c r="B180" s="60"/>
      <c r="C180" s="61" t="str">
        <f>IFERROR(__xludf.DUMMYFUNCTION("""COMPUTED_VALUE"""),"Yes")</f>
        <v>Yes</v>
      </c>
      <c r="D180" s="62" t="str">
        <f>IFERROR(__xludf.DUMMYFUNCTION("""COMPUTED_VALUE"""),"Ad remove")</f>
        <v>Ad remove</v>
      </c>
      <c r="E180" s="61" t="str">
        <f>IFERROR(__xludf.DUMMYFUNCTION("""COMPUTED_VALUE"""),"Moose")</f>
        <v>Moose</v>
      </c>
      <c r="F180" s="63">
        <f>IFERROR(__xludf.DUMMYFUNCTION("""COMPUTED_VALUE"""),40901.0)</f>
        <v>40901</v>
      </c>
    </row>
    <row r="181">
      <c r="A181" s="59" t="str">
        <f>IFERROR(__xludf.DUMMYFUNCTION("""COMPUTED_VALUE"""),"Contract Killer")</f>
        <v>Contract Killer</v>
      </c>
      <c r="B181" s="60"/>
      <c r="C181" s="61" t="str">
        <f>IFERROR(__xludf.DUMMYFUNCTION("""COMPUTED_VALUE"""),"Yes")</f>
        <v>Yes</v>
      </c>
      <c r="D181" s="62" t="str">
        <f>IFERROR(__xludf.DUMMYFUNCTION("""COMPUTED_VALUE"""),"Able to purchase credits etc")</f>
        <v>Able to purchase credits etc</v>
      </c>
      <c r="E181" s="61"/>
      <c r="F181" s="41"/>
    </row>
    <row r="182">
      <c r="A182" s="59" t="str">
        <f>IFERROR(__xludf.DUMMYFUNCTION("""COMPUTED_VALUE"""),"Contract Killer Zombie")</f>
        <v>Contract Killer Zombie</v>
      </c>
      <c r="B182" s="60"/>
      <c r="C182" s="61" t="str">
        <f>IFERROR(__xludf.DUMMYFUNCTION("""COMPUTED_VALUE"""),"Yes")</f>
        <v>Yes</v>
      </c>
      <c r="D182" s="62" t="str">
        <f>IFERROR(__xludf.DUMMYFUNCTION("""COMPUTED_VALUE"""),"Purchased weapons, grenades, money and gold.")</f>
        <v>Purchased weapons, grenades, money and gold.</v>
      </c>
      <c r="E182" s="61" t="str">
        <f>IFERROR(__xludf.DUMMYFUNCTION("""COMPUTED_VALUE"""),"Maloon")</f>
        <v>Maloon</v>
      </c>
      <c r="F182" s="63">
        <f>IFERROR(__xludf.DUMMYFUNCTION("""COMPUTED_VALUE"""),40888.0)</f>
        <v>40888</v>
      </c>
    </row>
    <row r="183">
      <c r="A183" s="59" t="str">
        <f>IFERROR(__xludf.DUMMYFUNCTION("""COMPUTED_VALUE"""),"Cooking Dash")</f>
        <v>Cooking Dash</v>
      </c>
      <c r="B183" s="60"/>
      <c r="C183" s="61" t="str">
        <f>IFERROR(__xludf.DUMMYFUNCTION("""COMPUTED_VALUE"""),"Yes")</f>
        <v>Yes</v>
      </c>
      <c r="D183" s="62" t="str">
        <f>IFERROR(__xludf.DUMMYFUNCTION("""COMPUTED_VALUE"""),"Can buy restaurants")</f>
        <v>Can buy restaurants</v>
      </c>
      <c r="E183" s="61" t="str">
        <f>IFERROR(__xludf.DUMMYFUNCTION("""COMPUTED_VALUE"""),"rdtx")</f>
        <v>rdtx</v>
      </c>
      <c r="F183" s="63">
        <f>IFERROR(__xludf.DUMMYFUNCTION("""COMPUTED_VALUE"""),40904.0)</f>
        <v>40904</v>
      </c>
    </row>
    <row r="184">
      <c r="A184" s="59" t="str">
        <f>IFERROR(__xludf.DUMMYFUNCTION("""COMPUTED_VALUE"""),"Cooking Mama")</f>
        <v>Cooking Mama</v>
      </c>
      <c r="B184" s="60"/>
      <c r="C184" s="61" t="str">
        <f>IFERROR(__xludf.DUMMYFUNCTION("""COMPUTED_VALUE"""),"Yes")</f>
        <v>Yes</v>
      </c>
      <c r="D184" s="62" t="str">
        <f>IFERROR(__xludf.DUMMYFUNCTION("""COMPUTED_VALUE"""),"Unlock restaurants")</f>
        <v>Unlock restaurants</v>
      </c>
      <c r="E184" s="61" t="str">
        <f>IFERROR(__xludf.DUMMYFUNCTION("""COMPUTED_VALUE"""),"phatpham")</f>
        <v>phatpham</v>
      </c>
      <c r="F184" s="63">
        <f>IFERROR(__xludf.DUMMYFUNCTION("""COMPUTED_VALUE"""),40902.0)</f>
        <v>40902</v>
      </c>
    </row>
    <row r="185">
      <c r="A185" s="59" t="str">
        <f>IFERROR(__xludf.DUMMYFUNCTION("""COMPUTED_VALUE"""),"Cordy")</f>
        <v>Cordy</v>
      </c>
      <c r="B185" s="60"/>
      <c r="C185" s="61" t="str">
        <f>IFERROR(__xludf.DUMMYFUNCTION("""COMPUTED_VALUE"""),"Yes")</f>
        <v>Yes</v>
      </c>
      <c r="D185" s="62" t="str">
        <f>IFERROR(__xludf.DUMMYFUNCTION("""COMPUTED_VALUE"""),"Unlock Full version + costume packs")</f>
        <v>Unlock Full version + costume packs</v>
      </c>
      <c r="E185" s="61" t="str">
        <f>IFERROR(__xludf.DUMMYFUNCTION("""COMPUTED_VALUE"""),"Guk")</f>
        <v>Guk</v>
      </c>
      <c r="F185" s="63">
        <f>IFERROR(__xludf.DUMMYFUNCTION("""COMPUTED_VALUE"""),40905.0)</f>
        <v>40905</v>
      </c>
    </row>
    <row r="186">
      <c r="A186" s="59" t="str">
        <f>IFERROR(__xludf.DUMMYFUNCTION("""COMPUTED_VALUE"""),"Cosmopolitan Magazine")</f>
        <v>Cosmopolitan Magazine</v>
      </c>
      <c r="B186" s="60"/>
      <c r="C186" s="61" t="str">
        <f>IFERROR(__xludf.DUMMYFUNCTION("""COMPUTED_VALUE"""),"Yes")</f>
        <v>Yes</v>
      </c>
      <c r="D186" s="62" t="str">
        <f>IFERROR(__xludf.DUMMYFUNCTION("""COMPUTED_VALUE"""),"Can purchase magazines")</f>
        <v>Can purchase magazines</v>
      </c>
      <c r="E186" s="61" t="str">
        <f>IFERROR(__xludf.DUMMYFUNCTION("""COMPUTED_VALUE"""),"least_uniQue")</f>
        <v>least_uniQue</v>
      </c>
      <c r="F186" s="63">
        <f>IFERROR(__xludf.DUMMYFUNCTION("""COMPUTED_VALUE"""),40944.0)</f>
        <v>40944</v>
      </c>
    </row>
    <row r="187">
      <c r="A187" s="59" t="str">
        <f>IFERROR(__xludf.DUMMYFUNCTION("""COMPUTED_VALUE"""),"Cover Orange")</f>
        <v>Cover Orange</v>
      </c>
      <c r="B187" s="60"/>
      <c r="C187" s="61" t="str">
        <f>IFERROR(__xludf.DUMMYFUNCTION("""COMPUTED_VALUE"""),"Yes")</f>
        <v>Yes</v>
      </c>
      <c r="D187" s="62"/>
      <c r="E187" s="61" t="str">
        <f>IFERROR(__xludf.DUMMYFUNCTION("""COMPUTED_VALUE"""),"[Ars]Giang")</f>
        <v>[Ars]Giang</v>
      </c>
      <c r="F187" s="63">
        <f>IFERROR(__xludf.DUMMYFUNCTION("""COMPUTED_VALUE"""),40917.0)</f>
        <v>40917</v>
      </c>
    </row>
    <row r="188">
      <c r="A188" s="59" t="str">
        <f>IFERROR(__xludf.DUMMYFUNCTION("""COMPUTED_VALUE"""),"Cows vs Aliens")</f>
        <v>Cows vs Aliens</v>
      </c>
      <c r="B188" s="60"/>
      <c r="C188" s="61" t="str">
        <f>IFERROR(__xludf.DUMMYFUNCTION("""COMPUTED_VALUE"""),"Yes")</f>
        <v>Yes</v>
      </c>
      <c r="D188" s="62" t="str">
        <f>IFERROR(__xludf.DUMMYFUNCTION("""COMPUTED_VALUE"""),"Able to purchase upgrades and powerups")</f>
        <v>Able to purchase upgrades and powerups</v>
      </c>
      <c r="E188" s="61" t="str">
        <f>IFERROR(__xludf.DUMMYFUNCTION("""COMPUTED_VALUE"""),"Guk")</f>
        <v>Guk</v>
      </c>
      <c r="F188" s="63">
        <f>IFERROR(__xludf.DUMMYFUNCTION("""COMPUTED_VALUE"""),40881.0)</f>
        <v>40881</v>
      </c>
    </row>
    <row r="189">
      <c r="A189" s="59" t="str">
        <f>IFERROR(__xludf.DUMMYFUNCTION("""COMPUTED_VALUE"""),"Crate Collapse HD")</f>
        <v>Crate Collapse HD</v>
      </c>
      <c r="B189" s="60"/>
      <c r="C189" s="61" t="str">
        <f>IFERROR(__xludf.DUMMYFUNCTION("""COMPUTED_VALUE"""),"Yes")</f>
        <v>Yes</v>
      </c>
      <c r="D189" s="62" t="str">
        <f>IFERROR(__xludf.DUMMYFUNCTION("""COMPUTED_VALUE"""),"Unlock all levels and bonus")</f>
        <v>Unlock all levels and bonus</v>
      </c>
      <c r="E189" s="61" t="str">
        <f>IFERROR(__xludf.DUMMYFUNCTION("""COMPUTED_VALUE"""),"Ozirone")</f>
        <v>Ozirone</v>
      </c>
      <c r="F189" s="63">
        <f>IFERROR(__xludf.DUMMYFUNCTION("""COMPUTED_VALUE"""),40933.0)</f>
        <v>40933</v>
      </c>
    </row>
    <row r="190">
      <c r="A190" s="59" t="str">
        <f>IFERROR(__xludf.DUMMYFUNCTION("""COMPUTED_VALUE"""),"Crazy Cow")</f>
        <v>Crazy Cow</v>
      </c>
      <c r="B190" s="60" t="str">
        <f>IFERROR(__xludf.DUMMYFUNCTION("""COMPUTED_VALUE"""),"1.0.2")</f>
        <v>1.0.2</v>
      </c>
      <c r="C190" s="61" t="str">
        <f>IFERROR(__xludf.DUMMYFUNCTION("""COMPUTED_VALUE"""),"Yes")</f>
        <v>Yes</v>
      </c>
      <c r="D190" s="62" t="str">
        <f>IFERROR(__xludf.DUMMYFUNCTION("""COMPUTED_VALUE"""),"Tested with genuine app v1.0.2.")</f>
        <v>Tested with genuine app v1.0.2.</v>
      </c>
      <c r="E190" s="61" t="str">
        <f>IFERROR(__xludf.DUMMYFUNCTION("""COMPUTED_VALUE"""),"zugzug")</f>
        <v>zugzug</v>
      </c>
      <c r="F190" s="63">
        <f>IFERROR(__xludf.DUMMYFUNCTION("""COMPUTED_VALUE"""),40937.0)</f>
        <v>40937</v>
      </c>
    </row>
    <row r="191">
      <c r="A191" s="59" t="str">
        <f>IFERROR(__xludf.DUMMYFUNCTION("""COMPUTED_VALUE"""),"Crazy Snowboard")</f>
        <v>Crazy Snowboard</v>
      </c>
      <c r="B191" s="60"/>
      <c r="C191" s="61" t="str">
        <f>IFERROR(__xludf.DUMMYFUNCTION("""COMPUTED_VALUE"""),"Yes")</f>
        <v>Yes</v>
      </c>
      <c r="D191" s="62" t="str">
        <f>IFERROR(__xludf.DUMMYFUNCTION("""COMPUTED_VALUE"""),"Works great =) Gets both money and people free!")</f>
        <v>Works great =) Gets both money and people free!</v>
      </c>
      <c r="E191" s="61" t="str">
        <f>IFERROR(__xludf.DUMMYFUNCTION("""COMPUTED_VALUE"""),"BASiQ")</f>
        <v>BASiQ</v>
      </c>
      <c r="F191" s="63">
        <f>IFERROR(__xludf.DUMMYFUNCTION("""COMPUTED_VALUE"""),40875.0)</f>
        <v>40875</v>
      </c>
    </row>
    <row r="192">
      <c r="A192" s="59" t="str">
        <f>IFERROR(__xludf.DUMMYFUNCTION("""COMPUTED_VALUE"""),"Crimson: Steam Pirates")</f>
        <v>Crimson: Steam Pirates</v>
      </c>
      <c r="B192" s="60"/>
      <c r="C192" s="61" t="str">
        <f>IFERROR(__xludf.DUMMYFUNCTION("""COMPUTED_VALUE"""),"Yes")</f>
        <v>Yes</v>
      </c>
      <c r="D192" s="62"/>
      <c r="E192" s="61" t="str">
        <f>IFERROR(__xludf.DUMMYFUNCTION("""COMPUTED_VALUE"""),"Guk")</f>
        <v>Guk</v>
      </c>
      <c r="F192" s="63">
        <f>IFERROR(__xludf.DUMMYFUNCTION("""COMPUTED_VALUE"""),40887.0)</f>
        <v>40887</v>
      </c>
    </row>
    <row r="193">
      <c r="A193" s="59" t="str">
        <f>IFERROR(__xludf.DUMMYFUNCTION("""COMPUTED_VALUE"""),"Cross Fingers")</f>
        <v>Cross Fingers</v>
      </c>
      <c r="B193" s="60"/>
      <c r="C193" s="61" t="str">
        <f>IFERROR(__xludf.DUMMYFUNCTION("""COMPUTED_VALUE"""),"Yes")</f>
        <v>Yes</v>
      </c>
      <c r="D193" s="62" t="str">
        <f>IFERROR(__xludf.DUMMYFUNCTION("""COMPUTED_VALUE"""),"Store purchases work")</f>
        <v>Store purchases work</v>
      </c>
      <c r="E193" s="61" t="str">
        <f>IFERROR(__xludf.DUMMYFUNCTION("""COMPUTED_VALUE"""),"Persephone")</f>
        <v>Persephone</v>
      </c>
      <c r="F193" s="41"/>
    </row>
    <row r="194">
      <c r="A194" s="59" t="str">
        <f>IFERROR(__xludf.DUMMYFUNCTION("""COMPUTED_VALUE"""),"Cut The Rope (series)")</f>
        <v>Cut The Rope (series)</v>
      </c>
      <c r="B194" s="60"/>
      <c r="C194" s="61" t="str">
        <f>IFERROR(__xludf.DUMMYFUNCTION("""COMPUTED_VALUE"""),"Yes")</f>
        <v>Yes</v>
      </c>
      <c r="D194" s="62" t="str">
        <f>IFERROR(__xludf.DUMMYFUNCTION("""COMPUTED_VALUE"""),"Unlock Levels")</f>
        <v>Unlock Levels</v>
      </c>
      <c r="E194" s="61" t="str">
        <f>IFERROR(__xludf.DUMMYFUNCTION("""COMPUTED_VALUE"""),"Nikos44")</f>
        <v>Nikos44</v>
      </c>
      <c r="F194" s="63">
        <f>IFERROR(__xludf.DUMMYFUNCTION("""COMPUTED_VALUE"""),40903.0)</f>
        <v>40903</v>
      </c>
    </row>
    <row r="195">
      <c r="A195" s="59" t="str">
        <f>IFERROR(__xludf.DUMMYFUNCTION("""COMPUTED_VALUE"""),"Cut The Rope: Comics")</f>
        <v>Cut The Rope: Comics</v>
      </c>
      <c r="B195" s="60"/>
      <c r="C195" s="61" t="str">
        <f>IFERROR(__xludf.DUMMYFUNCTION("""COMPUTED_VALUE"""),"Yes")</f>
        <v>Yes</v>
      </c>
      <c r="D195" s="62" t="str">
        <f>IFERROR(__xludf.DUMMYFUNCTION("""COMPUTED_VALUE"""),"Works Perfectly")</f>
        <v>Works Perfectly</v>
      </c>
      <c r="E195" s="61" t="str">
        <f>IFERROR(__xludf.DUMMYFUNCTION("""COMPUTED_VALUE"""),"Greek-Immortal")</f>
        <v>Greek-Immortal</v>
      </c>
      <c r="F195" s="63">
        <f>IFERROR(__xludf.DUMMYFUNCTION("""COMPUTED_VALUE"""),40906.0)</f>
        <v>40906</v>
      </c>
    </row>
    <row r="196">
      <c r="A196" s="59" t="str">
        <f>IFERROR(__xludf.DUMMYFUNCTION("""COMPUTED_VALUE"""),"Dark Fury")</f>
        <v>Dark Fury</v>
      </c>
      <c r="B196" s="60"/>
      <c r="C196" s="61" t="str">
        <f>IFERROR(__xludf.DUMMYFUNCTION("""COMPUTED_VALUE"""),"Yes")</f>
        <v>Yes</v>
      </c>
      <c r="D196" s="62" t="str">
        <f>IFERROR(__xludf.DUMMYFUNCTION("""COMPUTED_VALUE"""),"you need to disable the app then go to the shop screen and re-enable to work")</f>
        <v>you need to disable the app then go to the shop screen and re-enable to work</v>
      </c>
      <c r="E196" s="61" t="str">
        <f>IFERROR(__xludf.DUMMYFUNCTION("""COMPUTED_VALUE"""),"Blimpi")</f>
        <v>Blimpi</v>
      </c>
      <c r="F196" s="63">
        <f>IFERROR(__xludf.DUMMYFUNCTION("""COMPUTED_VALUE"""),40931.0)</f>
        <v>40931</v>
      </c>
    </row>
    <row r="197">
      <c r="A197" s="59" t="str">
        <f>IFERROR(__xludf.DUMMYFUNCTION("""COMPUTED_VALUE"""),"Dark Meadow v. 1.0.2")</f>
        <v>Dark Meadow v. 1.0.2</v>
      </c>
      <c r="B197" s="60" t="str">
        <f>IFERROR(__xludf.DUMMYFUNCTION("""COMPUTED_VALUE"""),"1.0.1")</f>
        <v>1.0.1</v>
      </c>
      <c r="C197" s="61" t="str">
        <f>IFERROR(__xludf.DUMMYFUNCTION("""COMPUTED_VALUE"""),"Yes")</f>
        <v>Yes</v>
      </c>
      <c r="D197" s="62" t="str">
        <f>IFERROR(__xludf.DUMMYFUNCTION("""COMPUTED_VALUE"""),"Guk: It works, but only if you purchased/genuinely own the apps, error occurs because it could not authenticate the ownership of the games.
phatpham: Works perfectly with Dark Meadow v1.0.1 crack")</f>
        <v>Guk: It works, but only if you purchased/genuinely own the apps, error occurs because it could not authenticate the ownership of the games.
phatpham: Works perfectly with Dark Meadow v1.0.1 crack</v>
      </c>
      <c r="E197" s="61" t="str">
        <f>IFERROR(__xludf.DUMMYFUNCTION("""COMPUTED_VALUE"""),"Guk
phatpham")</f>
        <v>Guk
phatpham</v>
      </c>
      <c r="F197" s="63">
        <f>IFERROR(__xludf.DUMMYFUNCTION("""COMPUTED_VALUE"""),40905.0)</f>
        <v>40905</v>
      </c>
    </row>
    <row r="198">
      <c r="A198" s="59" t="str">
        <f>IFERROR(__xludf.DUMMYFUNCTION("""COMPUTED_VALUE"""),"Dash Race")</f>
        <v>Dash Race</v>
      </c>
      <c r="B198" s="60"/>
      <c r="C198" s="61" t="str">
        <f>IFERROR(__xludf.DUMMYFUNCTION("""COMPUTED_VALUE"""),"Yes")</f>
        <v>Yes</v>
      </c>
      <c r="D198" s="62" t="str">
        <f>IFERROR(__xludf.DUMMYFUNCTION("""COMPUTED_VALUE"""),"Works perfectly for all purchases")</f>
        <v>Works perfectly for all purchases</v>
      </c>
      <c r="E198" s="61" t="str">
        <f>IFERROR(__xludf.DUMMYFUNCTION("""COMPUTED_VALUE"""),"Craigeyboyz")</f>
        <v>Craigeyboyz</v>
      </c>
      <c r="F198" s="63">
        <f>IFERROR(__xludf.DUMMYFUNCTION("""COMPUTED_VALUE"""),40946.0)</f>
        <v>40946</v>
      </c>
    </row>
    <row r="199">
      <c r="A199" s="59" t="str">
        <f>IFERROR(__xludf.DUMMYFUNCTION("""COMPUTED_VALUE"""),"DataMan Free - Real Time Data Usage Manager")</f>
        <v>DataMan Free - Real Time Data Usage Manager</v>
      </c>
      <c r="B199" s="60"/>
      <c r="C199" s="61" t="str">
        <f>IFERROR(__xludf.DUMMYFUNCTION("""COMPUTED_VALUE"""),"Yes")</f>
        <v>Yes</v>
      </c>
      <c r="D199" s="62" t="str">
        <f>IFERROR(__xludf.DUMMYFUNCTION("""COMPUTED_VALUE"""),"Removes Upgrade Text (Just removes the ad)")</f>
        <v>Removes Upgrade Text (Just removes the ad)</v>
      </c>
      <c r="E199" s="61" t="str">
        <f>IFERROR(__xludf.DUMMYFUNCTION("""COMPUTED_VALUE"""),"some_dude")</f>
        <v>some_dude</v>
      </c>
      <c r="F199" s="41"/>
    </row>
    <row r="200">
      <c r="A200" s="59" t="str">
        <f>IFERROR(__xludf.DUMMYFUNCTION("""COMPUTED_VALUE"""),"DDR S+")</f>
        <v>DDR S+</v>
      </c>
      <c r="B200" s="60"/>
      <c r="C200" s="61" t="str">
        <f>IFERROR(__xludf.DUMMYFUNCTION("""COMPUTED_VALUE"""),"Yes")</f>
        <v>Yes</v>
      </c>
      <c r="D200" s="62" t="str">
        <f>IFERROR(__xludf.DUMMYFUNCTION("""COMPUTED_VALUE"""),"infinty")</f>
        <v>infinty</v>
      </c>
      <c r="E200" s="61"/>
      <c r="F200" s="63">
        <f>IFERROR(__xludf.DUMMYFUNCTION("""COMPUTED_VALUE"""),40882.0)</f>
        <v>40882</v>
      </c>
    </row>
    <row r="201">
      <c r="A201" s="59" t="str">
        <f>IFERROR(__xludf.DUMMYFUNCTION("""COMPUTED_VALUE"""),"Dead on Arrival")</f>
        <v>Dead on Arrival</v>
      </c>
      <c r="B201" s="60"/>
      <c r="C201" s="61" t="str">
        <f>IFERROR(__xludf.DUMMYFUNCTION("""COMPUTED_VALUE"""),"Yes")</f>
        <v>Yes</v>
      </c>
      <c r="D201" s="62" t="str">
        <f>IFERROR(__xludf.DUMMYFUNCTION("""COMPUTED_VALUE"""),"Works fine remove ads/give money")</f>
        <v>Works fine remove ads/give money</v>
      </c>
      <c r="E201" s="61" t="str">
        <f>IFERROR(__xludf.DUMMYFUNCTION("""COMPUTED_VALUE"""),"Signe")</f>
        <v>Signe</v>
      </c>
      <c r="F201" s="63">
        <f>IFERROR(__xludf.DUMMYFUNCTION("""COMPUTED_VALUE"""),40907.0)</f>
        <v>40907</v>
      </c>
    </row>
    <row r="202">
      <c r="A202" s="59" t="str">
        <f>IFERROR(__xludf.DUMMYFUNCTION("""COMPUTED_VALUE"""),"Dead Space HD")</f>
        <v>Dead Space HD</v>
      </c>
      <c r="B202" s="60"/>
      <c r="C202" s="61" t="str">
        <f>IFERROR(__xludf.DUMMYFUNCTION("""COMPUTED_VALUE"""),"Yes")</f>
        <v>Yes</v>
      </c>
      <c r="D202" s="62" t="str">
        <f>IFERROR(__xludf.DUMMYFUNCTION("""COMPUTED_VALUE"""),"Turn off 'Remove Metadata' in Installous settings if using cracked version.")</f>
        <v>Turn off 'Remove Metadata' in Installous settings if using cracked version.</v>
      </c>
      <c r="E202" s="61" t="str">
        <f>IFERROR(__xludf.DUMMYFUNCTION("""COMPUTED_VALUE"""),"ThePreserver")</f>
        <v>ThePreserver</v>
      </c>
      <c r="F202" s="63">
        <f>IFERROR(__xludf.DUMMYFUNCTION("""COMPUTED_VALUE"""),40892.0)</f>
        <v>40892</v>
      </c>
    </row>
    <row r="203">
      <c r="A203" s="59" t="str">
        <f>IFERROR(__xludf.DUMMYFUNCTION("""COMPUTED_VALUE"""),"Death Call")</f>
        <v>Death Call</v>
      </c>
      <c r="B203" s="60"/>
      <c r="C203" s="61" t="str">
        <f>IFERROR(__xludf.DUMMYFUNCTION("""COMPUTED_VALUE"""),"Yes")</f>
        <v>Yes</v>
      </c>
      <c r="D203" s="62" t="str">
        <f>IFERROR(__xludf.DUMMYFUNCTION("""COMPUTED_VALUE"""),"You can buy WP (currency).")</f>
        <v>You can buy WP (currency).</v>
      </c>
      <c r="E203" s="61" t="str">
        <f>IFERROR(__xludf.DUMMYFUNCTION("""COMPUTED_VALUE"""),"Zaraf")</f>
        <v>Zaraf</v>
      </c>
      <c r="F203" s="63">
        <f>IFERROR(__xludf.DUMMYFUNCTION("""COMPUTED_VALUE"""),40937.0)</f>
        <v>40937</v>
      </c>
    </row>
    <row r="204">
      <c r="A204" s="59" t="str">
        <f>IFERROR(__xludf.DUMMYFUNCTION("""COMPUTED_VALUE"""),"Death Rally")</f>
        <v>Death Rally</v>
      </c>
      <c r="B204" s="60"/>
      <c r="C204" s="61" t="str">
        <f>IFERROR(__xludf.DUMMYFUNCTION("""COMPUTED_VALUE"""),"Yes")</f>
        <v>Yes</v>
      </c>
      <c r="D204" s="62" t="str">
        <f>IFERROR(__xludf.DUMMYFUNCTION("""COMPUTED_VALUE"""),"Tested working on genuinely purchased apps")</f>
        <v>Tested working on genuinely purchased apps</v>
      </c>
      <c r="E204" s="61" t="str">
        <f>IFERROR(__xludf.DUMMYFUNCTION("""COMPUTED_VALUE"""),"Guk")</f>
        <v>Guk</v>
      </c>
      <c r="F204" s="63">
        <f>IFERROR(__xludf.DUMMYFUNCTION("""COMPUTED_VALUE"""),40881.0)</f>
        <v>40881</v>
      </c>
    </row>
    <row r="205">
      <c r="A205" s="59" t="str">
        <f>IFERROR(__xludf.DUMMYFUNCTION("""COMPUTED_VALUE"""),"Death Rider")</f>
        <v>Death Rider</v>
      </c>
      <c r="B205" s="60"/>
      <c r="C205" s="61" t="str">
        <f>IFERROR(__xludf.DUMMYFUNCTION("""COMPUTED_VALUE"""),"Yes")</f>
        <v>Yes</v>
      </c>
      <c r="D205" s="62"/>
      <c r="E205" s="61" t="str">
        <f>IFERROR(__xludf.DUMMYFUNCTION("""COMPUTED_VALUE"""),"Dizzy")</f>
        <v>Dizzy</v>
      </c>
      <c r="F205" s="63">
        <f>IFERROR(__xludf.DUMMYFUNCTION("""COMPUTED_VALUE"""),40910.0)</f>
        <v>40910</v>
      </c>
    </row>
    <row r="206">
      <c r="A206" s="59" t="str">
        <f>IFERROR(__xludf.DUMMYFUNCTION("""COMPUTED_VALUE"""),"Deep Deep Dungeon")</f>
        <v>Deep Deep Dungeon</v>
      </c>
      <c r="B206" s="60"/>
      <c r="C206" s="61" t="str">
        <f>IFERROR(__xludf.DUMMYFUNCTION("""COMPUTED_VALUE"""),"Yes")</f>
        <v>Yes</v>
      </c>
      <c r="D206" s="62" t="str">
        <f>IFERROR(__xludf.DUMMYFUNCTION("""COMPUTED_VALUE"""),"Buy all the gold you want to upgrade your weapons and armor!")</f>
        <v>Buy all the gold you want to upgrade your weapons and armor!</v>
      </c>
      <c r="E206" s="61"/>
      <c r="F206" s="63">
        <f>IFERROR(__xludf.DUMMYFUNCTION("""COMPUTED_VALUE"""),40898.0)</f>
        <v>40898</v>
      </c>
    </row>
    <row r="207">
      <c r="A207" s="59" t="str">
        <f>IFERROR(__xludf.DUMMYFUNCTION("""COMPUTED_VALUE"""),"Deer Hunter 3D")</f>
        <v>Deer Hunter 3D</v>
      </c>
      <c r="B207" s="60"/>
      <c r="C207" s="61" t="str">
        <f>IFERROR(__xludf.DUMMYFUNCTION("""COMPUTED_VALUE"""),"Yes")</f>
        <v>Yes</v>
      </c>
      <c r="D207" s="62"/>
      <c r="E207" s="61" t="str">
        <f>IFERROR(__xludf.DUMMYFUNCTION("""COMPUTED_VALUE"""),"phatpham")</f>
        <v>phatpham</v>
      </c>
      <c r="F207" s="63">
        <f>IFERROR(__xludf.DUMMYFUNCTION("""COMPUTED_VALUE"""),40900.0)</f>
        <v>40900</v>
      </c>
    </row>
    <row r="208">
      <c r="A208" s="59" t="str">
        <f>IFERROR(__xludf.DUMMYFUNCTION("""COMPUTED_VALUE"""),"Deer Hunter Challenge")</f>
        <v>Deer Hunter Challenge</v>
      </c>
      <c r="B208" s="60"/>
      <c r="C208" s="61" t="str">
        <f>IFERROR(__xludf.DUMMYFUNCTION("""COMPUTED_VALUE"""),"Yes")</f>
        <v>Yes</v>
      </c>
      <c r="D208" s="62" t="str">
        <f>IFERROR(__xludf.DUMMYFUNCTION("""COMPUTED_VALUE"""),"Requires log into Game Center")</f>
        <v>Requires log into Game Center</v>
      </c>
      <c r="E208" s="61" t="str">
        <f>IFERROR(__xludf.DUMMYFUNCTION("""COMPUTED_VALUE"""),"phatpham")</f>
        <v>phatpham</v>
      </c>
      <c r="F208" s="63">
        <f>IFERROR(__xludf.DUMMYFUNCTION("""COMPUTED_VALUE"""),40900.0)</f>
        <v>40900</v>
      </c>
    </row>
    <row r="209">
      <c r="A209" s="59" t="str">
        <f>IFERROR(__xludf.DUMMYFUNCTION("""COMPUTED_VALUE"""),"Deer Hunter Reloaded")</f>
        <v>Deer Hunter Reloaded</v>
      </c>
      <c r="B209" s="60" t="str">
        <f>IFERROR(__xludf.DUMMYFUNCTION("""COMPUTED_VALUE"""),"2.0.0")</f>
        <v>2.0.0</v>
      </c>
      <c r="C209" s="61" t="str">
        <f>IFERROR(__xludf.DUMMYFUNCTION("""COMPUTED_VALUE"""),"Yes")</f>
        <v>Yes</v>
      </c>
      <c r="D209" s="62" t="str">
        <f>IFERROR(__xludf.DUMMYFUNCTION("""COMPUTED_VALUE"""),"You can buy Hunter Buck and Gold")</f>
        <v>You can buy Hunter Buck and Gold</v>
      </c>
      <c r="E209" s="61" t="str">
        <f>IFERROR(__xludf.DUMMYFUNCTION("""COMPUTED_VALUE"""),"rroyy")</f>
        <v>rroyy</v>
      </c>
      <c r="F209" s="41" t="str">
        <f>IFERROR(__xludf.DUMMYFUNCTION("""COMPUTED_VALUE"""),"28-06-2012
")</f>
        <v>28-06-2012
</v>
      </c>
    </row>
    <row r="210">
      <c r="A210" s="59" t="str">
        <f>IFERROR(__xludf.DUMMYFUNCTION("""COMPUTED_VALUE"""),"Defenders chronicles")</f>
        <v>Defenders chronicles</v>
      </c>
      <c r="B210" s="60"/>
      <c r="C210" s="61" t="str">
        <f>IFERROR(__xludf.DUMMYFUNCTION("""COMPUTED_VALUE"""),"Yes")</f>
        <v>Yes</v>
      </c>
      <c r="D210" s="62" t="str">
        <f>IFERROR(__xludf.DUMMYFUNCTION("""COMPUTED_VALUE"""),"All")</f>
        <v>All</v>
      </c>
      <c r="E210" s="61" t="str">
        <f>IFERROR(__xludf.DUMMYFUNCTION("""COMPUTED_VALUE"""),"sergjjj")</f>
        <v>sergjjj</v>
      </c>
      <c r="F210" s="63">
        <f>IFERROR(__xludf.DUMMYFUNCTION("""COMPUTED_VALUE"""),40897.0)</f>
        <v>40897</v>
      </c>
    </row>
    <row r="211">
      <c r="A211" s="59" t="str">
        <f>IFERROR(__xludf.DUMMYFUNCTION("""COMPUTED_VALUE"""),"Democracy(Демократия)")</f>
        <v>Democracy(Демократия)</v>
      </c>
      <c r="B211" s="60"/>
      <c r="C211" s="61" t="str">
        <f>IFERROR(__xludf.DUMMYFUNCTION("""COMPUTED_VALUE"""),"Yes")</f>
        <v>Yes</v>
      </c>
      <c r="D211" s="62"/>
      <c r="E211" s="61" t="str">
        <f>IFERROR(__xludf.DUMMYFUNCTION("""COMPUTED_VALUE"""),"Twen")</f>
        <v>Twen</v>
      </c>
      <c r="F211" s="63">
        <f>IFERROR(__xludf.DUMMYFUNCTION("""COMPUTED_VALUE"""),40896.0)</f>
        <v>40896</v>
      </c>
    </row>
    <row r="212">
      <c r="A212" s="59" t="str">
        <f>IFERROR(__xludf.DUMMYFUNCTION("""COMPUTED_VALUE"""),"Demon Cam")</f>
        <v>Demon Cam</v>
      </c>
      <c r="B212" s="60"/>
      <c r="C212" s="61" t="str">
        <f>IFERROR(__xludf.DUMMYFUNCTION("""COMPUTED_VALUE"""),"Yes")</f>
        <v>Yes</v>
      </c>
      <c r="D212" s="62"/>
      <c r="E212" s="61" t="str">
        <f>IFERROR(__xludf.DUMMYFUNCTION("""COMPUTED_VALUE"""),"Dav")</f>
        <v>Dav</v>
      </c>
      <c r="F212" s="63">
        <f>IFERROR(__xludf.DUMMYFUNCTION("""COMPUTED_VALUE"""),40848.0)</f>
        <v>40848</v>
      </c>
    </row>
    <row r="213">
      <c r="A213" s="59" t="str">
        <f>IFERROR(__xludf.DUMMYFUNCTION("""COMPUTED_VALUE"""),"Demon Hunter (Both Full &amp; Ad-Free) V1.0.5 and v1.0.2")</f>
        <v>Demon Hunter (Both Full &amp; Ad-Free) V1.0.5 and v1.0.2</v>
      </c>
      <c r="B213" s="60"/>
      <c r="C213" s="61" t="str">
        <f>IFERROR(__xludf.DUMMYFUNCTION("""COMPUTED_VALUE"""),"Yes")</f>
        <v>Yes</v>
      </c>
      <c r="D213" s="62" t="str">
        <f>IFERROR(__xludf.DUMMYFUNCTION("""COMPUTED_VALUE"""),"Everything works well")</f>
        <v>Everything works well</v>
      </c>
      <c r="E213" s="61" t="str">
        <f>IFERROR(__xludf.DUMMYFUNCTION("""COMPUTED_VALUE"""),"phatpham")</f>
        <v>phatpham</v>
      </c>
      <c r="F213" s="63">
        <f>IFERROR(__xludf.DUMMYFUNCTION("""COMPUTED_VALUE"""),40901.0)</f>
        <v>40901</v>
      </c>
    </row>
    <row r="214">
      <c r="A214" s="59" t="str">
        <f>IFERROR(__xludf.DUMMYFUNCTION("""COMPUTED_VALUE"""),"Design This Home")</f>
        <v>Design This Home</v>
      </c>
      <c r="B214" s="60"/>
      <c r="C214" s="61" t="str">
        <f>IFERROR(__xludf.DUMMYFUNCTION("""COMPUTED_VALUE"""),"Yes")</f>
        <v>Yes</v>
      </c>
      <c r="D214" s="62" t="str">
        <f>IFERROR(__xludf.DUMMYFUNCTION("""COMPUTED_VALUE"""),"All in-game currencies can be bought.")</f>
        <v>All in-game currencies can be bought.</v>
      </c>
      <c r="E214" s="61" t="str">
        <f>IFERROR(__xludf.DUMMYFUNCTION("""COMPUTED_VALUE"""),"ohye0880")</f>
        <v>ohye0880</v>
      </c>
      <c r="F214" s="63">
        <f>IFERROR(__xludf.DUMMYFUNCTION("""COMPUTED_VALUE"""),40957.0)</f>
        <v>40957</v>
      </c>
    </row>
    <row r="215">
      <c r="A215" s="59" t="str">
        <f>IFERROR(__xludf.DUMMYFUNCTION("""COMPUTED_VALUE"""),"Destinia")</f>
        <v>Destinia</v>
      </c>
      <c r="B215" s="60" t="str">
        <f>IFERROR(__xludf.DUMMYFUNCTION("""COMPUTED_VALUE"""),"1.0.2")</f>
        <v>1.0.2</v>
      </c>
      <c r="C215" s="61" t="str">
        <f>IFERROR(__xludf.DUMMYFUNCTION("""COMPUTED_VALUE"""),"Yes")</f>
        <v>Yes</v>
      </c>
      <c r="D215" s="62" t="str">
        <f>IFERROR(__xludf.DUMMYFUNCTION("""COMPUTED_VALUE"""),"Purchasing works but its a bit slow, plist hack is better")</f>
        <v>Purchasing works but its a bit slow, plist hack is better</v>
      </c>
      <c r="E215" s="61"/>
      <c r="F215" s="41"/>
    </row>
    <row r="216">
      <c r="A216" s="59" t="str">
        <f>IFERROR(__xludf.DUMMYFUNCTION("""COMPUTED_VALUE"""),"Destiny Defense: Angel or Devil")</f>
        <v>Destiny Defense: Angel or Devil</v>
      </c>
      <c r="B216" s="60"/>
      <c r="C216" s="61" t="str">
        <f>IFERROR(__xludf.DUMMYFUNCTION("""COMPUTED_VALUE"""),"Yes")</f>
        <v>Yes</v>
      </c>
      <c r="D216" s="62" t="str">
        <f>IFERROR(__xludf.DUMMYFUNCTION("""COMPUTED_VALUE"""),"Can buy ""Magicstone""")</f>
        <v>Can buy "Magicstone"</v>
      </c>
      <c r="E216" s="61"/>
      <c r="F216" s="41"/>
    </row>
    <row r="217">
      <c r="A217" s="59" t="str">
        <f>IFERROR(__xludf.DUMMYFUNCTION("""COMPUTED_VALUE"""),"Destructopus")</f>
        <v>Destructopus</v>
      </c>
      <c r="B217" s="60"/>
      <c r="C217" s="61" t="str">
        <f>IFERROR(__xludf.DUMMYFUNCTION("""COMPUTED_VALUE"""),"Yes")</f>
        <v>Yes</v>
      </c>
      <c r="D217" s="62"/>
      <c r="E217" s="61" t="str">
        <f>IFERROR(__xludf.DUMMYFUNCTION("""COMPUTED_VALUE"""),"Nathan_infinity")</f>
        <v>Nathan_infinity</v>
      </c>
      <c r="F217" s="63">
        <f>IFERROR(__xludf.DUMMYFUNCTION("""COMPUTED_VALUE"""),40793.7743055556)</f>
        <v>40793.77431</v>
      </c>
    </row>
    <row r="218">
      <c r="A218" s="59" t="str">
        <f>IFERROR(__xludf.DUMMYFUNCTION("""COMPUTED_VALUE"""),"Devils Quest")</f>
        <v>Devils Quest</v>
      </c>
      <c r="B218" s="60" t="str">
        <f>IFERROR(__xludf.DUMMYFUNCTION("""COMPUTED_VALUE"""),"1.2.2")</f>
        <v>1.2.2</v>
      </c>
      <c r="C218" s="61" t="str">
        <f>IFERROR(__xludf.DUMMYFUNCTION("""COMPUTED_VALUE"""),"Yes")</f>
        <v>Yes</v>
      </c>
      <c r="D218" s="62" t="str">
        <f>IFERROR(__xludf.DUMMYFUNCTION("""COMPUTED_VALUE"""),"Everything fine, but can't decide how much")</f>
        <v>Everything fine, but can't decide how much</v>
      </c>
      <c r="E218" s="61" t="str">
        <f>IFERROR(__xludf.DUMMYFUNCTION("""COMPUTED_VALUE"""),"CruNkS")</f>
        <v>CruNkS</v>
      </c>
      <c r="F218" s="63">
        <f>IFERROR(__xludf.DUMMYFUNCTION("""COMPUTED_VALUE"""),41161.0)</f>
        <v>41161</v>
      </c>
    </row>
    <row r="219">
      <c r="A219" s="59" t="str">
        <f>IFERROR(__xludf.DUMMYFUNCTION("""COMPUTED_VALUE"""),"Dex")</f>
        <v>Dex</v>
      </c>
      <c r="B219" s="60"/>
      <c r="C219" s="61" t="str">
        <f>IFERROR(__xludf.DUMMYFUNCTION("""COMPUTED_VALUE"""),"Yes")</f>
        <v>Yes</v>
      </c>
      <c r="D219" s="62" t="str">
        <f>IFERROR(__xludf.DUMMYFUNCTION("""COMPUTED_VALUE"""),"Ad removal")</f>
        <v>Ad removal</v>
      </c>
      <c r="E219" s="61" t="str">
        <f>IFERROR(__xludf.DUMMYFUNCTION("""COMPUTED_VALUE"""),"rctgamer3")</f>
        <v>rctgamer3</v>
      </c>
      <c r="F219" s="63">
        <f>IFERROR(__xludf.DUMMYFUNCTION("""COMPUTED_VALUE"""),40871.0)</f>
        <v>40871</v>
      </c>
    </row>
    <row r="220">
      <c r="A220" s="59" t="str">
        <f>IFERROR(__xludf.DUMMYFUNCTION("""COMPUTED_VALUE"""),"Diamond Dash")</f>
        <v>Diamond Dash</v>
      </c>
      <c r="B220" s="60" t="str">
        <f>IFERROR(__xludf.DUMMYFUNCTION("""COMPUTED_VALUE"""),"2.0.1")</f>
        <v>2.0.1</v>
      </c>
      <c r="C220" s="61" t="str">
        <f>IFERROR(__xludf.DUMMYFUNCTION("""COMPUTED_VALUE"""),"Yes")</f>
        <v>Yes</v>
      </c>
      <c r="D220" s="62" t="str">
        <f>IFERROR(__xludf.DUMMYFUNCTION("""COMPUTED_VALUE"""),"It works if you have not log in appstore yet.")</f>
        <v>It works if you have not log in appstore yet.</v>
      </c>
      <c r="E220" s="61" t="str">
        <f>IFERROR(__xludf.DUMMYFUNCTION("""COMPUTED_VALUE"""),"ShadowDArK")</f>
        <v>ShadowDArK</v>
      </c>
      <c r="F220" s="63">
        <f>IFERROR(__xludf.DUMMYFUNCTION("""COMPUTED_VALUE"""),40973.0)</f>
        <v>40973</v>
      </c>
    </row>
    <row r="221">
      <c r="A221" s="59" t="str">
        <f>IFERROR(__xludf.DUMMYFUNCTION("""COMPUTED_VALUE"""),"Diamond Dash v1.3")</f>
        <v>Diamond Dash v1.3</v>
      </c>
      <c r="B221" s="60"/>
      <c r="C221" s="61" t="str">
        <f>IFERROR(__xludf.DUMMYFUNCTION("""COMPUTED_VALUE"""),"Yes")</f>
        <v>Yes</v>
      </c>
      <c r="D221" s="62" t="str">
        <f>IFERROR(__xludf.DUMMYFUNCTION("""COMPUTED_VALUE"""),"It works i bought 6000 golds...")</f>
        <v>It works i bought 6000 golds...</v>
      </c>
      <c r="E221" s="61" t="str">
        <f>IFERROR(__xludf.DUMMYFUNCTION("""COMPUTED_VALUE"""),"VorteX_VG")</f>
        <v>VorteX_VG</v>
      </c>
      <c r="F221" s="63">
        <f>IFERROR(__xludf.DUMMYFUNCTION("""COMPUTED_VALUE"""),40929.0)</f>
        <v>40929</v>
      </c>
    </row>
    <row r="222">
      <c r="A222" s="59" t="str">
        <f>IFERROR(__xludf.DUMMYFUNCTION("""COMPUTED_VALUE"""),"Dice Soccer")</f>
        <v>Dice Soccer</v>
      </c>
      <c r="B222" s="60"/>
      <c r="C222" s="61" t="str">
        <f>IFERROR(__xludf.DUMMYFUNCTION("""COMPUTED_VALUE"""),"Yes")</f>
        <v>Yes</v>
      </c>
      <c r="D222" s="62" t="str">
        <f>IFERROR(__xludf.DUMMYFUNCTION("""COMPUTED_VALUE"""),"Perfect! Can unlock everything: players, t-shirts, pants, etc...")</f>
        <v>Perfect! Can unlock everything: players, t-shirts, pants, etc...</v>
      </c>
      <c r="E222" s="61" t="str">
        <f>IFERROR(__xludf.DUMMYFUNCTION("""COMPUTED_VALUE"""),"Mazzacane")</f>
        <v>Mazzacane</v>
      </c>
      <c r="F222" s="63">
        <f>IFERROR(__xludf.DUMMYFUNCTION("""COMPUTED_VALUE"""),40931.0)</f>
        <v>40931</v>
      </c>
    </row>
    <row r="223">
      <c r="A223" s="59" t="str">
        <f>IFERROR(__xludf.DUMMYFUNCTION("""COMPUTED_VALUE"""),"DigSectional")</f>
        <v>DigSectional</v>
      </c>
      <c r="B223" s="60"/>
      <c r="C223" s="61" t="str">
        <f>IFERROR(__xludf.DUMMYFUNCTION("""COMPUTED_VALUE"""),"Yes")</f>
        <v>Yes</v>
      </c>
      <c r="D223" s="62" t="str">
        <f>IFERROR(__xludf.DUMMYFUNCTION("""COMPUTED_VALUE"""),"Synthetic Vision and Unlimited Yearly subscription")</f>
        <v>Synthetic Vision and Unlimited Yearly subscription</v>
      </c>
      <c r="E223" s="61" t="str">
        <f>IFERROR(__xludf.DUMMYFUNCTION("""COMPUTED_VALUE"""),"Atrcap")</f>
        <v>Atrcap</v>
      </c>
      <c r="F223" s="63">
        <f>IFERROR(__xludf.DUMMYFUNCTION("""COMPUTED_VALUE"""),40906.0)</f>
        <v>40906</v>
      </c>
    </row>
    <row r="224">
      <c r="A224" s="59" t="str">
        <f>IFERROR(__xludf.DUMMYFUNCTION("""COMPUTED_VALUE"""),"Diner Dash")</f>
        <v>Diner Dash</v>
      </c>
      <c r="B224" s="60"/>
      <c r="C224" s="61" t="str">
        <f>IFERROR(__xludf.DUMMYFUNCTION("""COMPUTED_VALUE"""),"Yes")</f>
        <v>Yes</v>
      </c>
      <c r="D224" s="62"/>
      <c r="E224" s="61" t="str">
        <f>IFERROR(__xludf.DUMMYFUNCTION("""COMPUTED_VALUE"""),"YoonaIsCute")</f>
        <v>YoonaIsCute</v>
      </c>
      <c r="F224" s="63">
        <f>IFERROR(__xludf.DUMMYFUNCTION("""COMPUTED_VALUE"""),40793.4569444444)</f>
        <v>40793.45694</v>
      </c>
    </row>
    <row r="225">
      <c r="A225" s="59" t="str">
        <f>IFERROR(__xludf.DUMMYFUNCTION("""COMPUTED_VALUE"""),"Diner Town Zoo ""version 1.9.14""")</f>
        <v>Diner Town Zoo "version 1.9.14"</v>
      </c>
      <c r="B225" s="60"/>
      <c r="C225" s="61" t="str">
        <f>IFERROR(__xludf.DUMMYFUNCTION("""COMPUTED_VALUE"""),"Yes")</f>
        <v>Yes</v>
      </c>
      <c r="D225" s="62"/>
      <c r="E225" s="61">
        <f>IFERROR(__xludf.DUMMYFUNCTION("""COMPUTED_VALUE"""),6102.0)</f>
        <v>6102</v>
      </c>
      <c r="F225" s="63">
        <f>IFERROR(__xludf.DUMMYFUNCTION("""COMPUTED_VALUE"""),40883.0)</f>
        <v>40883</v>
      </c>
    </row>
    <row r="226">
      <c r="A226" s="59" t="str">
        <f>IFERROR(__xludf.DUMMYFUNCTION("""COMPUTED_VALUE"""),"Dinner Dash Deluxe")</f>
        <v>Dinner Dash Deluxe</v>
      </c>
      <c r="B226" s="60" t="str">
        <f>IFERROR(__xludf.DUMMYFUNCTION("""COMPUTED_VALUE"""),"3.14.S")</f>
        <v>3.14.S</v>
      </c>
      <c r="C226" s="61" t="str">
        <f>IFERROR(__xludf.DUMMYFUNCTION("""COMPUTED_VALUE"""),"Yes")</f>
        <v>Yes</v>
      </c>
      <c r="D226" s="62" t="str">
        <f>IFERROR(__xludf.DUMMYFUNCTION("""COMPUTED_VALUE"""),"Can purchase everything like levels, items. Purchase window pop up, but you will get what you need right after you hit the button. ")</f>
        <v>Can purchase everything like levels, items. Purchase window pop up, but you will get what you need right after you hit the button. </v>
      </c>
      <c r="E226" s="61" t="str">
        <f>IFERROR(__xludf.DUMMYFUNCTION("""COMPUTED_VALUE"""),"alanle92")</f>
        <v>alanle92</v>
      </c>
      <c r="F226" s="63">
        <f>IFERROR(__xludf.DUMMYFUNCTION("""COMPUTED_VALUE"""),41096.0)</f>
        <v>41096</v>
      </c>
    </row>
    <row r="227">
      <c r="A227" s="59" t="str">
        <f>IFERROR(__xludf.DUMMYFUNCTION("""COMPUTED_VALUE"""),"Dino Cap 2")</f>
        <v>Dino Cap 2</v>
      </c>
      <c r="B227" s="60"/>
      <c r="C227" s="61" t="str">
        <f>IFERROR(__xludf.DUMMYFUNCTION("""COMPUTED_VALUE"""),"Yes")</f>
        <v>Yes</v>
      </c>
      <c r="D227" s="62" t="str">
        <f>IFERROR(__xludf.DUMMYFUNCTION("""COMPUTED_VALUE"""),"Works with coin and XXL Clips.")</f>
        <v>Works with coin and XXL Clips.</v>
      </c>
      <c r="E227" s="61" t="str">
        <f>IFERROR(__xludf.DUMMYFUNCTION("""COMPUTED_VALUE"""),"ducksgotswag")</f>
        <v>ducksgotswag</v>
      </c>
      <c r="F227" s="63">
        <f>IFERROR(__xludf.DUMMYFUNCTION("""COMPUTED_VALUE"""),40905.0)</f>
        <v>40905</v>
      </c>
    </row>
    <row r="228">
      <c r="A228" s="59" t="str">
        <f>IFERROR(__xludf.DUMMYFUNCTION("""COMPUTED_VALUE"""),"Dino Puzzle HD")</f>
        <v>Dino Puzzle HD</v>
      </c>
      <c r="B228" s="60"/>
      <c r="C228" s="61" t="str">
        <f>IFERROR(__xludf.DUMMYFUNCTION("""COMPUTED_VALUE"""),"Yes")</f>
        <v>Yes</v>
      </c>
      <c r="D228" s="62" t="str">
        <f>IFERROR(__xludf.DUMMYFUNCTION("""COMPUTED_VALUE"""),"Unlock all 15 Dinosauer Pack")</f>
        <v>Unlock all 15 Dinosauer Pack</v>
      </c>
      <c r="E228" s="61" t="str">
        <f>IFERROR(__xludf.DUMMYFUNCTION("""COMPUTED_VALUE"""),"Vista2k7")</f>
        <v>Vista2k7</v>
      </c>
      <c r="F228" s="63">
        <f>IFERROR(__xludf.DUMMYFUNCTION("""COMPUTED_VALUE"""),40926.0)</f>
        <v>40926</v>
      </c>
    </row>
    <row r="229">
      <c r="A229" s="59" t="str">
        <f>IFERROR(__xludf.DUMMYFUNCTION("""COMPUTED_VALUE"""),"Dino Puzzles 2 HD")</f>
        <v>Dino Puzzles 2 HD</v>
      </c>
      <c r="B229" s="60"/>
      <c r="C229" s="61" t="str">
        <f>IFERROR(__xludf.DUMMYFUNCTION("""COMPUTED_VALUE"""),"Yes")</f>
        <v>Yes</v>
      </c>
      <c r="D229" s="62" t="str">
        <f>IFERROR(__xludf.DUMMYFUNCTION("""COMPUTED_VALUE"""),"Unlock all the rest of the Dinosuer Pack")</f>
        <v>Unlock all the rest of the Dinosuer Pack</v>
      </c>
      <c r="E229" s="61" t="str">
        <f>IFERROR(__xludf.DUMMYFUNCTION("""COMPUTED_VALUE"""),"Vista2k7")</f>
        <v>Vista2k7</v>
      </c>
      <c r="F229" s="63">
        <f>IFERROR(__xludf.DUMMYFUNCTION("""COMPUTED_VALUE"""),40926.0)</f>
        <v>40926</v>
      </c>
    </row>
    <row r="230">
      <c r="A230" s="59" t="str">
        <f>IFERROR(__xludf.DUMMYFUNCTION("""COMPUTED_VALUE"""),"Dino Zoo")</f>
        <v>Dino Zoo</v>
      </c>
      <c r="B230" s="60"/>
      <c r="C230" s="61" t="str">
        <f>IFERROR(__xludf.DUMMYFUNCTION("""COMPUTED_VALUE"""),"Yes")</f>
        <v>Yes</v>
      </c>
      <c r="D230" s="62" t="str">
        <f>IFERROR(__xludf.DUMMYFUNCTION("""COMPUTED_VALUE"""),"Works for everything")</f>
        <v>Works for everything</v>
      </c>
      <c r="E230" s="61"/>
      <c r="F230" s="63">
        <f>IFERROR(__xludf.DUMMYFUNCTION("""COMPUTED_VALUE"""),41005.0)</f>
        <v>41005</v>
      </c>
    </row>
    <row r="231">
      <c r="A231" s="59" t="str">
        <f>IFERROR(__xludf.DUMMYFUNCTION("""COMPUTED_VALUE"""),"Diptic")</f>
        <v>Diptic</v>
      </c>
      <c r="B231" s="60"/>
      <c r="C231" s="61" t="str">
        <f>IFERROR(__xludf.DUMMYFUNCTION("""COMPUTED_VALUE"""),"Yes")</f>
        <v>Yes</v>
      </c>
      <c r="D231" s="62"/>
      <c r="E231" s="61" t="str">
        <f>IFERROR(__xludf.DUMMYFUNCTION("""COMPUTED_VALUE"""),"Greek-Immortal")</f>
        <v>Greek-Immortal</v>
      </c>
      <c r="F231" s="63">
        <f>IFERROR(__xludf.DUMMYFUNCTION("""COMPUTED_VALUE"""),40905.0)</f>
        <v>40905</v>
      </c>
    </row>
    <row r="232">
      <c r="A232" s="59" t="str">
        <f>IFERROR(__xludf.DUMMYFUNCTION("""COMPUTED_VALUE"""),"Disc Drivin'")</f>
        <v>Disc Drivin'</v>
      </c>
      <c r="B232" s="60"/>
      <c r="C232" s="61" t="str">
        <f>IFERROR(__xludf.DUMMYFUNCTION("""COMPUTED_VALUE"""),"Yes")</f>
        <v>Yes</v>
      </c>
      <c r="D232" s="62" t="str">
        <f>IFERROR(__xludf.DUMMYFUNCTION("""COMPUTED_VALUE"""),"Perfect! You can buy all design discs...")</f>
        <v>Perfect! You can buy all design discs...</v>
      </c>
      <c r="E232" s="61"/>
      <c r="F232" s="41"/>
    </row>
    <row r="233">
      <c r="A233" s="59" t="str">
        <f>IFERROR(__xludf.DUMMYFUNCTION("""COMPUTED_VALUE"""),"Disposable")</f>
        <v>Disposable</v>
      </c>
      <c r="B233" s="60"/>
      <c r="C233" s="61" t="str">
        <f>IFERROR(__xludf.DUMMYFUNCTION("""COMPUTED_VALUE"""),"Yes")</f>
        <v>Yes</v>
      </c>
      <c r="D233" s="62" t="str">
        <f>IFERROR(__xludf.DUMMYFUNCTION("""COMPUTED_VALUE"""),"Works great with all in-app.")</f>
        <v>Works great with all in-app.</v>
      </c>
      <c r="E233" s="61" t="str">
        <f>IFERROR(__xludf.DUMMYFUNCTION("""COMPUTED_VALUE"""),"Greek-Immortal")</f>
        <v>Greek-Immortal</v>
      </c>
      <c r="F233" s="63">
        <f>IFERROR(__xludf.DUMMYFUNCTION("""COMPUTED_VALUE"""),40915.0)</f>
        <v>40915</v>
      </c>
    </row>
    <row r="234">
      <c r="A234" s="59" t="str">
        <f>IFERROR(__xludf.DUMMYFUNCTION("""COMPUTED_VALUE"""),"Do Not Press The Red Button")</f>
        <v>Do Not Press The Red Button</v>
      </c>
      <c r="B234" s="60"/>
      <c r="C234" s="61" t="str">
        <f>IFERROR(__xludf.DUMMYFUNCTION("""COMPUTED_VALUE"""),"Yes")</f>
        <v>Yes</v>
      </c>
      <c r="D234" s="62" t="str">
        <f>IFERROR(__xludf.DUMMYFUNCTION("""COMPUTED_VALUE"""),"Use latest iAP Cracker")</f>
        <v>Use latest iAP Cracker</v>
      </c>
      <c r="E234" s="61" t="str">
        <f>IFERROR(__xludf.DUMMYFUNCTION("""COMPUTED_VALUE"""),"luudaigiang")</f>
        <v>luudaigiang</v>
      </c>
      <c r="F234" s="63">
        <f>IFERROR(__xludf.DUMMYFUNCTION("""COMPUTED_VALUE"""),40916.0)</f>
        <v>40916</v>
      </c>
    </row>
    <row r="235">
      <c r="A235" s="59" t="str">
        <f>IFERROR(__xludf.DUMMYFUNCTION("""COMPUTED_VALUE"""),"DocScan")</f>
        <v>DocScan</v>
      </c>
      <c r="B235" s="60"/>
      <c r="C235" s="61" t="str">
        <f>IFERROR(__xludf.DUMMYFUNCTION("""COMPUTED_VALUE"""),"Yes")</f>
        <v>Yes</v>
      </c>
      <c r="D235" s="62"/>
      <c r="E235" s="61" t="str">
        <f>IFERROR(__xludf.DUMMYFUNCTION("""COMPUTED_VALUE"""),"[Ars]Giang")</f>
        <v>[Ars]Giang</v>
      </c>
      <c r="F235" s="63">
        <f>IFERROR(__xludf.DUMMYFUNCTION("""COMPUTED_VALUE"""),40917.0)</f>
        <v>40917</v>
      </c>
    </row>
    <row r="236">
      <c r="A236" s="59" t="str">
        <f>IFERROR(__xludf.DUMMYFUNCTION("""COMPUTED_VALUE"""),"Doctor Who: The Mazes of Time")</f>
        <v>Doctor Who: The Mazes of Time</v>
      </c>
      <c r="B236" s="60"/>
      <c r="C236" s="61" t="str">
        <f>IFERROR(__xludf.DUMMYFUNCTION("""COMPUTED_VALUE"""),"Yes")</f>
        <v>Yes</v>
      </c>
      <c r="D236" s="62" t="str">
        <f>IFERROR(__xludf.DUMMYFUNCTION("""COMPUTED_VALUE"""),"Works perfectly for all purchases")</f>
        <v>Works perfectly for all purchases</v>
      </c>
      <c r="E236" s="61" t="str">
        <f>IFERROR(__xludf.DUMMYFUNCTION("""COMPUTED_VALUE"""),"Qixx")</f>
        <v>Qixx</v>
      </c>
      <c r="F236" s="63">
        <f>IFERROR(__xludf.DUMMYFUNCTION("""COMPUTED_VALUE"""),40948.0)</f>
        <v>40948</v>
      </c>
    </row>
    <row r="237">
      <c r="A237" s="59" t="str">
        <f>IFERROR(__xludf.DUMMYFUNCTION("""COMPUTED_VALUE"""),"Don't Blink")</f>
        <v>Don't Blink</v>
      </c>
      <c r="B237" s="60"/>
      <c r="C237" s="61" t="str">
        <f>IFERROR(__xludf.DUMMYFUNCTION("""COMPUTED_VALUE"""),"Yes")</f>
        <v>Yes</v>
      </c>
      <c r="D237" s="62"/>
      <c r="E237" s="61" t="str">
        <f>IFERROR(__xludf.DUMMYFUNCTION("""COMPUTED_VALUE"""),"mytich")</f>
        <v>mytich</v>
      </c>
      <c r="F237" s="63">
        <f>IFERROR(__xludf.DUMMYFUNCTION("""COMPUTED_VALUE"""),40794.0)</f>
        <v>40794</v>
      </c>
    </row>
    <row r="238">
      <c r="A238" s="59" t="str">
        <f>IFERROR(__xludf.DUMMYFUNCTION("""COMPUTED_VALUE"""),"Don't Run With a Plasma Sword")</f>
        <v>Don't Run With a Plasma Sword</v>
      </c>
      <c r="B238" s="60"/>
      <c r="C238" s="61" t="str">
        <f>IFERROR(__xludf.DUMMYFUNCTION("""COMPUTED_VALUE"""),"Yes")</f>
        <v>Yes</v>
      </c>
      <c r="D238" s="62" t="str">
        <f>IFERROR(__xludf.DUMMYFUNCTION("""COMPUTED_VALUE"""),"1.1.0 Purchases works")</f>
        <v>1.1.0 Purchases works</v>
      </c>
      <c r="E238" s="61" t="str">
        <f>IFERROR(__xludf.DUMMYFUNCTION("""COMPUTED_VALUE"""),"Keigo@ZA")</f>
        <v>Keigo@ZA</v>
      </c>
      <c r="F238" s="63">
        <f>IFERROR(__xludf.DUMMYFUNCTION("""COMPUTED_VALUE"""),40944.0)</f>
        <v>40944</v>
      </c>
    </row>
    <row r="239">
      <c r="A239" s="59" t="str">
        <f>IFERROR(__xludf.DUMMYFUNCTION("""COMPUTED_VALUE"""),"Doodle Arcade Shooter")</f>
        <v>Doodle Arcade Shooter</v>
      </c>
      <c r="B239" s="60"/>
      <c r="C239" s="61" t="str">
        <f>IFERROR(__xludf.DUMMYFUNCTION("""COMPUTED_VALUE"""),"Yes")</f>
        <v>Yes</v>
      </c>
      <c r="D239" s="62"/>
      <c r="E239" s="61" t="str">
        <f>IFERROR(__xludf.DUMMYFUNCTION("""COMPUTED_VALUE"""),"zus")</f>
        <v>zus</v>
      </c>
      <c r="F239" s="63">
        <f>IFERROR(__xludf.DUMMYFUNCTION("""COMPUTED_VALUE"""),40945.0)</f>
        <v>40945</v>
      </c>
    </row>
    <row r="240">
      <c r="A240" s="59" t="str">
        <f>IFERROR(__xludf.DUMMYFUNCTION("""COMPUTED_VALUE"""),"Doodle Cam")</f>
        <v>Doodle Cam</v>
      </c>
      <c r="B240" s="60"/>
      <c r="C240" s="61" t="str">
        <f>IFERROR(__xludf.DUMMYFUNCTION("""COMPUTED_VALUE"""),"Yes")</f>
        <v>Yes</v>
      </c>
      <c r="D240" s="62"/>
      <c r="E240" s="61" t="str">
        <f>IFERROR(__xludf.DUMMYFUNCTION("""COMPUTED_VALUE"""),"Persephone")</f>
        <v>Persephone</v>
      </c>
      <c r="F240" s="63">
        <f>IFERROR(__xludf.DUMMYFUNCTION("""COMPUTED_VALUE"""),40780.0)</f>
        <v>40780</v>
      </c>
    </row>
    <row r="241">
      <c r="A241" s="59" t="str">
        <f>IFERROR(__xludf.DUMMYFUNCTION("""COMPUTED_VALUE"""),"Doodle Devil")</f>
        <v>Doodle Devil</v>
      </c>
      <c r="B241" s="60"/>
      <c r="C241" s="61" t="str">
        <f>IFERROR(__xludf.DUMMYFUNCTION("""COMPUTED_VALUE"""),"Yes")</f>
        <v>Yes</v>
      </c>
      <c r="D241" s="62" t="str">
        <f>IFERROR(__xludf.DUMMYFUNCTION("""COMPUTED_VALUE"""),"Works Perfectly")</f>
        <v>Works Perfectly</v>
      </c>
      <c r="E241" s="61"/>
      <c r="F241" s="41"/>
    </row>
    <row r="242">
      <c r="A242" s="59" t="str">
        <f>IFERROR(__xludf.DUMMYFUNCTION("""COMPUTED_VALUE"""),"Doodle Fit")</f>
        <v>Doodle Fit</v>
      </c>
      <c r="B242" s="60"/>
      <c r="C242" s="61" t="str">
        <f>IFERROR(__xludf.DUMMYFUNCTION("""COMPUTED_VALUE"""),"Yes")</f>
        <v>Yes</v>
      </c>
      <c r="D242" s="62"/>
      <c r="E242" s="61" t="str">
        <f>IFERROR(__xludf.DUMMYFUNCTION("""COMPUTED_VALUE"""),"Moose")</f>
        <v>Moose</v>
      </c>
      <c r="F242" s="63">
        <f>IFERROR(__xludf.DUMMYFUNCTION("""COMPUTED_VALUE"""),40920.0)</f>
        <v>40920</v>
      </c>
    </row>
    <row r="243">
      <c r="A243" s="59" t="str">
        <f>IFERROR(__xludf.DUMMYFUNCTION("""COMPUTED_VALUE"""),"Doodle Grub")</f>
        <v>Doodle Grub</v>
      </c>
      <c r="B243" s="60"/>
      <c r="C243" s="61" t="str">
        <f>IFERROR(__xludf.DUMMYFUNCTION("""COMPUTED_VALUE"""),"Yes")</f>
        <v>Yes</v>
      </c>
      <c r="D243" s="62" t="str">
        <f>IFERROR(__xludf.DUMMYFUNCTION("""COMPUTED_VALUE"""),"crashes the first time, but it works after that")</f>
        <v>crashes the first time, but it works after that</v>
      </c>
      <c r="E243" s="61" t="str">
        <f>IFERROR(__xludf.DUMMYFUNCTION("""COMPUTED_VALUE"""),"LogiTexX")</f>
        <v>LogiTexX</v>
      </c>
      <c r="F243" s="63">
        <f>IFERROR(__xludf.DUMMYFUNCTION("""COMPUTED_VALUE"""),40955.0)</f>
        <v>40955</v>
      </c>
    </row>
    <row r="244">
      <c r="A244" s="59" t="str">
        <f>IFERROR(__xludf.DUMMYFUNCTION("""COMPUTED_VALUE"""),"Doraemon Fishing 2")</f>
        <v>Doraemon Fishing 2</v>
      </c>
      <c r="B244" s="60"/>
      <c r="C244" s="61" t="str">
        <f>IFERROR(__xludf.DUMMYFUNCTION("""COMPUTED_VALUE"""),"Yes")</f>
        <v>Yes</v>
      </c>
      <c r="D244" s="62"/>
      <c r="E244" s="61"/>
      <c r="F244" s="41"/>
    </row>
    <row r="245">
      <c r="A245" s="59" t="str">
        <f>IFERROR(__xludf.DUMMYFUNCTION("""COMPUTED_VALUE"""),"Doraemon Fishing+")</f>
        <v>Doraemon Fishing+</v>
      </c>
      <c r="B245" s="60"/>
      <c r="C245" s="61" t="str">
        <f>IFERROR(__xludf.DUMMYFUNCTION("""COMPUTED_VALUE"""),"Yes")</f>
        <v>Yes</v>
      </c>
      <c r="D245" s="62"/>
      <c r="E245" s="61"/>
      <c r="F245" s="41"/>
    </row>
    <row r="246">
      <c r="A246" s="59" t="str">
        <f>IFERROR(__xludf.DUMMYFUNCTION("""COMPUTED_VALUE"""),"Drag racing Free")</f>
        <v>Drag racing Free</v>
      </c>
      <c r="B246" s="60"/>
      <c r="C246" s="61" t="str">
        <f>IFERROR(__xludf.DUMMYFUNCTION("""COMPUTED_VALUE"""),"Yes")</f>
        <v>Yes</v>
      </c>
      <c r="D246" s="62" t="str">
        <f>IFERROR(__xludf.DUMMYFUNCTION("""COMPUTED_VALUE"""),"Infinite RP and ad removal working.")</f>
        <v>Infinite RP and ad removal working.</v>
      </c>
      <c r="E246" s="61" t="str">
        <f>IFERROR(__xludf.DUMMYFUNCTION("""COMPUTED_VALUE"""),"Barnzey94")</f>
        <v>Barnzey94</v>
      </c>
      <c r="F246" s="63">
        <f>IFERROR(__xludf.DUMMYFUNCTION("""COMPUTED_VALUE"""),40912.0)</f>
        <v>40912</v>
      </c>
    </row>
    <row r="247">
      <c r="A247" s="59" t="str">
        <f>IFERROR(__xludf.DUMMYFUNCTION("""COMPUTED_VALUE"""),"Dragonvale")</f>
        <v>Dragonvale</v>
      </c>
      <c r="B247" s="60"/>
      <c r="C247" s="61" t="str">
        <f>IFERROR(__xludf.DUMMYFUNCTION("""COMPUTED_VALUE"""),"Yes")</f>
        <v>Yes</v>
      </c>
      <c r="D247" s="62" t="str">
        <f>IFERROR(__xludf.DUMMYFUNCTION("""COMPUTED_VALUE"""),"Works with everything")</f>
        <v>Works with everything</v>
      </c>
      <c r="E247" s="61" t="str">
        <f>IFERROR(__xludf.DUMMYFUNCTION("""COMPUTED_VALUE"""),"J:)")</f>
        <v>J:)</v>
      </c>
      <c r="F247" s="63">
        <f>IFERROR(__xludf.DUMMYFUNCTION("""COMPUTED_VALUE"""),40914.0)</f>
        <v>40914</v>
      </c>
    </row>
    <row r="248">
      <c r="A248" s="59" t="str">
        <f>IFERROR(__xludf.DUMMYFUNCTION("""COMPUTED_VALUE"""),"DragonVale")</f>
        <v>DragonVale</v>
      </c>
      <c r="B248" s="60" t="str">
        <f>IFERROR(__xludf.DUMMYFUNCTION("""COMPUTED_VALUE"""),"1.8.1")</f>
        <v>1.8.1</v>
      </c>
      <c r="C248" s="61" t="str">
        <f>IFERROR(__xludf.DUMMYFUNCTION("""COMPUTED_VALUE"""),"Yes")</f>
        <v>Yes</v>
      </c>
      <c r="D248" s="62" t="str">
        <f>IFERROR(__xludf.DUMMYFUNCTION("""COMPUTED_VALUE"""),"Still works on everything")</f>
        <v>Still works on everything</v>
      </c>
      <c r="E248" s="61"/>
      <c r="F248" s="63">
        <f>IFERROR(__xludf.DUMMYFUNCTION("""COMPUTED_VALUE"""),41095.0)</f>
        <v>41095</v>
      </c>
    </row>
    <row r="249">
      <c r="A249" s="59" t="str">
        <f>IFERROR(__xludf.DUMMYFUNCTION("""COMPUTED_VALUE"""),"DrakeRider")</f>
        <v>DrakeRider</v>
      </c>
      <c r="B249" s="60"/>
      <c r="C249" s="61" t="str">
        <f>IFERROR(__xludf.DUMMYFUNCTION("""COMPUTED_VALUE"""),"Yes")</f>
        <v>Yes</v>
      </c>
      <c r="D249" s="62" t="str">
        <f>IFERROR(__xludf.DUMMYFUNCTION("""COMPUTED_VALUE"""),"Unlock all chapters. Buy all content")</f>
        <v>Unlock all chapters. Buy all content</v>
      </c>
      <c r="E249" s="61" t="str">
        <f>IFERROR(__xludf.DUMMYFUNCTION("""COMPUTED_VALUE"""),"AquaKev")</f>
        <v>AquaKev</v>
      </c>
      <c r="F249" s="63">
        <f>IFERROR(__xludf.DUMMYFUNCTION("""COMPUTED_VALUE"""),41177.0)</f>
        <v>41177</v>
      </c>
    </row>
    <row r="250">
      <c r="A250" s="59" t="str">
        <f>IFERROR(__xludf.DUMMYFUNCTION("""COMPUTED_VALUE"""),"Draw Pad Pro")</f>
        <v>Draw Pad Pro</v>
      </c>
      <c r="B250" s="60"/>
      <c r="C250" s="61" t="str">
        <f>IFERROR(__xludf.DUMMYFUNCTION("""COMPUTED_VALUE"""),"Yes")</f>
        <v>Yes</v>
      </c>
      <c r="D250" s="62" t="str">
        <f>IFERROR(__xludf.DUMMYFUNCTION("""COMPUTED_VALUE"""),"Purchase in App Photo Add-on Tool.")</f>
        <v>Purchase in App Photo Add-on Tool.</v>
      </c>
      <c r="E250" s="61" t="str">
        <f>IFERROR(__xludf.DUMMYFUNCTION("""COMPUTED_VALUE"""),"IamAwesom3, rctgamer3")</f>
        <v>IamAwesom3, rctgamer3</v>
      </c>
      <c r="F250" s="63">
        <f>IFERROR(__xludf.DUMMYFUNCTION("""COMPUTED_VALUE"""),40935.0)</f>
        <v>40935</v>
      </c>
    </row>
    <row r="251">
      <c r="A251" s="59" t="str">
        <f>IFERROR(__xludf.DUMMYFUNCTION("""COMPUTED_VALUE"""),"Drawn 2 (free)")</f>
        <v>Drawn 2 (free)</v>
      </c>
      <c r="B251" s="60"/>
      <c r="C251" s="61" t="str">
        <f>IFERROR(__xludf.DUMMYFUNCTION("""COMPUTED_VALUE"""),"Yes")</f>
        <v>Yes</v>
      </c>
      <c r="D251" s="62" t="str">
        <f>IFERROR(__xludf.DUMMYFUNCTION("""COMPUTED_VALUE"""),"Unlock full version from within the free version with no login")</f>
        <v>Unlock full version from within the free version with no login</v>
      </c>
      <c r="E251" s="61" t="str">
        <f>IFERROR(__xludf.DUMMYFUNCTION("""COMPUTED_VALUE"""),"ISOHaven")</f>
        <v>ISOHaven</v>
      </c>
      <c r="F251" s="63">
        <f>IFERROR(__xludf.DUMMYFUNCTION("""COMPUTED_VALUE"""),40884.0)</f>
        <v>40884</v>
      </c>
    </row>
    <row r="252">
      <c r="A252" s="59" t="str">
        <f>IFERROR(__xludf.DUMMYFUNCTION("""COMPUTED_VALUE"""),"DrawRace 2")</f>
        <v>DrawRace 2</v>
      </c>
      <c r="B252" s="60"/>
      <c r="C252" s="61" t="str">
        <f>IFERROR(__xludf.DUMMYFUNCTION("""COMPUTED_VALUE"""),"Yes")</f>
        <v>Yes</v>
      </c>
      <c r="D252" s="62"/>
      <c r="E252" s="61"/>
      <c r="F252" s="41"/>
    </row>
    <row r="253">
      <c r="A253" s="59" t="str">
        <f>IFERROR(__xludf.DUMMYFUNCTION("""COMPUTED_VALUE"""),"Dream League Soccer")</f>
        <v>Dream League Soccer</v>
      </c>
      <c r="B253" s="60"/>
      <c r="C253" s="61" t="str">
        <f>IFERROR(__xludf.DUMMYFUNCTION("""COMPUTED_VALUE"""),"Yes")</f>
        <v>Yes</v>
      </c>
      <c r="D253" s="62" t="str">
        <f>IFERROR(__xludf.DUMMYFUNCTION("""COMPUTED_VALUE"""),"Purchasing coins works perfectly. ")</f>
        <v>Purchasing coins works perfectly. </v>
      </c>
      <c r="E253" s="61" t="str">
        <f>IFERROR(__xludf.DUMMYFUNCTION("""COMPUTED_VALUE"""),"YoungStarDC")</f>
        <v>YoungStarDC</v>
      </c>
      <c r="F253" s="63">
        <f>IFERROR(__xludf.DUMMYFUNCTION("""COMPUTED_VALUE"""),40903.0)</f>
        <v>40903</v>
      </c>
    </row>
    <row r="254">
      <c r="A254" s="59" t="str">
        <f>IFERROR(__xludf.DUMMYFUNCTION("""COMPUTED_VALUE"""),"Dream Park")</f>
        <v>Dream Park</v>
      </c>
      <c r="B254" s="60"/>
      <c r="C254" s="61" t="str">
        <f>IFERROR(__xludf.DUMMYFUNCTION("""COMPUTED_VALUE"""),"Yes")</f>
        <v>Yes</v>
      </c>
      <c r="D254" s="62"/>
      <c r="E254" s="61" t="str">
        <f>IFERROR(__xludf.DUMMYFUNCTION("""COMPUTED_VALUE"""),"Maxo396")</f>
        <v>Maxo396</v>
      </c>
      <c r="F254" s="63">
        <f>IFERROR(__xludf.DUMMYFUNCTION("""COMPUTED_VALUE"""),40876.0)</f>
        <v>40876</v>
      </c>
    </row>
    <row r="255">
      <c r="A255" s="59" t="str">
        <f>IFERROR(__xludf.DUMMYFUNCTION("""COMPUTED_VALUE"""),"Dress Taylor")</f>
        <v>Dress Taylor</v>
      </c>
      <c r="B255" s="60"/>
      <c r="C255" s="61" t="str">
        <f>IFERROR(__xludf.DUMMYFUNCTION("""COMPUTED_VALUE"""),"Yes")</f>
        <v>Yes</v>
      </c>
      <c r="D255" s="62" t="str">
        <f>IFERROR(__xludf.DUMMYFUNCTION("""COMPUTED_VALUE"""),"Unlocks all dresses, accessories, shoes and backgrounds.")</f>
        <v>Unlocks all dresses, accessories, shoes and backgrounds.</v>
      </c>
      <c r="E255" s="61" t="str">
        <f>IFERROR(__xludf.DUMMYFUNCTION("""COMPUTED_VALUE"""),"Saitz")</f>
        <v>Saitz</v>
      </c>
      <c r="F255" s="63">
        <f>IFERROR(__xludf.DUMMYFUNCTION("""COMPUTED_VALUE"""),40911.0)</f>
        <v>40911</v>
      </c>
    </row>
    <row r="256">
      <c r="A256" s="59" t="str">
        <f>IFERROR(__xludf.DUMMYFUNCTION("""COMPUTED_VALUE"""),"Duck Hunt Crazy")</f>
        <v>Duck Hunt Crazy</v>
      </c>
      <c r="B256" s="60"/>
      <c r="C256" s="61" t="str">
        <f>IFERROR(__xludf.DUMMYFUNCTION("""COMPUTED_VALUE"""),"Yes")</f>
        <v>Yes</v>
      </c>
      <c r="D256" s="62"/>
      <c r="E256" s="61" t="str">
        <f>IFERROR(__xludf.DUMMYFUNCTION("""COMPUTED_VALUE"""),"jacfook")</f>
        <v>jacfook</v>
      </c>
      <c r="F256" s="63">
        <f>IFERROR(__xludf.DUMMYFUNCTION("""COMPUTED_VALUE"""),40884.0)</f>
        <v>40884</v>
      </c>
    </row>
    <row r="257">
      <c r="A257" s="59" t="str">
        <f>IFERROR(__xludf.DUMMYFUNCTION("""COMPUTED_VALUE"""),"Duck Shoot")</f>
        <v>Duck Shoot</v>
      </c>
      <c r="B257" s="60"/>
      <c r="C257" s="61" t="str">
        <f>IFERROR(__xludf.DUMMYFUNCTION("""COMPUTED_VALUE"""),"Yes")</f>
        <v>Yes</v>
      </c>
      <c r="D257" s="62" t="str">
        <f>IFERROR(__xludf.DUMMYFUNCTION("""COMPUTED_VALUE"""),"add more shooting galleries")</f>
        <v>add more shooting galleries</v>
      </c>
      <c r="E257" s="61" t="str">
        <f>IFERROR(__xludf.DUMMYFUNCTION("""COMPUTED_VALUE"""),"Carnage")</f>
        <v>Carnage</v>
      </c>
      <c r="F257" s="41"/>
    </row>
    <row r="258">
      <c r="A258" s="59" t="str">
        <f>IFERROR(__xludf.DUMMYFUNCTION("""COMPUTED_VALUE"""),"Dude Perfect")</f>
        <v>Dude Perfect</v>
      </c>
      <c r="B258" s="60"/>
      <c r="C258" s="61" t="str">
        <f>IFERROR(__xludf.DUMMYFUNCTION("""COMPUTED_VALUE"""),"Yes")</f>
        <v>Yes</v>
      </c>
      <c r="D258" s="62"/>
      <c r="E258" s="61" t="str">
        <f>IFERROR(__xludf.DUMMYFUNCTION("""COMPUTED_VALUE"""),"PFost19")</f>
        <v>PFost19</v>
      </c>
      <c r="F258" s="63">
        <f>IFERROR(__xludf.DUMMYFUNCTION("""COMPUTED_VALUE"""),40939.0)</f>
        <v>40939</v>
      </c>
    </row>
    <row r="259">
      <c r="A259" s="59" t="str">
        <f>IFERROR(__xludf.DUMMYFUNCTION("""COMPUTED_VALUE"""),"Duel: Blade and Magic")</f>
        <v>Duel: Blade and Magic</v>
      </c>
      <c r="B259" s="60"/>
      <c r="C259" s="61" t="str">
        <f>IFERROR(__xludf.DUMMYFUNCTION("""COMPUTED_VALUE"""),"Yes")</f>
        <v>Yes</v>
      </c>
      <c r="D259" s="62" t="str">
        <f>IFERROR(__xludf.DUMMYFUNCTION("""COMPUTED_VALUE"""),"Can open pandora's box ")</f>
        <v>Can open pandora's box </v>
      </c>
      <c r="E259" s="61" t="str">
        <f>IFERROR(__xludf.DUMMYFUNCTION("""COMPUTED_VALUE"""),"baothai")</f>
        <v>baothai</v>
      </c>
      <c r="F259" s="63">
        <f>IFERROR(__xludf.DUMMYFUNCTION("""COMPUTED_VALUE"""),40892.0)</f>
        <v>40892</v>
      </c>
    </row>
    <row r="260">
      <c r="A260" s="59" t="str">
        <f>IFERROR(__xludf.DUMMYFUNCTION("""COMPUTED_VALUE"""),"Dumpert")</f>
        <v>Dumpert</v>
      </c>
      <c r="B260" s="60"/>
      <c r="C260" s="61" t="str">
        <f>IFERROR(__xludf.DUMMYFUNCTION("""COMPUTED_VALUE"""),"Yes")</f>
        <v>Yes</v>
      </c>
      <c r="D260" s="62" t="str">
        <f>IFERROR(__xludf.DUMMYFUNCTION("""COMPUTED_VALUE"""),"Read comment for awesome &gt;")</f>
        <v>Read comment for awesome &gt;</v>
      </c>
      <c r="E260" s="61" t="str">
        <f>IFERROR(__xludf.DUMMYFUNCTION("""COMPUTED_VALUE"""),"rctgamer3")</f>
        <v>rctgamer3</v>
      </c>
      <c r="F260" s="63">
        <f>IFERROR(__xludf.DUMMYFUNCTION("""COMPUTED_VALUE"""),40892.0)</f>
        <v>40892</v>
      </c>
    </row>
    <row r="261">
      <c r="A261" s="59" t="str">
        <f>IFERROR(__xludf.DUMMYFUNCTION("""COMPUTED_VALUE"""),"Dungeon Defenders")</f>
        <v>Dungeon Defenders</v>
      </c>
      <c r="B261" s="60"/>
      <c r="C261" s="61" t="str">
        <f>IFERROR(__xludf.DUMMYFUNCTION("""COMPUTED_VALUE"""),"Yes")</f>
        <v>Yes</v>
      </c>
      <c r="D261" s="62" t="str">
        <f>IFERROR(__xludf.DUMMYFUNCTION("""COMPUTED_VALUE"""),"Everything works")</f>
        <v>Everything works</v>
      </c>
      <c r="E261" s="61" t="str">
        <f>IFERROR(__xludf.DUMMYFUNCTION("""COMPUTED_VALUE"""),"Greek-Immortal")</f>
        <v>Greek-Immortal</v>
      </c>
      <c r="F261" s="63">
        <f>IFERROR(__xludf.DUMMYFUNCTION("""COMPUTED_VALUE"""),40908.0)</f>
        <v>40908</v>
      </c>
    </row>
    <row r="262">
      <c r="A262" s="59" t="str">
        <f>IFERROR(__xludf.DUMMYFUNCTION("""COMPUTED_VALUE"""),"Early Bird")</f>
        <v>Early Bird</v>
      </c>
      <c r="B262" s="60"/>
      <c r="C262" s="61" t="str">
        <f>IFERROR(__xludf.DUMMYFUNCTION("""COMPUTED_VALUE"""),"Yes")</f>
        <v>Yes</v>
      </c>
      <c r="D262" s="62" t="str">
        <f>IFERROR(__xludf.DUMMYFUNCTION("""COMPUTED_VALUE"""),"Works. Unlocks Phoenix")</f>
        <v>Works. Unlocks Phoenix</v>
      </c>
      <c r="E262" s="61" t="str">
        <f>IFERROR(__xludf.DUMMYFUNCTION("""COMPUTED_VALUE"""),"Antheleon")</f>
        <v>Antheleon</v>
      </c>
      <c r="F262" s="63">
        <f>IFERROR(__xludf.DUMMYFUNCTION("""COMPUTED_VALUE"""),40926.0)</f>
        <v>40926</v>
      </c>
    </row>
    <row r="263">
      <c r="A263" s="59" t="str">
        <f>IFERROR(__xludf.DUMMYFUNCTION("""COMPUTED_VALUE"""),"Easy Books")</f>
        <v>Easy Books</v>
      </c>
      <c r="B263" s="60"/>
      <c r="C263" s="61" t="str">
        <f>IFERROR(__xludf.DUMMYFUNCTION("""COMPUTED_VALUE"""),"Yes")</f>
        <v>Yes</v>
      </c>
      <c r="D263" s="62"/>
      <c r="E263" s="61"/>
      <c r="F263" s="41"/>
    </row>
    <row r="264">
      <c r="A264" s="59" t="str">
        <f>IFERROR(__xludf.DUMMYFUNCTION("""COMPUTED_VALUE"""),"EasyMeasure")</f>
        <v>EasyMeasure</v>
      </c>
      <c r="B264" s="60"/>
      <c r="C264" s="61" t="str">
        <f>IFERROR(__xludf.DUMMYFUNCTION("""COMPUTED_VALUE"""),"Yes")</f>
        <v>Yes</v>
      </c>
      <c r="D264" s="62"/>
      <c r="E264" s="61" t="str">
        <f>IFERROR(__xludf.DUMMYFUNCTION("""COMPUTED_VALUE"""),"Maloon")</f>
        <v>Maloon</v>
      </c>
      <c r="F264" s="63">
        <f>IFERROR(__xludf.DUMMYFUNCTION("""COMPUTED_VALUE"""),40892.0)</f>
        <v>40892</v>
      </c>
    </row>
    <row r="265">
      <c r="A265" s="59" t="str">
        <f>IFERROR(__xludf.DUMMYFUNCTION("""COMPUTED_VALUE"""),"ebook4u")</f>
        <v>ebook4u</v>
      </c>
      <c r="B265" s="60"/>
      <c r="C265" s="61" t="str">
        <f>IFERROR(__xludf.DUMMYFUNCTION("""COMPUTED_VALUE"""),"Yes")</f>
        <v>Yes</v>
      </c>
      <c r="D265" s="62" t="str">
        <f>IFERROR(__xludf.DUMMYFUNCTION("""COMPUTED_VALUE"""),"Can buy all book")</f>
        <v>Can buy all book</v>
      </c>
      <c r="E265" s="61"/>
      <c r="F265" s="41"/>
    </row>
    <row r="266">
      <c r="A266" s="59" t="str">
        <f>IFERROR(__xludf.DUMMYFUNCTION("""COMPUTED_VALUE"""),"Echofon")</f>
        <v>Echofon</v>
      </c>
      <c r="B266" s="60"/>
      <c r="C266" s="61" t="str">
        <f>IFERROR(__xludf.DUMMYFUNCTION("""COMPUTED_VALUE"""),"Yes")</f>
        <v>Yes</v>
      </c>
      <c r="D266" s="62"/>
      <c r="E266" s="61" t="str">
        <f>IFERROR(__xludf.DUMMYFUNCTION("""COMPUTED_VALUE"""),"farhanito")</f>
        <v>farhanito</v>
      </c>
      <c r="F266" s="63">
        <f>IFERROR(__xludf.DUMMYFUNCTION("""COMPUTED_VALUE"""),40793.8013888889)</f>
        <v>40793.80139</v>
      </c>
    </row>
    <row r="267">
      <c r="A267" s="59" t="str">
        <f>IFERROR(__xludf.DUMMYFUNCTION("""COMPUTED_VALUE"""),"Edge")</f>
        <v>Edge</v>
      </c>
      <c r="B267" s="60"/>
      <c r="C267" s="61" t="str">
        <f>IFERROR(__xludf.DUMMYFUNCTION("""COMPUTED_VALUE"""),"Yes")</f>
        <v>Yes</v>
      </c>
      <c r="D267" s="62" t="str">
        <f>IFERROR(__xludf.DUMMYFUNCTION("""COMPUTED_VALUE"""),"You can buy bonus levels.")</f>
        <v>You can buy bonus levels.</v>
      </c>
      <c r="E267" s="61" t="str">
        <f>IFERROR(__xludf.DUMMYFUNCTION("""COMPUTED_VALUE"""),"Andrew")</f>
        <v>Andrew</v>
      </c>
      <c r="F267" s="63">
        <f>IFERROR(__xludf.DUMMYFUNCTION("""COMPUTED_VALUE"""),40930.0)</f>
        <v>40930</v>
      </c>
    </row>
    <row r="268">
      <c r="A268" s="59" t="str">
        <f>IFERROR(__xludf.DUMMYFUNCTION("""COMPUTED_VALUE"""),"Egg Punch")</f>
        <v>Egg Punch</v>
      </c>
      <c r="B268" s="60"/>
      <c r="C268" s="61" t="str">
        <f>IFERROR(__xludf.DUMMYFUNCTION("""COMPUTED_VALUE"""),"Yes")</f>
        <v>Yes</v>
      </c>
      <c r="D268" s="62"/>
      <c r="E268" s="61" t="str">
        <f>IFERROR(__xludf.DUMMYFUNCTION("""COMPUTED_VALUE"""),"Maurice")</f>
        <v>Maurice</v>
      </c>
      <c r="F268" s="63">
        <f>IFERROR(__xludf.DUMMYFUNCTION("""COMPUTED_VALUE"""),40885.0)</f>
        <v>40885</v>
      </c>
    </row>
    <row r="269">
      <c r="A269" s="59" t="str">
        <f>IFERROR(__xludf.DUMMYFUNCTION("""COMPUTED_VALUE"""),"El Economista")</f>
        <v>El Economista</v>
      </c>
      <c r="B269" s="60"/>
      <c r="C269" s="61" t="str">
        <f>IFERROR(__xludf.DUMMYFUNCTION("""COMPUTED_VALUE"""),"Yes")</f>
        <v>Yes</v>
      </c>
      <c r="D269" s="62" t="str">
        <f>IFERROR(__xludf.DUMMYFUNCTION("""COMPUTED_VALUE"""),"Everything works")</f>
        <v>Everything works</v>
      </c>
      <c r="E269" s="61" t="str">
        <f>IFERROR(__xludf.DUMMYFUNCTION("""COMPUTED_VALUE"""),"Yancha")</f>
        <v>Yancha</v>
      </c>
      <c r="F269" s="63">
        <f>IFERROR(__xludf.DUMMYFUNCTION("""COMPUTED_VALUE"""),40953.0)</f>
        <v>40953</v>
      </c>
    </row>
    <row r="270">
      <c r="A270" s="59" t="str">
        <f>IFERROR(__xludf.DUMMYFUNCTION("""COMPUTED_VALUE"""),"Elf Defense Eng")</f>
        <v>Elf Defense Eng</v>
      </c>
      <c r="B270" s="60" t="str">
        <f>IFERROR(__xludf.DUMMYFUNCTION("""COMPUTED_VALUE"""),"v1.0.2")</f>
        <v>v1.0.2</v>
      </c>
      <c r="C270" s="61" t="str">
        <f>IFERROR(__xludf.DUMMYFUNCTION("""COMPUTED_VALUE"""),"Yes")</f>
        <v>Yes</v>
      </c>
      <c r="D270" s="64" t="str">
        <f>IFERROR(__xludf.DUMMYFUNCTION("""COMPUTED_VALUE"""),"Hack is here (post #4).")</f>
        <v>Hack is here (post #4).</v>
      </c>
      <c r="E270" s="61" t="str">
        <f>IFERROR(__xludf.DUMMYFUNCTION("""COMPUTED_VALUE"""),"luudaigiang")</f>
        <v>luudaigiang</v>
      </c>
      <c r="F270" s="63">
        <f>IFERROR(__xludf.DUMMYFUNCTION("""COMPUTED_VALUE"""),40959.0)</f>
        <v>40959</v>
      </c>
    </row>
    <row r="271">
      <c r="A271" s="59" t="str">
        <f>IFERROR(__xludf.DUMMYFUNCTION("""COMPUTED_VALUE"""),"ELLE US")</f>
        <v>ELLE US</v>
      </c>
      <c r="B271" s="60"/>
      <c r="C271" s="61" t="str">
        <f>IFERROR(__xludf.DUMMYFUNCTION("""COMPUTED_VALUE"""),"Yes")</f>
        <v>Yes</v>
      </c>
      <c r="D271" s="62"/>
      <c r="E271" s="61"/>
      <c r="F271" s="41"/>
    </row>
    <row r="272">
      <c r="A272" s="59" t="str">
        <f>IFERROR(__xludf.DUMMYFUNCTION("""COMPUTED_VALUE"""),"EnchantU")</f>
        <v>EnchantU</v>
      </c>
      <c r="B272" s="60"/>
      <c r="C272" s="61" t="str">
        <f>IFERROR(__xludf.DUMMYFUNCTION("""COMPUTED_VALUE"""),"Yes")</f>
        <v>Yes</v>
      </c>
      <c r="D272" s="62" t="str">
        <f>IFERROR(__xludf.DUMMYFUNCTION("""COMPUTED_VALUE"""),"Can Buy Everything")</f>
        <v>Can Buy Everything</v>
      </c>
      <c r="E272" s="61">
        <f>IFERROR(__xludf.DUMMYFUNCTION("""COMPUTED_VALUE"""),3.21650103E8)</f>
        <v>321650103</v>
      </c>
      <c r="F272" s="63">
        <f>IFERROR(__xludf.DUMMYFUNCTION("""COMPUTED_VALUE"""),41159.0)</f>
        <v>41159</v>
      </c>
    </row>
    <row r="273">
      <c r="A273" s="59" t="str">
        <f>IFERROR(__xludf.DUMMYFUNCTION("""COMPUTED_VALUE"""),"Epic Gladiator")</f>
        <v>Epic Gladiator</v>
      </c>
      <c r="B273" s="60">
        <f>IFERROR(__xludf.DUMMYFUNCTION("""COMPUTED_VALUE"""),1.0)</f>
        <v>1</v>
      </c>
      <c r="C273" s="61" t="str">
        <f>IFERROR(__xludf.DUMMYFUNCTION("""COMPUTED_VALUE"""),"Yes")</f>
        <v>Yes</v>
      </c>
      <c r="D273" s="62" t="str">
        <f>IFERROR(__xludf.DUMMYFUNCTION("""COMPUTED_VALUE"""),"Unlocks glory and gold")</f>
        <v>Unlocks glory and gold</v>
      </c>
      <c r="E273" s="61" t="str">
        <f>IFERROR(__xludf.DUMMYFUNCTION("""COMPUTED_VALUE"""),"BraveTitan22")</f>
        <v>BraveTitan22</v>
      </c>
      <c r="F273" s="63">
        <f>IFERROR(__xludf.DUMMYFUNCTION("""COMPUTED_VALUE"""),40967.0)</f>
        <v>40967</v>
      </c>
    </row>
    <row r="274">
      <c r="A274" s="59" t="str">
        <f>IFERROR(__xludf.DUMMYFUNCTION("""COMPUTED_VALUE"""),"Eternity Warriors")</f>
        <v>Eternity Warriors</v>
      </c>
      <c r="B274" s="60"/>
      <c r="C274" s="61" t="str">
        <f>IFERROR(__xludf.DUMMYFUNCTION("""COMPUTED_VALUE"""),"Yes")</f>
        <v>Yes</v>
      </c>
      <c r="D274" s="62"/>
      <c r="E274" s="61" t="str">
        <f>IFERROR(__xludf.DUMMYFUNCTION("""COMPUTED_VALUE"""),"Guk")</f>
        <v>Guk</v>
      </c>
      <c r="F274" s="63">
        <f>IFERROR(__xludf.DUMMYFUNCTION("""COMPUTED_VALUE"""),40881.0)</f>
        <v>40881</v>
      </c>
    </row>
    <row r="275">
      <c r="A275" s="59" t="str">
        <f>IFERROR(__xludf.DUMMYFUNCTION("""COMPUTED_VALUE"""),"Etolis: Arena")</f>
        <v>Etolis: Arena</v>
      </c>
      <c r="B275" s="60"/>
      <c r="C275" s="61" t="str">
        <f>IFERROR(__xludf.DUMMYFUNCTION("""COMPUTED_VALUE"""),"Yes")</f>
        <v>Yes</v>
      </c>
      <c r="D275" s="62"/>
      <c r="E275" s="61"/>
      <c r="F275" s="41"/>
    </row>
    <row r="276">
      <c r="A276" s="59" t="str">
        <f>IFERROR(__xludf.DUMMYFUNCTION("""COMPUTED_VALUE"""),"Evertales")</f>
        <v>Evertales</v>
      </c>
      <c r="B276" s="60"/>
      <c r="C276" s="61" t="str">
        <f>IFERROR(__xludf.DUMMYFUNCTION("""COMPUTED_VALUE"""),"Yes")</f>
        <v>Yes</v>
      </c>
      <c r="D276" s="62" t="str">
        <f>IFERROR(__xludf.DUMMYFUNCTION("""COMPUTED_VALUE"""),"Great game")</f>
        <v>Great game</v>
      </c>
      <c r="E276" s="61" t="str">
        <f>IFERROR(__xludf.DUMMYFUNCTION("""COMPUTED_VALUE"""),"vidolaem")</f>
        <v>vidolaem</v>
      </c>
      <c r="F276" s="63">
        <f>IFERROR(__xludf.DUMMYFUNCTION("""COMPUTED_VALUE"""),40922.0)</f>
        <v>40922</v>
      </c>
    </row>
    <row r="277">
      <c r="A277" s="59" t="str">
        <f>IFERROR(__xludf.DUMMYFUNCTION("""COMPUTED_VALUE"""),"Exitium: Saviors of Vardonia")</f>
        <v>Exitium: Saviors of Vardonia</v>
      </c>
      <c r="B277" s="60" t="str">
        <f>IFERROR(__xludf.DUMMYFUNCTION("""COMPUTED_VALUE"""),"1.0.6")</f>
        <v>1.0.6</v>
      </c>
      <c r="C277" s="61" t="str">
        <f>IFERROR(__xludf.DUMMYFUNCTION("""COMPUTED_VALUE"""),"Yes")</f>
        <v>Yes</v>
      </c>
      <c r="D277" s="62"/>
      <c r="E277" s="61" t="str">
        <f>IFERROR(__xludf.DUMMYFUNCTION("""COMPUTED_VALUE"""),"JuzILLuSI0N")</f>
        <v>JuzILLuSI0N</v>
      </c>
      <c r="F277" s="63">
        <f>IFERROR(__xludf.DUMMYFUNCTION("""COMPUTED_VALUE"""),40945.0)</f>
        <v>40945</v>
      </c>
    </row>
    <row r="278">
      <c r="A278" s="59" t="str">
        <f>IFERROR(__xludf.DUMMYFUNCTION("""COMPUTED_VALUE"""),"Exoplanet")</f>
        <v>Exoplanet</v>
      </c>
      <c r="B278" s="60"/>
      <c r="C278" s="61" t="str">
        <f>IFERROR(__xludf.DUMMYFUNCTION("""COMPUTED_VALUE"""),"Yes")</f>
        <v>Yes</v>
      </c>
      <c r="D278" s="62" t="str">
        <f>IFERROR(__xludf.DUMMYFUNCTION("""COMPUTED_VALUE"""),"Can buy anything")</f>
        <v>Can buy anything</v>
      </c>
      <c r="E278" s="61" t="str">
        <f>IFERROR(__xludf.DUMMYFUNCTION("""COMPUTED_VALUE"""),"tuankiet65")</f>
        <v>tuankiet65</v>
      </c>
      <c r="F278" s="63">
        <f>IFERROR(__xludf.DUMMYFUNCTION("""COMPUTED_VALUE"""),40949.0)</f>
        <v>40949</v>
      </c>
    </row>
    <row r="279">
      <c r="A279" s="59" t="str">
        <f>IFERROR(__xludf.DUMMYFUNCTION("""COMPUTED_VALUE"""),"Extraction version 1.0")</f>
        <v>Extraction version 1.0</v>
      </c>
      <c r="B279" s="60"/>
      <c r="C279" s="61" t="str">
        <f>IFERROR(__xludf.DUMMYFUNCTION("""COMPUTED_VALUE"""),"Yes")</f>
        <v>Yes</v>
      </c>
      <c r="D279" s="62" t="str">
        <f>IFERROR(__xludf.DUMMYFUNCTION("""COMPUTED_VALUE"""),"credits")</f>
        <v>credits</v>
      </c>
      <c r="E279" s="61">
        <f>IFERROR(__xludf.DUMMYFUNCTION("""COMPUTED_VALUE"""),6102.0)</f>
        <v>6102</v>
      </c>
      <c r="F279" s="63">
        <f>IFERROR(__xludf.DUMMYFUNCTION("""COMPUTED_VALUE"""),40883.0)</f>
        <v>40883</v>
      </c>
    </row>
    <row r="280">
      <c r="A280" s="59" t="str">
        <f>IFERROR(__xludf.DUMMYFUNCTION("""COMPUTED_VALUE"""),"Fairway Solitare")</f>
        <v>Fairway Solitare</v>
      </c>
      <c r="B280" s="60" t="str">
        <f>IFERROR(__xludf.DUMMYFUNCTION("""COMPUTED_VALUE"""),"1.0.0")</f>
        <v>1.0.0</v>
      </c>
      <c r="C280" s="61" t="str">
        <f>IFERROR(__xludf.DUMMYFUNCTION("""COMPUTED_VALUE"""),"Yes")</f>
        <v>Yes</v>
      </c>
      <c r="D280" s="62" t="str">
        <f>IFERROR(__xludf.DUMMYFUNCTION("""COMPUTED_VALUE"""),"You can unlock full game and buy everything")</f>
        <v>You can unlock full game and buy everything</v>
      </c>
      <c r="E280" s="61" t="str">
        <f>IFERROR(__xludf.DUMMYFUNCTION("""COMPUTED_VALUE"""),"Zaraf")</f>
        <v>Zaraf</v>
      </c>
      <c r="F280" s="63">
        <f>IFERROR(__xludf.DUMMYFUNCTION("""COMPUTED_VALUE"""),40961.0)</f>
        <v>40961</v>
      </c>
    </row>
    <row r="281">
      <c r="A281" s="59" t="str">
        <f>IFERROR(__xludf.DUMMYFUNCTION("""COMPUTED_VALUE"""),"Fairy Fail")</f>
        <v>Fairy Fail</v>
      </c>
      <c r="B281" s="60"/>
      <c r="C281" s="61" t="str">
        <f>IFERROR(__xludf.DUMMYFUNCTION("""COMPUTED_VALUE"""),"Yes")</f>
        <v>Yes</v>
      </c>
      <c r="D281" s="62" t="str">
        <f>IFERROR(__xludf.DUMMYFUNCTION("""COMPUTED_VALUE"""),"Unlock new levels")</f>
        <v>Unlock new levels</v>
      </c>
      <c r="E281" s="61" t="str">
        <f>IFERROR(__xludf.DUMMYFUNCTION("""COMPUTED_VALUE"""),"ISOHaven")</f>
        <v>ISOHaven</v>
      </c>
      <c r="F281" s="63">
        <f>IFERROR(__xludf.DUMMYFUNCTION("""COMPUTED_VALUE"""),40885.0)</f>
        <v>40885</v>
      </c>
    </row>
    <row r="282">
      <c r="A282" s="59" t="str">
        <f>IFERROR(__xludf.DUMMYFUNCTION("""COMPUTED_VALUE"""),"Falldown 3D")</f>
        <v>Falldown 3D</v>
      </c>
      <c r="B282" s="60"/>
      <c r="C282" s="61" t="str">
        <f>IFERROR(__xludf.DUMMYFUNCTION("""COMPUTED_VALUE"""),"Yes")</f>
        <v>Yes</v>
      </c>
      <c r="D282" s="62"/>
      <c r="E282" s="61" t="str">
        <f>IFERROR(__xludf.DUMMYFUNCTION("""COMPUTED_VALUE"""),"Hoithebest")</f>
        <v>Hoithebest</v>
      </c>
      <c r="F282" s="63">
        <f>IFERROR(__xludf.DUMMYFUNCTION("""COMPUTED_VALUE"""),40913.0)</f>
        <v>40913</v>
      </c>
    </row>
    <row r="283">
      <c r="A283" s="59" t="str">
        <f>IFERROR(__xludf.DUMMYFUNCTION("""COMPUTED_VALUE"""),"Falling Fred")</f>
        <v>Falling Fred</v>
      </c>
      <c r="B283" s="60"/>
      <c r="C283" s="61" t="str">
        <f>IFERROR(__xludf.DUMMYFUNCTION("""COMPUTED_VALUE"""),"Yes")</f>
        <v>Yes</v>
      </c>
      <c r="D283" s="62" t="str">
        <f>IFERROR(__xludf.DUMMYFUNCTION("""COMPUTED_VALUE"""),"Buy other characters.")</f>
        <v>Buy other characters.</v>
      </c>
      <c r="E283" s="61" t="str">
        <f>IFERROR(__xludf.DUMMYFUNCTION("""COMPUTED_VALUE"""),"Kev63")</f>
        <v>Kev63</v>
      </c>
      <c r="F283" s="63">
        <f>IFERROR(__xludf.DUMMYFUNCTION("""COMPUTED_VALUE"""),40948.0)</f>
        <v>40948</v>
      </c>
    </row>
    <row r="284">
      <c r="A284" s="59" t="str">
        <f>IFERROR(__xludf.DUMMYFUNCTION("""COMPUTED_VALUE"""),"Falling Fred Z")</f>
        <v>Falling Fred Z</v>
      </c>
      <c r="B284" s="60"/>
      <c r="C284" s="61" t="str">
        <f>IFERROR(__xludf.DUMMYFUNCTION("""COMPUTED_VALUE"""),"Yes")</f>
        <v>Yes</v>
      </c>
      <c r="D284" s="62" t="str">
        <f>IFERROR(__xludf.DUMMYFUNCTION("""COMPUTED_VALUE"""),"Remove ads.")</f>
        <v>Remove ads.</v>
      </c>
      <c r="E284" s="61" t="str">
        <f>IFERROR(__xludf.DUMMYFUNCTION("""COMPUTED_VALUE"""),"Kev63")</f>
        <v>Kev63</v>
      </c>
      <c r="F284" s="63">
        <f>IFERROR(__xludf.DUMMYFUNCTION("""COMPUTED_VALUE"""),40948.0)</f>
        <v>40948</v>
      </c>
    </row>
    <row r="285">
      <c r="A285" s="59" t="str">
        <f>IFERROR(__xludf.DUMMYFUNCTION("""COMPUTED_VALUE"""),"Fame and Famine")</f>
        <v>Fame and Famine</v>
      </c>
      <c r="B285" s="60"/>
      <c r="C285" s="61" t="str">
        <f>IFERROR(__xludf.DUMMYFUNCTION("""COMPUTED_VALUE"""),"Yes")</f>
        <v>Yes</v>
      </c>
      <c r="D285" s="62" t="str">
        <f>IFERROR(__xludf.DUMMYFUNCTION("""COMPUTED_VALUE"""),"Unlocks famine mode")</f>
        <v>Unlocks famine mode</v>
      </c>
      <c r="E285" s="61" t="str">
        <f>IFERROR(__xludf.DUMMYFUNCTION("""COMPUTED_VALUE"""),"migui.aguilar")</f>
        <v>migui.aguilar</v>
      </c>
      <c r="F285" s="63">
        <f>IFERROR(__xludf.DUMMYFUNCTION("""COMPUTED_VALUE"""),40956.0)</f>
        <v>40956</v>
      </c>
    </row>
    <row r="286">
      <c r="A286" s="59" t="str">
        <f>IFERROR(__xludf.DUMMYFUNCTION("""COMPUTED_VALUE"""),"Fantastic Knight")</f>
        <v>Fantastic Knight</v>
      </c>
      <c r="B286" s="60"/>
      <c r="C286" s="61" t="str">
        <f>IFERROR(__xludf.DUMMYFUNCTION("""COMPUTED_VALUE"""),"Yes")</f>
        <v>Yes</v>
      </c>
      <c r="D286" s="62" t="str">
        <f>IFERROR(__xludf.DUMMYFUNCTION("""COMPUTED_VALUE"""),"Coin shop works")</f>
        <v>Coin shop works</v>
      </c>
      <c r="E286" s="61"/>
      <c r="F286" s="41"/>
    </row>
    <row r="287">
      <c r="A287" s="59" t="str">
        <f>IFERROR(__xludf.DUMMYFUNCTION("""COMPUTED_VALUE"""),"Fantasy Defense")</f>
        <v>Fantasy Defense</v>
      </c>
      <c r="B287" s="60"/>
      <c r="C287" s="61" t="str">
        <f>IFERROR(__xludf.DUMMYFUNCTION("""COMPUTED_VALUE"""),"Yes")</f>
        <v>Yes</v>
      </c>
      <c r="D287" s="62" t="str">
        <f>IFERROR(__xludf.DUMMYFUNCTION("""COMPUTED_VALUE"""),"Works Great")</f>
        <v>Works Great</v>
      </c>
      <c r="E287" s="61" t="str">
        <f>IFERROR(__xludf.DUMMYFUNCTION("""COMPUTED_VALUE"""),"Stryder")</f>
        <v>Stryder</v>
      </c>
      <c r="F287" s="63">
        <f>IFERROR(__xludf.DUMMYFUNCTION("""COMPUTED_VALUE"""),40891.0)</f>
        <v>40891</v>
      </c>
    </row>
    <row r="288">
      <c r="A288" s="59" t="str">
        <f>IFERROR(__xludf.DUMMYFUNCTION("""COMPUTED_VALUE"""),"Farm Frenzy 3")</f>
        <v>Farm Frenzy 3</v>
      </c>
      <c r="B288" s="60"/>
      <c r="C288" s="61" t="str">
        <f>IFERROR(__xludf.DUMMYFUNCTION("""COMPUTED_VALUE"""),"Yes")</f>
        <v>Yes</v>
      </c>
      <c r="D288" s="62" t="str">
        <f>IFERROR(__xludf.DUMMYFUNCTION("""COMPUTED_VALUE"""),"Can buy stars")</f>
        <v>Can buy stars</v>
      </c>
      <c r="E288" s="61" t="str">
        <f>IFERROR(__xludf.DUMMYFUNCTION("""COMPUTED_VALUE"""),"phatpham, chowlala")</f>
        <v>phatpham, chowlala</v>
      </c>
      <c r="F288" s="63">
        <f>IFERROR(__xludf.DUMMYFUNCTION("""COMPUTED_VALUE"""),40951.0)</f>
        <v>40951</v>
      </c>
    </row>
    <row r="289">
      <c r="A289" s="59" t="str">
        <f>IFERROR(__xludf.DUMMYFUNCTION("""COMPUTED_VALUE"""),"FarmKill")</f>
        <v>FarmKill</v>
      </c>
      <c r="B289" s="60"/>
      <c r="C289" s="61" t="str">
        <f>IFERROR(__xludf.DUMMYFUNCTION("""COMPUTED_VALUE"""),"Yes")</f>
        <v>Yes</v>
      </c>
      <c r="D289" s="62" t="str">
        <f>IFERROR(__xludf.DUMMYFUNCTION("""COMPUTED_VALUE"""),"You can purchase farm cash")</f>
        <v>You can purchase farm cash</v>
      </c>
      <c r="E289" s="61" t="str">
        <f>IFERROR(__xludf.DUMMYFUNCTION("""COMPUTED_VALUE"""),"Nakediguana")</f>
        <v>Nakediguana</v>
      </c>
      <c r="F289" s="63">
        <f>IFERROR(__xludf.DUMMYFUNCTION("""COMPUTED_VALUE"""),40949.0)</f>
        <v>40949</v>
      </c>
    </row>
    <row r="290">
      <c r="A290" s="59" t="str">
        <f>IFERROR(__xludf.DUMMYFUNCTION("""COMPUTED_VALUE"""),"Fashion City")</f>
        <v>Fashion City</v>
      </c>
      <c r="B290" s="60"/>
      <c r="C290" s="61" t="str">
        <f>IFERROR(__xludf.DUMMYFUNCTION("""COMPUTED_VALUE"""),"Yes")</f>
        <v>Yes</v>
      </c>
      <c r="D290" s="62" t="str">
        <f>IFERROR(__xludf.DUMMYFUNCTION("""COMPUTED_VALUE"""),"You can buy lucky charms")</f>
        <v>You can buy lucky charms</v>
      </c>
      <c r="E290" s="61" t="str">
        <f>IFERROR(__xludf.DUMMYFUNCTION("""COMPUTED_VALUE"""),"Gambit")</f>
        <v>Gambit</v>
      </c>
      <c r="F290" s="63">
        <f>IFERROR(__xludf.DUMMYFUNCTION("""COMPUTED_VALUE"""),40920.0)</f>
        <v>40920</v>
      </c>
    </row>
    <row r="291">
      <c r="A291" s="59" t="str">
        <f>IFERROR(__xludf.DUMMYFUNCTION("""COMPUTED_VALUE"""),"Fast five the movie: Official Game")</f>
        <v>Fast five the movie: Official Game</v>
      </c>
      <c r="B291" s="60"/>
      <c r="C291" s="61" t="str">
        <f>IFERROR(__xludf.DUMMYFUNCTION("""COMPUTED_VALUE"""),"Yes")</f>
        <v>Yes</v>
      </c>
      <c r="D291" s="62"/>
      <c r="E291" s="61" t="str">
        <f>IFERROR(__xludf.DUMMYFUNCTION("""COMPUTED_VALUE"""),"phatpham")</f>
        <v>phatpham</v>
      </c>
      <c r="F291" s="63">
        <f>IFERROR(__xludf.DUMMYFUNCTION("""COMPUTED_VALUE"""),40899.0)</f>
        <v>40899</v>
      </c>
    </row>
    <row r="292">
      <c r="A292" s="59" t="str">
        <f>IFERROR(__xludf.DUMMYFUNCTION("""COMPUTED_VALUE"""),"Fatify")</f>
        <v>Fatify</v>
      </c>
      <c r="B292" s="60"/>
      <c r="C292" s="61" t="str">
        <f>IFERROR(__xludf.DUMMYFUNCTION("""COMPUTED_VALUE"""),"Yes")</f>
        <v>Yes</v>
      </c>
      <c r="D292" s="62" t="str">
        <f>IFERROR(__xludf.DUMMYFUNCTION("""COMPUTED_VALUE"""),"Works great!")</f>
        <v>Works great!</v>
      </c>
      <c r="E292" s="61" t="str">
        <f>IFERROR(__xludf.DUMMYFUNCTION("""COMPUTED_VALUE"""),"Greek-Immortal")</f>
        <v>Greek-Immortal</v>
      </c>
      <c r="F292" s="63">
        <f>IFERROR(__xludf.DUMMYFUNCTION("""COMPUTED_VALUE"""),40915.0)</f>
        <v>40915</v>
      </c>
    </row>
    <row r="293">
      <c r="A293" s="59" t="str">
        <f>IFERROR(__xludf.DUMMYFUNCTION("""COMPUTED_VALUE"""),"Feast &amp; Famine")</f>
        <v>Feast &amp; Famine</v>
      </c>
      <c r="B293" s="60" t="str">
        <f>IFERROR(__xludf.DUMMYFUNCTION("""COMPUTED_VALUE"""),"2.0.0")</f>
        <v>2.0.0</v>
      </c>
      <c r="C293" s="61" t="str">
        <f>IFERROR(__xludf.DUMMYFUNCTION("""COMPUTED_VALUE"""),"Yes")</f>
        <v>Yes</v>
      </c>
      <c r="D293" s="62" t="str">
        <f>IFERROR(__xludf.DUMMYFUNCTION("""COMPUTED_VALUE"""),"Unlocks Famine")</f>
        <v>Unlocks Famine</v>
      </c>
      <c r="E293" s="61" t="str">
        <f>IFERROR(__xludf.DUMMYFUNCTION("""COMPUTED_VALUE"""),"migui.aguilar")</f>
        <v>migui.aguilar</v>
      </c>
      <c r="F293" s="63">
        <f>IFERROR(__xludf.DUMMYFUNCTION("""COMPUTED_VALUE"""),40965.0)</f>
        <v>40965</v>
      </c>
    </row>
    <row r="294">
      <c r="A294" s="59" t="str">
        <f>IFERROR(__xludf.DUMMYFUNCTION("""COMPUTED_VALUE"""),"Feed Me Oil")</f>
        <v>Feed Me Oil</v>
      </c>
      <c r="B294" s="60"/>
      <c r="C294" s="61" t="str">
        <f>IFERROR(__xludf.DUMMYFUNCTION("""COMPUTED_VALUE"""),"Yes")</f>
        <v>Yes</v>
      </c>
      <c r="D294" s="62"/>
      <c r="E294" s="61" t="str">
        <f>IFERROR(__xludf.DUMMYFUNCTION("""COMPUTED_VALUE"""),"luudaigiang")</f>
        <v>luudaigiang</v>
      </c>
      <c r="F294" s="63">
        <f>IFERROR(__xludf.DUMMYFUNCTION("""COMPUTED_VALUE"""),40918.0)</f>
        <v>40918</v>
      </c>
    </row>
    <row r="295">
      <c r="A295" s="59" t="str">
        <f>IFERROR(__xludf.DUMMYFUNCTION("""COMPUTED_VALUE"""),"FIFA12")</f>
        <v>FIFA12</v>
      </c>
      <c r="B295" s="60" t="str">
        <f>IFERROR(__xludf.DUMMYFUNCTION("""COMPUTED_VALUE"""),"1.0.3")</f>
        <v>1.0.3</v>
      </c>
      <c r="C295" s="61" t="str">
        <f>IFERROR(__xludf.DUMMYFUNCTION("""COMPUTED_VALUE"""),"Yes")</f>
        <v>Yes</v>
      </c>
      <c r="D295" s="62" t="str">
        <f>IFERROR(__xludf.DUMMYFUNCTION("""COMPUTED_VALUE"""),"Buy coins manager.")</f>
        <v>Buy coins manager.</v>
      </c>
      <c r="E295" s="61" t="str">
        <f>IFERROR(__xludf.DUMMYFUNCTION("""COMPUTED_VALUE"""),"XxXreyXxX")</f>
        <v>XxXreyXxX</v>
      </c>
      <c r="F295" s="63">
        <f>IFERROR(__xludf.DUMMYFUNCTION("""COMPUTED_VALUE"""),41162.0)</f>
        <v>41162</v>
      </c>
    </row>
    <row r="296">
      <c r="A296" s="59" t="str">
        <f>IFERROR(__xludf.DUMMYFUNCTION("""COMPUTED_VALUE"""),"Final Fantasy Dimensions")</f>
        <v>Final Fantasy Dimensions</v>
      </c>
      <c r="B296" s="60" t="str">
        <f>IFERROR(__xludf.DUMMYFUNCTION("""COMPUTED_VALUE"""),"1.0.1")</f>
        <v>1.0.1</v>
      </c>
      <c r="C296" s="61" t="str">
        <f>IFERROR(__xludf.DUMMYFUNCTION("""COMPUTED_VALUE"""),"Yes")</f>
        <v>Yes</v>
      </c>
      <c r="D296" s="62" t="str">
        <f>IFERROR(__xludf.DUMMYFUNCTION("""COMPUTED_VALUE"""),"Works on all store purchases.")</f>
        <v>Works on all store purchases.</v>
      </c>
      <c r="E296" s="61" t="str">
        <f>IFERROR(__xludf.DUMMYFUNCTION("""COMPUTED_VALUE"""),"It's_Matt_XD")</f>
        <v>It's_Matt_XD</v>
      </c>
      <c r="F296" s="63">
        <f>IFERROR(__xludf.DUMMYFUNCTION("""COMPUTED_VALUE"""),41160.0)</f>
        <v>41160</v>
      </c>
    </row>
    <row r="297">
      <c r="A297" s="59" t="str">
        <f>IFERROR(__xludf.DUMMYFUNCTION("""COMPUTED_VALUE"""),"Finger Shot RPG")</f>
        <v>Finger Shot RPG</v>
      </c>
      <c r="B297" s="60"/>
      <c r="C297" s="61" t="str">
        <f>IFERROR(__xludf.DUMMYFUNCTION("""COMPUTED_VALUE"""),"Yes")</f>
        <v>Yes</v>
      </c>
      <c r="D297" s="62"/>
      <c r="E297" s="61"/>
      <c r="F297" s="41"/>
    </row>
    <row r="298">
      <c r="A298" s="59" t="str">
        <f>IFERROR(__xludf.DUMMYFUNCTION("""COMPUTED_VALUE"""),"FingerLaser")</f>
        <v>FingerLaser</v>
      </c>
      <c r="B298" s="60"/>
      <c r="C298" s="61" t="str">
        <f>IFERROR(__xludf.DUMMYFUNCTION("""COMPUTED_VALUE"""),"Yes")</f>
        <v>Yes</v>
      </c>
      <c r="D298" s="62" t="str">
        <f>IFERROR(__xludf.DUMMYFUNCTION("""COMPUTED_VALUE"""),"Everything works perfectly!")</f>
        <v>Everything works perfectly!</v>
      </c>
      <c r="E298" s="61" t="str">
        <f>IFERROR(__xludf.DUMMYFUNCTION("""COMPUTED_VALUE"""),"Mazzacane")</f>
        <v>Mazzacane</v>
      </c>
      <c r="F298" s="63">
        <f>IFERROR(__xludf.DUMMYFUNCTION("""COMPUTED_VALUE"""),40950.0)</f>
        <v>40950</v>
      </c>
    </row>
    <row r="299">
      <c r="A299" s="59" t="str">
        <f>IFERROR(__xludf.DUMMYFUNCTION("""COMPUTED_VALUE"""),"Fish Fury")</f>
        <v>Fish Fury</v>
      </c>
      <c r="B299" s="60"/>
      <c r="C299" s="61" t="str">
        <f>IFERROR(__xludf.DUMMYFUNCTION("""COMPUTED_VALUE"""),"Yes")</f>
        <v>Yes</v>
      </c>
      <c r="D299" s="62" t="str">
        <f>IFERROR(__xludf.DUMMYFUNCTION("""COMPUTED_VALUE"""),"purchase extra coins infinitely to upgrade abilities")</f>
        <v>purchase extra coins infinitely to upgrade abilities</v>
      </c>
      <c r="E299" s="61" t="str">
        <f>IFERROR(__xludf.DUMMYFUNCTION("""COMPUTED_VALUE"""),"gustao")</f>
        <v>gustao</v>
      </c>
      <c r="F299" s="41"/>
    </row>
    <row r="300">
      <c r="A300" s="59" t="str">
        <f>IFERROR(__xludf.DUMMYFUNCTION("""COMPUTED_VALUE"""),"Fish Puzzle HD")</f>
        <v>Fish Puzzle HD</v>
      </c>
      <c r="B300" s="60"/>
      <c r="C300" s="61" t="str">
        <f>IFERROR(__xludf.DUMMYFUNCTION("""COMPUTED_VALUE"""),"Yes")</f>
        <v>Yes</v>
      </c>
      <c r="D300" s="62" t="str">
        <f>IFERROR(__xludf.DUMMYFUNCTION("""COMPUTED_VALUE"""),"unlock All the rest 25 fishes")</f>
        <v>unlock All the rest 25 fishes</v>
      </c>
      <c r="E300" s="61" t="str">
        <f>IFERROR(__xludf.DUMMYFUNCTION("""COMPUTED_VALUE"""),"Vista2k7")</f>
        <v>Vista2k7</v>
      </c>
      <c r="F300" s="63">
        <f>IFERROR(__xludf.DUMMYFUNCTION("""COMPUTED_VALUE"""),40926.0)</f>
        <v>40926</v>
      </c>
    </row>
    <row r="301">
      <c r="A301" s="59" t="str">
        <f>IFERROR(__xludf.DUMMYFUNCTION("""COMPUTED_VALUE"""),"Fix-It-Up HD")</f>
        <v>Fix-It-Up HD</v>
      </c>
      <c r="B301" s="60"/>
      <c r="C301" s="61" t="str">
        <f>IFERROR(__xludf.DUMMYFUNCTION("""COMPUTED_VALUE"""),"Yes")</f>
        <v>Yes</v>
      </c>
      <c r="D301" s="62" t="str">
        <f>IFERROR(__xludf.DUMMYFUNCTION("""COMPUTED_VALUE"""),"Free → Full")</f>
        <v>Free → Full</v>
      </c>
      <c r="E301" s="61" t="str">
        <f>IFERROR(__xludf.DUMMYFUNCTION("""COMPUTED_VALUE"""),"KeyserSoze")</f>
        <v>KeyserSoze</v>
      </c>
      <c r="F301" s="63">
        <f>IFERROR(__xludf.DUMMYFUNCTION("""COMPUTED_VALUE"""),40949.0)</f>
        <v>40949</v>
      </c>
    </row>
    <row r="302">
      <c r="A302" s="59" t="str">
        <f>IFERROR(__xludf.DUMMYFUNCTION("""COMPUTED_VALUE"""),"Flashlight Pro")</f>
        <v>Flashlight Pro</v>
      </c>
      <c r="B302" s="60"/>
      <c r="C302" s="61" t="str">
        <f>IFERROR(__xludf.DUMMYFUNCTION("""COMPUTED_VALUE"""),"Yes")</f>
        <v>Yes</v>
      </c>
      <c r="D302" s="62" t="str">
        <f>IFERROR(__xludf.DUMMYFUNCTION("""COMPUTED_VALUE"""),"Base → Pro")</f>
        <v>Base → Pro</v>
      </c>
      <c r="E302" s="61" t="str">
        <f>IFERROR(__xludf.DUMMYFUNCTION("""COMPUTED_VALUE"""),"rctgamer3")</f>
        <v>rctgamer3</v>
      </c>
      <c r="F302" s="63">
        <f>IFERROR(__xludf.DUMMYFUNCTION("""COMPUTED_VALUE"""),40876.0)</f>
        <v>40876</v>
      </c>
    </row>
    <row r="303">
      <c r="A303" s="59" t="str">
        <f>IFERROR(__xludf.DUMMYFUNCTION("""COMPUTED_VALUE"""),"Flick Fishing v 1.3.2")</f>
        <v>Flick Fishing v 1.3.2</v>
      </c>
      <c r="B303" s="60"/>
      <c r="C303" s="61" t="str">
        <f>IFERROR(__xludf.DUMMYFUNCTION("""COMPUTED_VALUE"""),"Yes")</f>
        <v>Yes</v>
      </c>
      <c r="D303" s="62"/>
      <c r="E303" s="61"/>
      <c r="F303" s="41"/>
    </row>
    <row r="304">
      <c r="A304" s="59" t="str">
        <f>IFERROR(__xludf.DUMMYFUNCTION("""COMPUTED_VALUE"""),"Flick Homerun")</f>
        <v>Flick Homerun</v>
      </c>
      <c r="B304" s="60"/>
      <c r="C304" s="61" t="str">
        <f>IFERROR(__xludf.DUMMYFUNCTION("""COMPUTED_VALUE"""),"Yes")</f>
        <v>Yes</v>
      </c>
      <c r="D304" s="62" t="str">
        <f>IFERROR(__xludf.DUMMYFUNCTION("""COMPUTED_VALUE"""),"Works for all upgrades")</f>
        <v>Works for all upgrades</v>
      </c>
      <c r="E304" s="61" t="str">
        <f>IFERROR(__xludf.DUMMYFUNCTION("""COMPUTED_VALUE"""),"Keb911")</f>
        <v>Keb911</v>
      </c>
      <c r="F304" s="63">
        <f>IFERROR(__xludf.DUMMYFUNCTION("""COMPUTED_VALUE"""),40884.0)</f>
        <v>40884</v>
      </c>
    </row>
    <row r="305">
      <c r="A305" s="59" t="str">
        <f>IFERROR(__xludf.DUMMYFUNCTION("""COMPUTED_VALUE"""),"FlickStackr")</f>
        <v>FlickStackr</v>
      </c>
      <c r="B305" s="60"/>
      <c r="C305" s="61" t="str">
        <f>IFERROR(__xludf.DUMMYFUNCTION("""COMPUTED_VALUE"""),"Yes")</f>
        <v>Yes</v>
      </c>
      <c r="D305" s="62"/>
      <c r="E305" s="61" t="str">
        <f>IFERROR(__xludf.DUMMYFUNCTION("""COMPUTED_VALUE"""),"Bull Moose")</f>
        <v>Bull Moose</v>
      </c>
      <c r="F305" s="63">
        <f>IFERROR(__xludf.DUMMYFUNCTION("""COMPUTED_VALUE"""),40899.0)</f>
        <v>40899</v>
      </c>
    </row>
    <row r="306">
      <c r="A306" s="59" t="str">
        <f>IFERROR(__xludf.DUMMYFUNCTION("""COMPUTED_VALUE"""),"Flightkit")</f>
        <v>Flightkit</v>
      </c>
      <c r="B306" s="60"/>
      <c r="C306" s="61" t="str">
        <f>IFERROR(__xludf.DUMMYFUNCTION("""COMPUTED_VALUE"""),"Yes")</f>
        <v>Yes</v>
      </c>
      <c r="D306" s="62" t="str">
        <f>IFERROR(__xludf.DUMMYFUNCTION("""COMPUTED_VALUE"""),"Yearly subscription ")</f>
        <v>Yearly subscription </v>
      </c>
      <c r="E306" s="61" t="str">
        <f>IFERROR(__xludf.DUMMYFUNCTION("""COMPUTED_VALUE"""),"Atrcap")</f>
        <v>Atrcap</v>
      </c>
      <c r="F306" s="63">
        <f>IFERROR(__xludf.DUMMYFUNCTION("""COMPUTED_VALUE"""),40906.0)</f>
        <v>40906</v>
      </c>
    </row>
    <row r="307">
      <c r="A307" s="59" t="str">
        <f>IFERROR(__xludf.DUMMYFUNCTION("""COMPUTED_VALUE"""),"Flow")</f>
        <v>Flow</v>
      </c>
      <c r="B307" s="60"/>
      <c r="C307" s="61" t="str">
        <f>IFERROR(__xludf.DUMMYFUNCTION("""COMPUTED_VALUE"""),"Yes")</f>
        <v>Yes</v>
      </c>
      <c r="D307" s="62" t="str">
        <f>IFERROR(__xludf.DUMMYFUNCTION("""COMPUTED_VALUE"""),"Can purchase the other puzzle packs")</f>
        <v>Can purchase the other puzzle packs</v>
      </c>
      <c r="E307" s="61"/>
      <c r="F307" s="41"/>
    </row>
    <row r="308">
      <c r="A308" s="59" t="str">
        <f>IFERROR(__xludf.DUMMYFUNCTION("""COMPUTED_VALUE"""),"Flow Free")</f>
        <v>Flow Free</v>
      </c>
      <c r="B308" s="60" t="str">
        <f>IFERROR(__xludf.DUMMYFUNCTION("""COMPUTED_VALUE"""),"1.0")</f>
        <v>1.0</v>
      </c>
      <c r="C308" s="61" t="str">
        <f>IFERROR(__xludf.DUMMYFUNCTION("""COMPUTED_VALUE"""),"Yes")</f>
        <v>Yes</v>
      </c>
      <c r="D308" s="62" t="str">
        <f>IFERROR(__xludf.DUMMYFUNCTION("""COMPUTED_VALUE"""),"Purchase new puzzle packs")</f>
        <v>Purchase new puzzle packs</v>
      </c>
      <c r="E308" s="61" t="str">
        <f>IFERROR(__xludf.DUMMYFUNCTION("""COMPUTED_VALUE"""),"carlinhos")</f>
        <v>carlinhos</v>
      </c>
      <c r="F308" s="63">
        <f>IFERROR(__xludf.DUMMYFUNCTION("""COMPUTED_VALUE"""),41092.0)</f>
        <v>41092</v>
      </c>
    </row>
    <row r="309">
      <c r="A309" s="59" t="str">
        <f>IFERROR(__xludf.DUMMYFUNCTION("""COMPUTED_VALUE"""),"Flower Garden")</f>
        <v>Flower Garden</v>
      </c>
      <c r="B309" s="60"/>
      <c r="C309" s="61" t="str">
        <f>IFERROR(__xludf.DUMMYFUNCTION("""COMPUTED_VALUE"""),"Yes")</f>
        <v>Yes</v>
      </c>
      <c r="D309" s="62" t="str">
        <f>IFERROR(__xludf.DUMMYFUNCTION("""COMPUTED_VALUE"""),"You can purchase new pots, garden spaces and fertilizers.")</f>
        <v>You can purchase new pots, garden spaces and fertilizers.</v>
      </c>
      <c r="E309" s="61" t="str">
        <f>IFERROR(__xludf.DUMMYFUNCTION("""COMPUTED_VALUE"""),"Kev63")</f>
        <v>Kev63</v>
      </c>
      <c r="F309" s="63">
        <f>IFERROR(__xludf.DUMMYFUNCTION("""COMPUTED_VALUE"""),40928.0)</f>
        <v>40928</v>
      </c>
    </row>
    <row r="310">
      <c r="A310" s="59" t="str">
        <f>IFERROR(__xludf.DUMMYFUNCTION("""COMPUTED_VALUE"""),"Flying Magazine")</f>
        <v>Flying Magazine</v>
      </c>
      <c r="B310" s="60"/>
      <c r="C310" s="61" t="str">
        <f>IFERROR(__xludf.DUMMYFUNCTION("""COMPUTED_VALUE"""),"Yes")</f>
        <v>Yes</v>
      </c>
      <c r="D310" s="62" t="str">
        <f>IFERROR(__xludf.DUMMYFUNCTION("""COMPUTED_VALUE"""),"Magazine purchase ")</f>
        <v>Magazine purchase </v>
      </c>
      <c r="E310" s="61" t="str">
        <f>IFERROR(__xludf.DUMMYFUNCTION("""COMPUTED_VALUE"""),"Atrcap")</f>
        <v>Atrcap</v>
      </c>
      <c r="F310" s="63">
        <f>IFERROR(__xludf.DUMMYFUNCTION("""COMPUTED_VALUE"""),40906.0)</f>
        <v>40906</v>
      </c>
    </row>
    <row r="311">
      <c r="A311" s="59" t="str">
        <f>IFERROR(__xludf.DUMMYFUNCTION("""COMPUTED_VALUE"""),"FmL Official App")</f>
        <v>FmL Official App</v>
      </c>
      <c r="B311" s="60"/>
      <c r="C311" s="61" t="str">
        <f>IFERROR(__xludf.DUMMYFUNCTION("""COMPUTED_VALUE"""),"Yes")</f>
        <v>Yes</v>
      </c>
      <c r="D311" s="62"/>
      <c r="E311" s="61" t="str">
        <f>IFERROR(__xludf.DUMMYFUNCTION("""COMPUTED_VALUE"""),"Dansco")</f>
        <v>Dansco</v>
      </c>
      <c r="F311" s="63">
        <f>IFERROR(__xludf.DUMMYFUNCTION("""COMPUTED_VALUE"""),40793.9138888889)</f>
        <v>40793.91389</v>
      </c>
    </row>
    <row r="312">
      <c r="A312" s="59" t="str">
        <f>IFERROR(__xludf.DUMMYFUNCTION("""COMPUTED_VALUE"""),"Football Kicks")</f>
        <v>Football Kicks</v>
      </c>
      <c r="B312" s="60"/>
      <c r="C312" s="61" t="str">
        <f>IFERROR(__xludf.DUMMYFUNCTION("""COMPUTED_VALUE"""),"Yes")</f>
        <v>Yes</v>
      </c>
      <c r="D312" s="62"/>
      <c r="E312" s="61" t="str">
        <f>IFERROR(__xludf.DUMMYFUNCTION("""COMPUTED_VALUE"""),"luudaigiang")</f>
        <v>luudaigiang</v>
      </c>
      <c r="F312" s="63">
        <f>IFERROR(__xludf.DUMMYFUNCTION("""COMPUTED_VALUE"""),40923.0)</f>
        <v>40923</v>
      </c>
    </row>
    <row r="313">
      <c r="A313" s="59" t="str">
        <f>IFERROR(__xludf.DUMMYFUNCTION("""COMPUTED_VALUE"""),"Fortress Under Siege")</f>
        <v>Fortress Under Siege</v>
      </c>
      <c r="B313" s="60"/>
      <c r="C313" s="61" t="str">
        <f>IFERROR(__xludf.DUMMYFUNCTION("""COMPUTED_VALUE"""),"Yes")</f>
        <v>Yes</v>
      </c>
      <c r="D313" s="62" t="str">
        <f>IFERROR(__xludf.DUMMYFUNCTION("""COMPUTED_VALUE"""),"Can purchase gold")</f>
        <v>Can purchase gold</v>
      </c>
      <c r="E313" s="61" t="str">
        <f>IFERROR(__xludf.DUMMYFUNCTION("""COMPUTED_VALUE"""),"PKK")</f>
        <v>PKK</v>
      </c>
      <c r="F313" s="63">
        <f>IFERROR(__xludf.DUMMYFUNCTION("""COMPUTED_VALUE"""),40890.0)</f>
        <v>40890</v>
      </c>
    </row>
    <row r="314">
      <c r="A314" s="59" t="str">
        <f>IFERROR(__xludf.DUMMYFUNCTION("""COMPUTED_VALUE"""),"FourFourTwo Stats Zone")</f>
        <v>FourFourTwo Stats Zone</v>
      </c>
      <c r="B314" s="60"/>
      <c r="C314" s="61" t="str">
        <f>IFERROR(__xludf.DUMMYFUNCTION("""COMPUTED_VALUE"""),"Yes")</f>
        <v>Yes</v>
      </c>
      <c r="D314" s="62"/>
      <c r="E314" s="61" t="str">
        <f>IFERROR(__xludf.DUMMYFUNCTION("""COMPUTED_VALUE"""),"Dansco")</f>
        <v>Dansco</v>
      </c>
      <c r="F314" s="63">
        <f>IFERROR(__xludf.DUMMYFUNCTION("""COMPUTED_VALUE"""),40793.9138888889)</f>
        <v>40793.91389</v>
      </c>
    </row>
    <row r="315">
      <c r="A315" s="59" t="str">
        <f>IFERROR(__xludf.DUMMYFUNCTION("""COMPUTED_VALUE"""),"Fragger")</f>
        <v>Fragger</v>
      </c>
      <c r="B315" s="60"/>
      <c r="C315" s="61" t="str">
        <f>IFERROR(__xludf.DUMMYFUNCTION("""COMPUTED_VALUE"""),"Yes")</f>
        <v>Yes</v>
      </c>
      <c r="D315" s="62" t="str">
        <f>IFERROR(__xludf.DUMMYFUNCTION("""COMPUTED_VALUE"""),"Purchasing of Coins works.")</f>
        <v>Purchasing of Coins works.</v>
      </c>
      <c r="E315" s="61" t="str">
        <f>IFERROR(__xludf.DUMMYFUNCTION("""COMPUTED_VALUE"""),"zeLLFF8")</f>
        <v>zeLLFF8</v>
      </c>
      <c r="F315" s="63">
        <f>IFERROR(__xludf.DUMMYFUNCTION("""COMPUTED_VALUE"""),40874.0)</f>
        <v>40874</v>
      </c>
    </row>
    <row r="316">
      <c r="A316" s="59" t="str">
        <f>IFERROR(__xludf.DUMMYFUNCTION("""COMPUTED_VALUE"""),"Frame Magic")</f>
        <v>Frame Magic</v>
      </c>
      <c r="B316" s="60"/>
      <c r="C316" s="61" t="str">
        <f>IFERROR(__xludf.DUMMYFUNCTION("""COMPUTED_VALUE"""),"Yes")</f>
        <v>Yes</v>
      </c>
      <c r="D316" s="62"/>
      <c r="E316" s="61" t="str">
        <f>IFERROR(__xludf.DUMMYFUNCTION("""COMPUTED_VALUE"""),"Lightwalker")</f>
        <v>Lightwalker</v>
      </c>
      <c r="F316" s="63">
        <f>IFERROR(__xludf.DUMMYFUNCTION("""COMPUTED_VALUE"""),40902.0)</f>
        <v>40902</v>
      </c>
    </row>
    <row r="317">
      <c r="A317" s="59" t="str">
        <f>IFERROR(__xludf.DUMMYFUNCTION("""COMPUTED_VALUE"""),"Frametastic")</f>
        <v>Frametastic</v>
      </c>
      <c r="B317" s="60"/>
      <c r="C317" s="61" t="str">
        <f>IFERROR(__xludf.DUMMYFUNCTION("""COMPUTED_VALUE"""),"Yes")</f>
        <v>Yes</v>
      </c>
      <c r="D317" s="62" t="str">
        <f>IFERROR(__xludf.DUMMYFUNCTION("""COMPUTED_VALUE"""),"Unlock all frame formats")</f>
        <v>Unlock all frame formats</v>
      </c>
      <c r="E317" s="61" t="str">
        <f>IFERROR(__xludf.DUMMYFUNCTION("""COMPUTED_VALUE"""),"indraf")</f>
        <v>indraf</v>
      </c>
      <c r="F317" s="63">
        <f>IFERROR(__xludf.DUMMYFUNCTION("""COMPUTED_VALUE"""),40913.0)</f>
        <v>40913</v>
      </c>
    </row>
    <row r="318">
      <c r="A318" s="59" t="str">
        <f>IFERROR(__xludf.DUMMYFUNCTION("""COMPUTED_VALUE"""),"Frantic Frigate")</f>
        <v>Frantic Frigate</v>
      </c>
      <c r="B318" s="60"/>
      <c r="C318" s="61" t="str">
        <f>IFERROR(__xludf.DUMMYFUNCTION("""COMPUTED_VALUE"""),"Yes")</f>
        <v>Yes</v>
      </c>
      <c r="D318" s="62"/>
      <c r="E318" s="61" t="str">
        <f>IFERROR(__xludf.DUMMYFUNCTION("""COMPUTED_VALUE"""),"Ehiko")</f>
        <v>Ehiko</v>
      </c>
      <c r="F318" s="63">
        <f>IFERROR(__xludf.DUMMYFUNCTION("""COMPUTED_VALUE"""),40883.0)</f>
        <v>40883</v>
      </c>
    </row>
    <row r="319">
      <c r="A319" s="59" t="str">
        <f>IFERROR(__xludf.DUMMYFUNCTION("""COMPUTED_VALUE"""),"Freaky Face")</f>
        <v>Freaky Face</v>
      </c>
      <c r="B319" s="60"/>
      <c r="C319" s="61" t="str">
        <f>IFERROR(__xludf.DUMMYFUNCTION("""COMPUTED_VALUE"""),"Yes")</f>
        <v>Yes</v>
      </c>
      <c r="D319" s="62" t="str">
        <f>IFERROR(__xludf.DUMMYFUNCTION("""COMPUTED_VALUE"""),"Purchase All Paid Packs")</f>
        <v>Purchase All Paid Packs</v>
      </c>
      <c r="E319" s="61" t="str">
        <f>IFERROR(__xludf.DUMMYFUNCTION("""COMPUTED_VALUE"""),"Azh")</f>
        <v>Azh</v>
      </c>
      <c r="F319" s="63">
        <f>IFERROR(__xludf.DUMMYFUNCTION("""COMPUTED_VALUE"""),41178.0)</f>
        <v>41178</v>
      </c>
    </row>
    <row r="320">
      <c r="A320" s="59" t="str">
        <f>IFERROR(__xludf.DUMMYFUNCTION("""COMPUTED_VALUE"""),"Fresh Tracks Snowboarding")</f>
        <v>Fresh Tracks Snowboarding</v>
      </c>
      <c r="B320" s="60"/>
      <c r="C320" s="61" t="str">
        <f>IFERROR(__xludf.DUMMYFUNCTION("""COMPUTED_VALUE"""),"Yes")</f>
        <v>Yes</v>
      </c>
      <c r="D320" s="62" t="str">
        <f>IFERROR(__xludf.DUMMYFUNCTION("""COMPUTED_VALUE"""),"Purchases work perfectly.")</f>
        <v>Purchases work perfectly.</v>
      </c>
      <c r="E320" s="61" t="str">
        <f>IFERROR(__xludf.DUMMYFUNCTION("""COMPUTED_VALUE"""),"kickinthemix")</f>
        <v>kickinthemix</v>
      </c>
      <c r="F320" s="41" t="str">
        <f>IFERROR(__xludf.DUMMYFUNCTION("""COMPUTED_VALUE"""),"29-06-12")</f>
        <v>29-06-12</v>
      </c>
    </row>
    <row r="321">
      <c r="A321" s="59" t="str">
        <f>IFERROR(__xludf.DUMMYFUNCTION("""COMPUTED_VALUE"""),"Frisbee® Forever")</f>
        <v>Frisbee® Forever</v>
      </c>
      <c r="B321" s="60"/>
      <c r="C321" s="61" t="str">
        <f>IFERROR(__xludf.DUMMYFUNCTION("""COMPUTED_VALUE"""),"Yes")</f>
        <v>Yes</v>
      </c>
      <c r="D321" s="62" t="str">
        <f>IFERROR(__xludf.DUMMYFUNCTION("""COMPUTED_VALUE"""),"You can buy Star Coins...")</f>
        <v>You can buy Star Coins...</v>
      </c>
      <c r="E321" s="61" t="str">
        <f>IFERROR(__xludf.DUMMYFUNCTION("""COMPUTED_VALUE"""),"Kev63")</f>
        <v>Kev63</v>
      </c>
      <c r="F321" s="63">
        <f>IFERROR(__xludf.DUMMYFUNCTION("""COMPUTED_VALUE"""),40928.0)</f>
        <v>40928</v>
      </c>
    </row>
    <row r="322">
      <c r="A322" s="59" t="str">
        <f>IFERROR(__xludf.DUMMYFUNCTION("""COMPUTED_VALUE"""),"Frog Toss!")</f>
        <v>Frog Toss!</v>
      </c>
      <c r="B322" s="60"/>
      <c r="C322" s="61" t="str">
        <f>IFERROR(__xludf.DUMMYFUNCTION("""COMPUTED_VALUE"""),"Yes")</f>
        <v>Yes</v>
      </c>
      <c r="D322" s="62" t="str">
        <f>IFERROR(__xludf.DUMMYFUNCTION("""COMPUTED_VALUE"""),"Can purchase Frogs")</f>
        <v>Can purchase Frogs</v>
      </c>
      <c r="E322" s="61" t="str">
        <f>IFERROR(__xludf.DUMMYFUNCTION("""COMPUTED_VALUE"""),"chowlala")</f>
        <v>chowlala</v>
      </c>
      <c r="F322" s="63">
        <f>IFERROR(__xludf.DUMMYFUNCTION("""COMPUTED_VALUE"""),40946.0)</f>
        <v>40946</v>
      </c>
    </row>
    <row r="323">
      <c r="A323" s="59" t="str">
        <f>IFERROR(__xludf.DUMMYFUNCTION("""COMPUTED_VALUE"""),"Froggy Jump")</f>
        <v>Froggy Jump</v>
      </c>
      <c r="B323" s="60"/>
      <c r="C323" s="61" t="str">
        <f>IFERROR(__xludf.DUMMYFUNCTION("""COMPUTED_VALUE"""),"Yes")</f>
        <v>Yes</v>
      </c>
      <c r="D323" s="62"/>
      <c r="E323" s="61" t="str">
        <f>IFERROR(__xludf.DUMMYFUNCTION("""COMPUTED_VALUE"""),"Zer0id")</f>
        <v>Zer0id</v>
      </c>
      <c r="F323" s="63">
        <f>IFERROR(__xludf.DUMMYFUNCTION("""COMPUTED_VALUE"""),40912.0)</f>
        <v>40912</v>
      </c>
    </row>
    <row r="324">
      <c r="A324" s="59" t="str">
        <f>IFERROR(__xludf.DUMMYFUNCTION("""COMPUTED_VALUE"""),"Froggy Launcher")</f>
        <v>Froggy Launcher</v>
      </c>
      <c r="B324" s="60"/>
      <c r="C324" s="61" t="str">
        <f>IFERROR(__xludf.DUMMYFUNCTION("""COMPUTED_VALUE"""),"Yes")</f>
        <v>Yes</v>
      </c>
      <c r="D324" s="62"/>
      <c r="E324" s="61" t="str">
        <f>IFERROR(__xludf.DUMMYFUNCTION("""COMPUTED_VALUE"""),"Zer0id")</f>
        <v>Zer0id</v>
      </c>
      <c r="F324" s="63">
        <f>IFERROR(__xludf.DUMMYFUNCTION("""COMPUTED_VALUE"""),40912.0)</f>
        <v>40912</v>
      </c>
    </row>
    <row r="325">
      <c r="A325" s="59" t="str">
        <f>IFERROR(__xludf.DUMMYFUNCTION("""COMPUTED_VALUE"""),"Frontline Commando")</f>
        <v>Frontline Commando</v>
      </c>
      <c r="B325" s="60"/>
      <c r="C325" s="61" t="str">
        <f>IFERROR(__xludf.DUMMYFUNCTION("""COMPUTED_VALUE"""),"Yes")</f>
        <v>Yes</v>
      </c>
      <c r="D325" s="62"/>
      <c r="E325" s="61" t="str">
        <f>IFERROR(__xludf.DUMMYFUNCTION("""COMPUTED_VALUE"""),"ThePreserver")</f>
        <v>ThePreserver</v>
      </c>
      <c r="F325" s="63">
        <f>IFERROR(__xludf.DUMMYFUNCTION("""COMPUTED_VALUE"""),40896.0)</f>
        <v>40896</v>
      </c>
    </row>
    <row r="326">
      <c r="A326" s="59" t="str">
        <f>IFERROR(__xludf.DUMMYFUNCTION("""COMPUTED_VALUE"""),"Frontline Commando")</f>
        <v>Frontline Commando</v>
      </c>
      <c r="B326" s="60">
        <f>IFERROR(__xludf.DUMMYFUNCTION("""COMPUTED_VALUE"""),1.1)</f>
        <v>1.1</v>
      </c>
      <c r="C326" s="61" t="str">
        <f>IFERROR(__xludf.DUMMYFUNCTION("""COMPUTED_VALUE"""),"Yes")</f>
        <v>Yes</v>
      </c>
      <c r="D326" s="62" t="str">
        <f>IFERROR(__xludf.DUMMYFUNCTION("""COMPUTED_VALUE"""),"Can purchase all store upgrades")</f>
        <v>Can purchase all store upgrades</v>
      </c>
      <c r="E326" s="61" t="str">
        <f>IFERROR(__xludf.DUMMYFUNCTION("""COMPUTED_VALUE"""),"mashinganJo")</f>
        <v>mashinganJo</v>
      </c>
      <c r="F326" s="63">
        <f>IFERROR(__xludf.DUMMYFUNCTION("""COMPUTED_VALUE"""),40972.0)</f>
        <v>40972</v>
      </c>
    </row>
    <row r="327">
      <c r="A327" s="59" t="str">
        <f>IFERROR(__xludf.DUMMYFUNCTION("""COMPUTED_VALUE"""),"Fruit Bomb")</f>
        <v>Fruit Bomb</v>
      </c>
      <c r="B327" s="60"/>
      <c r="C327" s="61" t="str">
        <f>IFERROR(__xludf.DUMMYFUNCTION("""COMPUTED_VALUE"""),"Yes")</f>
        <v>Yes</v>
      </c>
      <c r="D327" s="62"/>
      <c r="E327" s="61"/>
      <c r="F327" s="41"/>
    </row>
    <row r="328">
      <c r="A328" s="59" t="str">
        <f>IFERROR(__xludf.DUMMYFUNCTION("""COMPUTED_VALUE"""),"FS5 Touch Hockey 2")</f>
        <v>FS5 Touch Hockey 2</v>
      </c>
      <c r="B328" s="60"/>
      <c r="C328" s="61" t="str">
        <f>IFERROR(__xludf.DUMMYFUNCTION("""COMPUTED_VALUE"""),"Yes")</f>
        <v>Yes</v>
      </c>
      <c r="D328" s="62" t="str">
        <f>IFERROR(__xludf.DUMMYFUNCTION("""COMPUTED_VALUE"""),"Can unlock full game and purchase coins.")</f>
        <v>Can unlock full game and purchase coins.</v>
      </c>
      <c r="E328" s="61" t="str">
        <f>IFERROR(__xludf.DUMMYFUNCTION("""COMPUTED_VALUE"""),"The Immortal")</f>
        <v>The Immortal</v>
      </c>
      <c r="F328" s="63">
        <f>IFERROR(__xludf.DUMMYFUNCTION("""COMPUTED_VALUE"""),40897.0)</f>
        <v>40897</v>
      </c>
    </row>
    <row r="329">
      <c r="A329" s="59" t="str">
        <f>IFERROR(__xludf.DUMMYFUNCTION("""COMPUTED_VALUE"""),"Future Ludo")</f>
        <v>Future Ludo</v>
      </c>
      <c r="B329" s="60"/>
      <c r="C329" s="61" t="str">
        <f>IFERROR(__xludf.DUMMYFUNCTION("""COMPUTED_VALUE"""),"Yes")</f>
        <v>Yes</v>
      </c>
      <c r="D329" s="62"/>
      <c r="E329" s="61" t="str">
        <f>IFERROR(__xludf.DUMMYFUNCTION("""COMPUTED_VALUE"""),"Guk")</f>
        <v>Guk</v>
      </c>
      <c r="F329" s="63">
        <f>IFERROR(__xludf.DUMMYFUNCTION("""COMPUTED_VALUE"""),40881.0)</f>
        <v>40881</v>
      </c>
    </row>
    <row r="330">
      <c r="A330" s="59" t="str">
        <f>IFERROR(__xludf.DUMMYFUNCTION("""COMPUTED_VALUE"""),"FX Photo Studio")</f>
        <v>FX Photo Studio</v>
      </c>
      <c r="B330" s="60"/>
      <c r="C330" s="61" t="str">
        <f>IFERROR(__xludf.DUMMYFUNCTION("""COMPUTED_VALUE"""),"Yes")</f>
        <v>Yes</v>
      </c>
      <c r="D330" s="62"/>
      <c r="E330" s="61"/>
      <c r="F330" s="41"/>
    </row>
    <row r="331">
      <c r="A331" s="59" t="str">
        <f>IFERROR(__xludf.DUMMYFUNCTION("""COMPUTED_VALUE"""),"FX Photo Studio HD")</f>
        <v>FX Photo Studio HD</v>
      </c>
      <c r="B331" s="60"/>
      <c r="C331" s="61" t="str">
        <f>IFERROR(__xludf.DUMMYFUNCTION("""COMPUTED_VALUE"""),"Yes")</f>
        <v>Yes</v>
      </c>
      <c r="D331" s="62"/>
      <c r="E331" s="61" t="str">
        <f>IFERROR(__xludf.DUMMYFUNCTION("""COMPUTED_VALUE"""),"luudaigiang")</f>
        <v>luudaigiang</v>
      </c>
      <c r="F331" s="63">
        <f>IFERROR(__xludf.DUMMYFUNCTION("""COMPUTED_VALUE"""),40922.0)</f>
        <v>40922</v>
      </c>
    </row>
    <row r="332">
      <c r="A332" s="59" t="str">
        <f>IFERROR(__xludf.DUMMYFUNCTION("""COMPUTED_VALUE"""),"Galaga 30th Collection")</f>
        <v>Galaga 30th Collection</v>
      </c>
      <c r="B332" s="60"/>
      <c r="C332" s="61" t="str">
        <f>IFERROR(__xludf.DUMMYFUNCTION("""COMPUTED_VALUE"""),"Yes")</f>
        <v>Yes</v>
      </c>
      <c r="D332" s="62" t="str">
        <f>IFERROR(__xludf.DUMMYFUNCTION("""COMPUTED_VALUE"""),"Tested with app v1.0.1. All in-app games can be purchased.")</f>
        <v>Tested with app v1.0.1. All in-app games can be purchased.</v>
      </c>
      <c r="E332" s="61" t="str">
        <f>IFERROR(__xludf.DUMMYFUNCTION("""COMPUTED_VALUE"""),"zugzug")</f>
        <v>zugzug</v>
      </c>
      <c r="F332" s="63">
        <f>IFERROR(__xludf.DUMMYFUNCTION("""COMPUTED_VALUE"""),40937.0)</f>
        <v>40937</v>
      </c>
    </row>
    <row r="333">
      <c r="A333" s="59" t="str">
        <f>IFERROR(__xludf.DUMMYFUNCTION("""COMPUTED_VALUE"""),"Galaxy on Fire 2™")</f>
        <v>Galaxy on Fire 2™</v>
      </c>
      <c r="B333" s="60"/>
      <c r="C333" s="61" t="str">
        <f>IFERROR(__xludf.DUMMYFUNCTION("""COMPUTED_VALUE"""),"Yes")</f>
        <v>Yes</v>
      </c>
      <c r="D333" s="62" t="str">
        <f>IFERROR(__xludf.DUMMYFUNCTION("""COMPUTED_VALUE"""),"Works well")</f>
        <v>Works well</v>
      </c>
      <c r="E333" s="61"/>
      <c r="F333" s="41"/>
    </row>
    <row r="334">
      <c r="A334" s="59" t="str">
        <f>IFERROR(__xludf.DUMMYFUNCTION("""COMPUTED_VALUE"""),"Galileo Offline Maps")</f>
        <v>Galileo Offline Maps</v>
      </c>
      <c r="B334" s="60"/>
      <c r="C334" s="61" t="str">
        <f>IFERROR(__xludf.DUMMYFUNCTION("""COMPUTED_VALUE"""),"Yes")</f>
        <v>Yes</v>
      </c>
      <c r="D334" s="62" t="str">
        <f>IFERROR(__xludf.DUMMYFUNCTION("""COMPUTED_VALUE"""),"Unlock all special features")</f>
        <v>Unlock all special features</v>
      </c>
      <c r="E334" s="61" t="str">
        <f>IFERROR(__xludf.DUMMYFUNCTION("""COMPUTED_VALUE"""),"ArLo")</f>
        <v>ArLo</v>
      </c>
      <c r="F334" s="63">
        <f>IFERROR(__xludf.DUMMYFUNCTION("""COMPUTED_VALUE"""),40935.0)</f>
        <v>40935</v>
      </c>
    </row>
    <row r="335">
      <c r="A335" s="59" t="str">
        <f>IFERROR(__xludf.DUMMYFUNCTION("""COMPUTED_VALUE"""),"Gamekyo")</f>
        <v>Gamekyo</v>
      </c>
      <c r="B335" s="60"/>
      <c r="C335" s="61" t="str">
        <f>IFERROR(__xludf.DUMMYFUNCTION("""COMPUTED_VALUE"""),"Yes")</f>
        <v>Yes</v>
      </c>
      <c r="D335" s="62" t="str">
        <f>IFERROR(__xludf.DUMMYFUNCTION("""COMPUTED_VALUE"""),"Remove ads.")</f>
        <v>Remove ads.</v>
      </c>
      <c r="E335" s="61" t="str">
        <f>IFERROR(__xludf.DUMMYFUNCTION("""COMPUTED_VALUE"""),"Kev63")</f>
        <v>Kev63</v>
      </c>
      <c r="F335" s="63">
        <f>IFERROR(__xludf.DUMMYFUNCTION("""COMPUTED_VALUE"""),40954.0)</f>
        <v>40954</v>
      </c>
    </row>
    <row r="336">
      <c r="A336" s="59" t="str">
        <f>IFERROR(__xludf.DUMMYFUNCTION("""COMPUTED_VALUE"""),"Gardenscapes HD")</f>
        <v>Gardenscapes HD</v>
      </c>
      <c r="B336" s="60"/>
      <c r="C336" s="61" t="str">
        <f>IFERROR(__xludf.DUMMYFUNCTION("""COMPUTED_VALUE"""),"Yes")</f>
        <v>Yes</v>
      </c>
      <c r="D336" s="62" t="str">
        <f>IFERROR(__xludf.DUMMYFUNCTION("""COMPUTED_VALUE"""),"Unlock to Full version")</f>
        <v>Unlock to Full version</v>
      </c>
      <c r="E336" s="61" t="str">
        <f>IFERROR(__xludf.DUMMYFUNCTION("""COMPUTED_VALUE"""),"Vista2k7")</f>
        <v>Vista2k7</v>
      </c>
      <c r="F336" s="63">
        <f>IFERROR(__xludf.DUMMYFUNCTION("""COMPUTED_VALUE"""),40926.0)</f>
        <v>40926</v>
      </c>
    </row>
    <row r="337">
      <c r="A337" s="59" t="str">
        <f>IFERROR(__xludf.DUMMYFUNCTION("""COMPUTED_VALUE"""),"GD Swarm")</f>
        <v>GD Swarm</v>
      </c>
      <c r="B337" s="60"/>
      <c r="C337" s="61" t="str">
        <f>IFERROR(__xludf.DUMMYFUNCTION("""COMPUTED_VALUE"""),"Yes")</f>
        <v>Yes</v>
      </c>
      <c r="D337" s="62" t="str">
        <f>IFERROR(__xludf.DUMMYFUNCTION("""COMPUTED_VALUE"""),"Can purchase Horizon LP")</f>
        <v>Can purchase Horizon LP</v>
      </c>
      <c r="E337" s="61" t="str">
        <f>IFERROR(__xludf.DUMMYFUNCTION("""COMPUTED_VALUE"""),"00Shack")</f>
        <v>00Shack</v>
      </c>
      <c r="F337" s="63">
        <f>IFERROR(__xludf.DUMMYFUNCTION("""COMPUTED_VALUE"""),40926.0)</f>
        <v>40926</v>
      </c>
    </row>
    <row r="338">
      <c r="A338" s="59" t="str">
        <f>IFERROR(__xludf.DUMMYFUNCTION("""COMPUTED_VALUE"""),"Geared")</f>
        <v>Geared</v>
      </c>
      <c r="B338" s="60"/>
      <c r="C338" s="61" t="str">
        <f>IFERROR(__xludf.DUMMYFUNCTION("""COMPUTED_VALUE"""),"Yes")</f>
        <v>Yes</v>
      </c>
      <c r="D338" s="62" t="str">
        <f>IFERROR(__xludf.DUMMYFUNCTION("""COMPUTED_VALUE"""),"You can buy tokens")</f>
        <v>You can buy tokens</v>
      </c>
      <c r="E338" s="61" t="str">
        <f>IFERROR(__xludf.DUMMYFUNCTION("""COMPUTED_VALUE"""),"Ozirone")</f>
        <v>Ozirone</v>
      </c>
      <c r="F338" s="63">
        <f>IFERROR(__xludf.DUMMYFUNCTION("""COMPUTED_VALUE"""),40923.0)</f>
        <v>40923</v>
      </c>
    </row>
    <row r="339">
      <c r="A339" s="59" t="str">
        <f>IFERROR(__xludf.DUMMYFUNCTION("""COMPUTED_VALUE"""),"Gem Keeper")</f>
        <v>Gem Keeper</v>
      </c>
      <c r="B339" s="60"/>
      <c r="C339" s="61" t="str">
        <f>IFERROR(__xludf.DUMMYFUNCTION("""COMPUTED_VALUE"""),"Yes")</f>
        <v>Yes</v>
      </c>
      <c r="D339" s="62" t="str">
        <f>IFERROR(__xludf.DUMMYFUNCTION("""COMPUTED_VALUE"""),"Tested on genuinely purchased apps")</f>
        <v>Tested on genuinely purchased apps</v>
      </c>
      <c r="E339" s="61" t="str">
        <f>IFERROR(__xludf.DUMMYFUNCTION("""COMPUTED_VALUE"""),"Guk")</f>
        <v>Guk</v>
      </c>
      <c r="F339" s="63">
        <f>IFERROR(__xludf.DUMMYFUNCTION("""COMPUTED_VALUE"""),40881.0)</f>
        <v>40881</v>
      </c>
    </row>
    <row r="340">
      <c r="A340" s="59" t="str">
        <f>IFERROR(__xludf.DUMMYFUNCTION("""COMPUTED_VALUE"""),"Genius Scan - PDF Scanner")</f>
        <v>Genius Scan - PDF Scanner</v>
      </c>
      <c r="B340" s="60"/>
      <c r="C340" s="61" t="str">
        <f>IFERROR(__xludf.DUMMYFUNCTION("""COMPUTED_VALUE"""),"Yes")</f>
        <v>Yes</v>
      </c>
      <c r="D340" s="62" t="str">
        <f>IFERROR(__xludf.DUMMYFUNCTION("""COMPUTED_VALUE"""),"Free → Full")</f>
        <v>Free → Full</v>
      </c>
      <c r="E340" s="61"/>
      <c r="F340" s="41"/>
    </row>
    <row r="341">
      <c r="A341" s="59" t="str">
        <f>IFERROR(__xludf.DUMMYFUNCTION("""COMPUTED_VALUE"""),"Ghost &amp; Goblins")</f>
        <v>Ghost &amp; Goblins</v>
      </c>
      <c r="B341" s="60"/>
      <c r="C341" s="61" t="str">
        <f>IFERROR(__xludf.DUMMYFUNCTION("""COMPUTED_VALUE"""),"Yes")</f>
        <v>Yes</v>
      </c>
      <c r="D341" s="62" t="str">
        <f>IFERROR(__xludf.DUMMYFUNCTION("""COMPUTED_VALUE"""),"Able to buy powerups.")</f>
        <v>Able to buy powerups.</v>
      </c>
      <c r="E341" s="61" t="str">
        <f>IFERROR(__xludf.DUMMYFUNCTION("""COMPUTED_VALUE"""),"Aarian")</f>
        <v>Aarian</v>
      </c>
      <c r="F341" s="63">
        <f>IFERROR(__xludf.DUMMYFUNCTION("""COMPUTED_VALUE"""),40896.0)</f>
        <v>40896</v>
      </c>
    </row>
    <row r="342">
      <c r="A342" s="59" t="str">
        <f>IFERROR(__xludf.DUMMYFUNCTION("""COMPUTED_VALUE"""),"Ghost Harvest")</f>
        <v>Ghost Harvest</v>
      </c>
      <c r="B342" s="60"/>
      <c r="C342" s="61" t="str">
        <f>IFERROR(__xludf.DUMMYFUNCTION("""COMPUTED_VALUE"""),"Yes")</f>
        <v>Yes</v>
      </c>
      <c r="D342" s="62"/>
      <c r="E342" s="61" t="str">
        <f>IFERROR(__xludf.DUMMYFUNCTION("""COMPUTED_VALUE"""),"Kitty9")</f>
        <v>Kitty9</v>
      </c>
      <c r="F342" s="63">
        <f>IFERROR(__xludf.DUMMYFUNCTION("""COMPUTED_VALUE"""),40916.0)</f>
        <v>40916</v>
      </c>
    </row>
    <row r="343">
      <c r="A343" s="59" t="str">
        <f>IFERROR(__xludf.DUMMYFUNCTION("""COMPUTED_VALUE"""),"Ghost Trick")</f>
        <v>Ghost Trick</v>
      </c>
      <c r="B343" s="60"/>
      <c r="C343" s="61" t="str">
        <f>IFERROR(__xludf.DUMMYFUNCTION("""COMPUTED_VALUE"""),"Yes")</f>
        <v>Yes</v>
      </c>
      <c r="D343" s="62"/>
      <c r="E343" s="61" t="str">
        <f>IFERROR(__xludf.DUMMYFUNCTION("""COMPUTED_VALUE"""),"rctgamer3")</f>
        <v>rctgamer3</v>
      </c>
      <c r="F343" s="63">
        <f>IFERROR(__xludf.DUMMYFUNCTION("""COMPUTED_VALUE"""),40945.0)</f>
        <v>40945</v>
      </c>
    </row>
    <row r="344">
      <c r="A344" s="59" t="str">
        <f>IFERROR(__xludf.DUMMYFUNCTION("""COMPUTED_VALUE"""),"Giáo dục giới tính")</f>
        <v>Giáo dục giới tính</v>
      </c>
      <c r="B344" s="60"/>
      <c r="C344" s="61" t="str">
        <f>IFERROR(__xludf.DUMMYFUNCTION("""COMPUTED_VALUE"""),"Yes")</f>
        <v>Yes</v>
      </c>
      <c r="D344" s="62" t="str">
        <f>IFERROR(__xludf.DUMMYFUNCTION("""COMPUTED_VALUE"""),"Can buy any books")</f>
        <v>Can buy any books</v>
      </c>
      <c r="E344" s="61" t="str">
        <f>IFERROR(__xludf.DUMMYFUNCTION("""COMPUTED_VALUE"""),"tuankiet65")</f>
        <v>tuankiet65</v>
      </c>
      <c r="F344" s="63">
        <f>IFERROR(__xludf.DUMMYFUNCTION("""COMPUTED_VALUE"""),40936.0)</f>
        <v>40936</v>
      </c>
    </row>
    <row r="345">
      <c r="A345" s="59" t="str">
        <f>IFERROR(__xludf.DUMMYFUNCTION("""COMPUTED_VALUE"""),"Glee Karaoke")</f>
        <v>Glee Karaoke</v>
      </c>
      <c r="B345" s="60"/>
      <c r="C345" s="61" t="str">
        <f>IFERROR(__xludf.DUMMYFUNCTION("""COMPUTED_VALUE"""),"Yes")</f>
        <v>Yes</v>
      </c>
      <c r="D345" s="62"/>
      <c r="E345" s="61" t="str">
        <f>IFERROR(__xludf.DUMMYFUNCTION("""COMPUTED_VALUE"""),"fss003124")</f>
        <v>fss003124</v>
      </c>
      <c r="F345" s="63">
        <f>IFERROR(__xludf.DUMMYFUNCTION("""COMPUTED_VALUE"""),40899.0)</f>
        <v>40899</v>
      </c>
    </row>
    <row r="346">
      <c r="A346" s="59" t="str">
        <f>IFERROR(__xludf.DUMMYFUNCTION("""COMPUTED_VALUE"""),"God Finger All-Stars")</f>
        <v>God Finger All-Stars</v>
      </c>
      <c r="B346" s="60"/>
      <c r="C346" s="61" t="str">
        <f>IFERROR(__xludf.DUMMYFUNCTION("""COMPUTED_VALUE"""),"Yes")</f>
        <v>Yes</v>
      </c>
      <c r="D346" s="62"/>
      <c r="E346" s="61"/>
      <c r="F346" s="41"/>
    </row>
    <row r="347">
      <c r="A347" s="59" t="str">
        <f>IFERROR(__xludf.DUMMYFUNCTION("""COMPUTED_VALUE"""),"Good Housekeeping")</f>
        <v>Good Housekeeping</v>
      </c>
      <c r="B347" s="60"/>
      <c r="C347" s="61" t="str">
        <f>IFERROR(__xludf.DUMMYFUNCTION("""COMPUTED_VALUE"""),"Yes")</f>
        <v>Yes</v>
      </c>
      <c r="D347" s="62" t="str">
        <f>IFERROR(__xludf.DUMMYFUNCTION("""COMPUTED_VALUE"""),"Can purchase magazines")</f>
        <v>Can purchase magazines</v>
      </c>
      <c r="E347" s="61" t="str">
        <f>IFERROR(__xludf.DUMMYFUNCTION("""COMPUTED_VALUE"""),"least_uniQue")</f>
        <v>least_uniQue</v>
      </c>
      <c r="F347" s="63">
        <f>IFERROR(__xludf.DUMMYFUNCTION("""COMPUTED_VALUE"""),40944.0)</f>
        <v>40944</v>
      </c>
    </row>
    <row r="348">
      <c r="A348" s="59" t="str">
        <f>IFERROR(__xludf.DUMMYFUNCTION("""COMPUTED_VALUE"""),"Grabatron")</f>
        <v>Grabatron</v>
      </c>
      <c r="B348" s="60"/>
      <c r="C348" s="61" t="str">
        <f>IFERROR(__xludf.DUMMYFUNCTION("""COMPUTED_VALUE"""),"Yes")</f>
        <v>Yes</v>
      </c>
      <c r="D348" s="62" t="str">
        <f>IFERROR(__xludf.DUMMYFUNCTION("""COMPUTED_VALUE"""),"bombs + upgrade")</f>
        <v>bombs + upgrade</v>
      </c>
      <c r="E348" s="61" t="str">
        <f>IFERROR(__xludf.DUMMYFUNCTION("""COMPUTED_VALUE"""),"sergjjj")</f>
        <v>sergjjj</v>
      </c>
      <c r="F348" s="41"/>
    </row>
    <row r="349">
      <c r="A349" s="59" t="str">
        <f>IFERROR(__xludf.DUMMYFUNCTION("""COMPUTED_VALUE"""),"Graffiti Can")</f>
        <v>Graffiti Can</v>
      </c>
      <c r="B349" s="60"/>
      <c r="C349" s="61" t="str">
        <f>IFERROR(__xludf.DUMMYFUNCTION("""COMPUTED_VALUE"""),"Yes")</f>
        <v>Yes</v>
      </c>
      <c r="D349" s="62" t="str">
        <f>IFERROR(__xludf.DUMMYFUNCTION("""COMPUTED_VALUE"""),"Unlocks the art pack")</f>
        <v>Unlocks the art pack</v>
      </c>
      <c r="E349" s="61" t="str">
        <f>IFERROR(__xludf.DUMMYFUNCTION("""COMPUTED_VALUE"""),"rV")</f>
        <v>rV</v>
      </c>
      <c r="F349" s="63">
        <f>IFERROR(__xludf.DUMMYFUNCTION("""COMPUTED_VALUE"""),40907.0)</f>
        <v>40907</v>
      </c>
    </row>
    <row r="350">
      <c r="A350" s="59" t="str">
        <f>IFERROR(__xludf.DUMMYFUNCTION("""COMPUTED_VALUE"""),"Gramedia Majalah Lite")</f>
        <v>Gramedia Majalah Lite</v>
      </c>
      <c r="B350" s="60"/>
      <c r="C350" s="61" t="str">
        <f>IFERROR(__xludf.DUMMYFUNCTION("""COMPUTED_VALUE"""),"Yes")</f>
        <v>Yes</v>
      </c>
      <c r="D350" s="62"/>
      <c r="E350" s="61" t="str">
        <f>IFERROR(__xludf.DUMMYFUNCTION("""COMPUTED_VALUE"""),"Guk")</f>
        <v>Guk</v>
      </c>
      <c r="F350" s="63">
        <f>IFERROR(__xludf.DUMMYFUNCTION("""COMPUTED_VALUE"""),40885.0)</f>
        <v>40885</v>
      </c>
    </row>
    <row r="351">
      <c r="A351" s="59" t="str">
        <f>IFERROR(__xludf.DUMMYFUNCTION("""COMPUTED_VALUE"""),"Gravity Guy")</f>
        <v>Gravity Guy</v>
      </c>
      <c r="B351" s="60"/>
      <c r="C351" s="61" t="str">
        <f>IFERROR(__xludf.DUMMYFUNCTION("""COMPUTED_VALUE"""),"Yes")</f>
        <v>Yes</v>
      </c>
      <c r="D351" s="62" t="str">
        <f>IFERROR(__xludf.DUMMYFUNCTION("""COMPUTED_VALUE"""),"You can buy shield and slowmotion")</f>
        <v>You can buy shield and slowmotion</v>
      </c>
      <c r="E351" s="61" t="str">
        <f>IFERROR(__xludf.DUMMYFUNCTION("""COMPUTED_VALUE"""),"FeroXys")</f>
        <v>FeroXys</v>
      </c>
      <c r="F351" s="63">
        <f>IFERROR(__xludf.DUMMYFUNCTION("""COMPUTED_VALUE"""),40937.0)</f>
        <v>40937</v>
      </c>
    </row>
    <row r="352">
      <c r="A352" s="59" t="str">
        <f>IFERROR(__xludf.DUMMYFUNCTION("""COMPUTED_VALUE"""),"Great Little War Game")</f>
        <v>Great Little War Game</v>
      </c>
      <c r="B352" s="60"/>
      <c r="C352" s="61" t="str">
        <f>IFERROR(__xludf.DUMMYFUNCTION("""COMPUTED_VALUE"""),"Yes")</f>
        <v>Yes</v>
      </c>
      <c r="D352" s="62" t="str">
        <f>IFERROR(__xludf.DUMMYFUNCTION("""COMPUTED_VALUE"""),"Can buy campaign pack")</f>
        <v>Can buy campaign pack</v>
      </c>
      <c r="E352" s="61" t="str">
        <f>IFERROR(__xludf.DUMMYFUNCTION("""COMPUTED_VALUE"""),"Calviin")</f>
        <v>Calviin</v>
      </c>
      <c r="F352" s="63">
        <f>IFERROR(__xludf.DUMMYFUNCTION("""COMPUTED_VALUE"""),40937.0)</f>
        <v>40937</v>
      </c>
    </row>
    <row r="353">
      <c r="A353" s="59" t="str">
        <f>IFERROR(__xludf.DUMMYFUNCTION("""COMPUTED_VALUE"""),"Grolly")</f>
        <v>Grolly</v>
      </c>
      <c r="B353" s="60"/>
      <c r="C353" s="61" t="str">
        <f>IFERROR(__xludf.DUMMYFUNCTION("""COMPUTED_VALUE"""),"yes")</f>
        <v>yes</v>
      </c>
      <c r="D353" s="62" t="str">
        <f>IFERROR(__xludf.DUMMYFUNCTION("""COMPUTED_VALUE"""),"can purchase the additional 2 chapters")</f>
        <v>can purchase the additional 2 chapters</v>
      </c>
      <c r="E353" s="61" t="str">
        <f>IFERROR(__xludf.DUMMYFUNCTION("""COMPUTED_VALUE"""),"ZinFab")</f>
        <v>ZinFab</v>
      </c>
      <c r="F353" s="63">
        <f>IFERROR(__xludf.DUMMYFUNCTION("""COMPUTED_VALUE"""),40951.0)</f>
        <v>40951</v>
      </c>
    </row>
    <row r="354">
      <c r="A354" s="59" t="str">
        <f>IFERROR(__xludf.DUMMYFUNCTION("""COMPUTED_VALUE"""),"GTA : Chinatown Lite ")</f>
        <v>GTA : Chinatown Lite </v>
      </c>
      <c r="B354" s="60"/>
      <c r="C354" s="61" t="str">
        <f>IFERROR(__xludf.DUMMYFUNCTION("""COMPUTED_VALUE"""),"Yes")</f>
        <v>Yes</v>
      </c>
      <c r="D354" s="62" t="str">
        <f>IFERROR(__xludf.DUMMYFUNCTION("""COMPUTED_VALUE"""),"Converted to full version via iAP but needed password. No credit or card linked and it worked. Use at OWN risk")</f>
        <v>Converted to full version via iAP but needed password. No credit or card linked and it worked. Use at OWN risk</v>
      </c>
      <c r="E354" s="61" t="str">
        <f>IFERROR(__xludf.DUMMYFUNCTION("""COMPUTED_VALUE"""),"Dansco")</f>
        <v>Dansco</v>
      </c>
      <c r="F354" s="63">
        <f>IFERROR(__xludf.DUMMYFUNCTION("""COMPUTED_VALUE"""),40793.0)</f>
        <v>40793</v>
      </c>
    </row>
    <row r="355">
      <c r="A355" s="59" t="str">
        <f>IFERROR(__xludf.DUMMYFUNCTION("""COMPUTED_VALUE"""),"Guide for Plants vs Zombies &amp; Angry Birds &amp; Cut the Rope (all apps)")</f>
        <v>Guide for Plants vs Zombies &amp; Angry Birds &amp; Cut the Rope (all apps)</v>
      </c>
      <c r="B355" s="60"/>
      <c r="C355" s="61" t="str">
        <f>IFERROR(__xludf.DUMMYFUNCTION("""COMPUTED_VALUE"""),"Yes")</f>
        <v>Yes</v>
      </c>
      <c r="D355" s="62"/>
      <c r="E355" s="61" t="str">
        <f>IFERROR(__xludf.DUMMYFUNCTION("""COMPUTED_VALUE"""),"luudaigiang")</f>
        <v>luudaigiang</v>
      </c>
      <c r="F355" s="63">
        <f>IFERROR(__xludf.DUMMYFUNCTION("""COMPUTED_VALUE"""),40922.0)</f>
        <v>40922</v>
      </c>
    </row>
    <row r="356">
      <c r="A356" s="59" t="str">
        <f>IFERROR(__xludf.DUMMYFUNCTION("""COMPUTED_VALUE"""),"Guitar Trainer HD")</f>
        <v>Guitar Trainer HD</v>
      </c>
      <c r="B356" s="60"/>
      <c r="C356" s="61" t="str">
        <f>IFERROR(__xludf.DUMMYFUNCTION("""COMPUTED_VALUE"""),"Yes")</f>
        <v>Yes</v>
      </c>
      <c r="D356" s="62" t="str">
        <f>IFERROR(__xludf.DUMMYFUNCTION("""COMPUTED_VALUE"""),"works perfect")</f>
        <v>works perfect</v>
      </c>
      <c r="E356" s="61" t="str">
        <f>IFERROR(__xludf.DUMMYFUNCTION("""COMPUTED_VALUE"""),"Yoma")</f>
        <v>Yoma</v>
      </c>
      <c r="F356" s="63">
        <f>IFERROR(__xludf.DUMMYFUNCTION("""COMPUTED_VALUE"""),40932.0)</f>
        <v>40932</v>
      </c>
    </row>
    <row r="357">
      <c r="A357" s="59" t="str">
        <f>IFERROR(__xludf.DUMMYFUNCTION("""COMPUTED_VALUE"""),"Gun Bros")</f>
        <v>Gun Bros</v>
      </c>
      <c r="B357" s="60"/>
      <c r="C357" s="61" t="str">
        <f>IFERROR(__xludf.DUMMYFUNCTION("""COMPUTED_VALUE"""),"Yes")</f>
        <v>Yes</v>
      </c>
      <c r="D357" s="62" t="str">
        <f>IFERROR(__xludf.DUMMYFUNCTION("""COMPUTED_VALUE"""),"I used it on last and it worked thanx IAP")</f>
        <v>I used it on last and it worked thanx IAP</v>
      </c>
      <c r="E357" s="61" t="str">
        <f>IFERROR(__xludf.DUMMYFUNCTION("""COMPUTED_VALUE"""),"Reaper, ardaozkal.com")</f>
        <v>Reaper, ardaozkal.com</v>
      </c>
      <c r="F357" s="63">
        <f>IFERROR(__xludf.DUMMYFUNCTION("""COMPUTED_VALUE"""),40951.0)</f>
        <v>40951</v>
      </c>
    </row>
    <row r="358">
      <c r="A358" s="59" t="str">
        <f>IFERROR(__xludf.DUMMYFUNCTION("""COMPUTED_VALUE"""),"Gun Builder Club")</f>
        <v>Gun Builder Club</v>
      </c>
      <c r="B358" s="60"/>
      <c r="C358" s="61" t="str">
        <f>IFERROR(__xludf.DUMMYFUNCTION("""COMPUTED_VALUE"""),"Yes")</f>
        <v>Yes</v>
      </c>
      <c r="D358" s="62" t="str">
        <f>IFERROR(__xludf.DUMMYFUNCTION("""COMPUTED_VALUE"""),"Can purchase but crashes when trying to build gun (iPad 1)")</f>
        <v>Can purchase but crashes when trying to build gun (iPad 1)</v>
      </c>
      <c r="E358" s="61" t="str">
        <f>IFERROR(__xludf.DUMMYFUNCTION("""COMPUTED_VALUE"""),"CCY")</f>
        <v>CCY</v>
      </c>
      <c r="F358" s="63">
        <f>IFERROR(__xludf.DUMMYFUNCTION("""COMPUTED_VALUE"""),40904.0)</f>
        <v>40904</v>
      </c>
    </row>
    <row r="359">
      <c r="A359" s="59" t="str">
        <f>IFERROR(__xludf.DUMMYFUNCTION("""COMPUTED_VALUE"""),"Gun Club 2")</f>
        <v>Gun Club 2</v>
      </c>
      <c r="B359" s="60"/>
      <c r="C359" s="61" t="str">
        <f>IFERROR(__xludf.DUMMYFUNCTION("""COMPUTED_VALUE"""),"Yes")</f>
        <v>Yes</v>
      </c>
      <c r="D359" s="62" t="str">
        <f>IFERROR(__xludf.DUMMYFUNCTION("""COMPUTED_VALUE"""),"It pops up buy with iTunes, hit the iTunes symbol and it will be unlocked.  My iTunes account has no credit card or funds on it and I got the gun packs for free.")</f>
        <v>It pops up buy with iTunes, hit the iTunes symbol and it will be unlocked.  My iTunes account has no credit card or funds on it and I got the gun packs for free.</v>
      </c>
      <c r="E359" s="61" t="str">
        <f>IFERROR(__xludf.DUMMYFUNCTION("""COMPUTED_VALUE"""),"Venom")</f>
        <v>Venom</v>
      </c>
      <c r="F359" s="63">
        <f>IFERROR(__xludf.DUMMYFUNCTION("""COMPUTED_VALUE"""),40952.0)</f>
        <v>40952</v>
      </c>
    </row>
    <row r="360">
      <c r="A360" s="59" t="str">
        <f>IFERROR(__xludf.DUMMYFUNCTION("""COMPUTED_VALUE"""),"Gun Strike")</f>
        <v>Gun Strike</v>
      </c>
      <c r="B360" s="60"/>
      <c r="C360" s="61" t="str">
        <f>IFERROR(__xludf.DUMMYFUNCTION("""COMPUTED_VALUE"""),"Yes")</f>
        <v>Yes</v>
      </c>
      <c r="D360" s="62" t="str">
        <f>IFERROR(__xludf.DUMMYFUNCTION("""COMPUTED_VALUE"""),"Unlocks full game")</f>
        <v>Unlocks full game</v>
      </c>
      <c r="E360" s="61" t="str">
        <f>IFERROR(__xludf.DUMMYFUNCTION("""COMPUTED_VALUE"""),"Craigeyboyz")</f>
        <v>Craigeyboyz</v>
      </c>
      <c r="F360" s="41"/>
    </row>
    <row r="361">
      <c r="A361" s="59" t="str">
        <f>IFERROR(__xludf.DUMMYFUNCTION("""COMPUTED_VALUE"""),"Gunner Galaxies")</f>
        <v>Gunner Galaxies</v>
      </c>
      <c r="B361" s="60"/>
      <c r="C361" s="61" t="str">
        <f>IFERROR(__xludf.DUMMYFUNCTION("""COMPUTED_VALUE"""),"Yes")</f>
        <v>Yes</v>
      </c>
      <c r="D361" s="62"/>
      <c r="E361" s="61" t="str">
        <f>IFERROR(__xludf.DUMMYFUNCTION("""COMPUTED_VALUE"""),"Zer0id")</f>
        <v>Zer0id</v>
      </c>
      <c r="F361" s="63">
        <f>IFERROR(__xludf.DUMMYFUNCTION("""COMPUTED_VALUE"""),40912.0)</f>
        <v>40912</v>
      </c>
    </row>
    <row r="362">
      <c r="A362" s="59" t="str">
        <f>IFERROR(__xludf.DUMMYFUNCTION("""COMPUTED_VALUE"""),"Guns on Wheels")</f>
        <v>Guns on Wheels</v>
      </c>
      <c r="B362" s="60">
        <f>IFERROR(__xludf.DUMMYFUNCTION("""COMPUTED_VALUE"""),1.3)</f>
        <v>1.3</v>
      </c>
      <c r="C362" s="61" t="str">
        <f>IFERROR(__xludf.DUMMYFUNCTION("""COMPUTED_VALUE"""),"Yes")</f>
        <v>Yes</v>
      </c>
      <c r="D362" s="62"/>
      <c r="E362" s="61" t="str">
        <f>IFERROR(__xludf.DUMMYFUNCTION("""COMPUTED_VALUE"""),"luudaigiang")</f>
        <v>luudaigiang</v>
      </c>
      <c r="F362" s="41"/>
    </row>
    <row r="363">
      <c r="A363" s="59" t="str">
        <f>IFERROR(__xludf.DUMMYFUNCTION("""COMPUTED_VALUE"""),"Gutterball: Golden Pin Bowling HD")</f>
        <v>Gutterball: Golden Pin Bowling HD</v>
      </c>
      <c r="B363" s="60"/>
      <c r="C363" s="61" t="str">
        <f>IFERROR(__xludf.DUMMYFUNCTION("""COMPUTED_VALUE"""),"Yes")</f>
        <v>Yes</v>
      </c>
      <c r="D363" s="62" t="str">
        <f>IFERROR(__xludf.DUMMYFUNCTION("""COMPUTED_VALUE"""),"+25,000 GP, all additional bowling balls, and stages unlocked")</f>
        <v>+25,000 GP, all additional bowling balls, and stages unlocked</v>
      </c>
      <c r="E363" s="61" t="str">
        <f>IFERROR(__xludf.DUMMYFUNCTION("""COMPUTED_VALUE"""),"ThePreserver")</f>
        <v>ThePreserver</v>
      </c>
      <c r="F363" s="63">
        <f>IFERROR(__xludf.DUMMYFUNCTION("""COMPUTED_VALUE"""),40890.0)</f>
        <v>40890</v>
      </c>
    </row>
    <row r="364">
      <c r="A364" s="59" t="str">
        <f>IFERROR(__xludf.DUMMYFUNCTION("""COMPUTED_VALUE"""),"Happy Park")</f>
        <v>Happy Park</v>
      </c>
      <c r="B364" s="60"/>
      <c r="C364" s="61" t="str">
        <f>IFERROR(__xludf.DUMMYFUNCTION("""COMPUTED_VALUE"""),"Yes")</f>
        <v>Yes</v>
      </c>
      <c r="D364" s="62"/>
      <c r="E364" s="61" t="str">
        <f>IFERROR(__xludf.DUMMYFUNCTION("""COMPUTED_VALUE"""),"Vicksss")</f>
        <v>Vicksss</v>
      </c>
      <c r="F364" s="63">
        <f>IFERROR(__xludf.DUMMYFUNCTION("""COMPUTED_VALUE"""),40915.0)</f>
        <v>40915</v>
      </c>
    </row>
    <row r="365">
      <c r="A365" s="59" t="str">
        <f>IFERROR(__xludf.DUMMYFUNCTION("""COMPUTED_VALUE"""),"Harbor Master")</f>
        <v>Harbor Master</v>
      </c>
      <c r="B365" s="60"/>
      <c r="C365" s="61" t="str">
        <f>IFERROR(__xludf.DUMMYFUNCTION("""COMPUTED_VALUE"""),"Yes")</f>
        <v>Yes</v>
      </c>
      <c r="D365" s="62" t="str">
        <f>IFERROR(__xludf.DUMMYFUNCTION("""COMPUTED_VALUE"""),"all maps and rewinds work")</f>
        <v>all maps and rewinds work</v>
      </c>
      <c r="E365" s="61" t="str">
        <f>IFERROR(__xludf.DUMMYFUNCTION("""COMPUTED_VALUE"""),"ZaizenK")</f>
        <v>ZaizenK</v>
      </c>
      <c r="F365" s="63">
        <f>IFERROR(__xludf.DUMMYFUNCTION("""COMPUTED_VALUE"""),40893.0)</f>
        <v>40893</v>
      </c>
    </row>
    <row r="366">
      <c r="A366" s="59" t="str">
        <f>IFERROR(__xludf.DUMMYFUNCTION("""COMPUTED_VALUE"""),"Head Soccer")</f>
        <v>Head Soccer</v>
      </c>
      <c r="B366" s="60" t="str">
        <f>IFERROR(__xludf.DUMMYFUNCTION("""COMPUTED_VALUE"""),"1.2.0")</f>
        <v>1.2.0</v>
      </c>
      <c r="C366" s="61" t="str">
        <f>IFERROR(__xludf.DUMMYFUNCTION("""COMPUTED_VALUE"""),"Yes")</f>
        <v>Yes</v>
      </c>
      <c r="D366" s="62" t="str">
        <f>IFERROR(__xludf.DUMMYFUNCTION("""COMPUTED_VALUE"""),"Can Buy Everything")</f>
        <v>Can Buy Everything</v>
      </c>
      <c r="E366" s="61" t="str">
        <f>IFERROR(__xludf.DUMMYFUNCTION("""COMPUTED_VALUE"""),"CruNkS")</f>
        <v>CruNkS</v>
      </c>
      <c r="F366" s="63">
        <f>IFERROR(__xludf.DUMMYFUNCTION("""COMPUTED_VALUE"""),41161.0)</f>
        <v>41161</v>
      </c>
    </row>
    <row r="367">
      <c r="A367" s="59" t="str">
        <f>IFERROR(__xludf.DUMMYFUNCTION("""COMPUTED_VALUE"""),"Hearts Multiplayer HD")</f>
        <v>Hearts Multiplayer HD</v>
      </c>
      <c r="B367" s="60"/>
      <c r="C367" s="61" t="str">
        <f>IFERROR(__xludf.DUMMYFUNCTION("""COMPUTED_VALUE"""),"Yes")</f>
        <v>Yes</v>
      </c>
      <c r="D367" s="62"/>
      <c r="E367" s="61" t="str">
        <f>IFERROR(__xludf.DUMMYFUNCTION("""COMPUTED_VALUE"""),"Moose")</f>
        <v>Moose</v>
      </c>
      <c r="F367" s="63">
        <f>IFERROR(__xludf.DUMMYFUNCTION("""COMPUTED_VALUE"""),40906.0)</f>
        <v>40906</v>
      </c>
    </row>
    <row r="368">
      <c r="A368" s="59" t="str">
        <f>IFERROR(__xludf.DUMMYFUNCTION("""COMPUTED_VALUE"""),"Heavy Mach: Defense (Also Assault, Battle)")</f>
        <v>Heavy Mach: Defense (Also Assault, Battle)</v>
      </c>
      <c r="B368" s="60"/>
      <c r="C368" s="61" t="str">
        <f>IFERROR(__xludf.DUMMYFUNCTION("""COMPUTED_VALUE"""),"Yes")</f>
        <v>Yes</v>
      </c>
      <c r="D368" s="62" t="str">
        <f>IFERROR(__xludf.DUMMYFUNCTION("""COMPUTED_VALUE"""),"Can buy CR")</f>
        <v>Can buy CR</v>
      </c>
      <c r="E368" s="61" t="str">
        <f>IFERROR(__xludf.DUMMYFUNCTION("""COMPUTED_VALUE"""),"PKK, phatpham")</f>
        <v>PKK, phatpham</v>
      </c>
      <c r="F368" s="63">
        <f>IFERROR(__xludf.DUMMYFUNCTION("""COMPUTED_VALUE"""),40902.0)</f>
        <v>40902</v>
      </c>
    </row>
    <row r="369">
      <c r="A369" s="59" t="str">
        <f>IFERROR(__xludf.DUMMYFUNCTION("""COMPUTED_VALUE"""),"HellKid")</f>
        <v>HellKid</v>
      </c>
      <c r="B369" s="60"/>
      <c r="C369" s="61" t="str">
        <f>IFERROR(__xludf.DUMMYFUNCTION("""COMPUTED_VALUE"""),"Yes")</f>
        <v>Yes</v>
      </c>
      <c r="D369" s="62" t="str">
        <f>IFERROR(__xludf.DUMMYFUNCTION("""COMPUTED_VALUE"""),"Store purchases work")</f>
        <v>Store purchases work</v>
      </c>
      <c r="E369" s="61" t="str">
        <f>IFERROR(__xludf.DUMMYFUNCTION("""COMPUTED_VALUE"""),"Persephone")</f>
        <v>Persephone</v>
      </c>
      <c r="F369" s="41"/>
    </row>
    <row r="370">
      <c r="A370" s="59" t="str">
        <f>IFERROR(__xludf.DUMMYFUNCTION("""COMPUTED_VALUE"""),"Hello Hello Japanese")</f>
        <v>Hello Hello Japanese</v>
      </c>
      <c r="B370" s="60">
        <f>IFERROR(__xludf.DUMMYFUNCTION("""COMPUTED_VALUE"""),1.3)</f>
        <v>1.3</v>
      </c>
      <c r="C370" s="61" t="str">
        <f>IFERROR(__xludf.DUMMYFUNCTION("""COMPUTED_VALUE"""),"Yes")</f>
        <v>Yes</v>
      </c>
      <c r="D370" s="62" t="str">
        <f>IFERROR(__xludf.DUMMYFUNCTION("""COMPUTED_VALUE"""),"U can purchase all the lessons")</f>
        <v>U can purchase all the lessons</v>
      </c>
      <c r="E370" s="61"/>
      <c r="F370" s="41"/>
    </row>
    <row r="371">
      <c r="A371" s="59" t="str">
        <f>IFERROR(__xludf.DUMMYFUNCTION("""COMPUTED_VALUE"""),"Hello Kitty Beauty Salon")</f>
        <v>Hello Kitty Beauty Salon</v>
      </c>
      <c r="B371" s="60"/>
      <c r="C371" s="61" t="str">
        <f>IFERROR(__xludf.DUMMYFUNCTION("""COMPUTED_VALUE"""),"Yes")</f>
        <v>Yes</v>
      </c>
      <c r="D371" s="62" t="str">
        <f>IFERROR(__xludf.DUMMYFUNCTION("""COMPUTED_VALUE"""),"Purchases Hallo Kitty Point perfectly")</f>
        <v>Purchases Hallo Kitty Point perfectly</v>
      </c>
      <c r="E371" s="61" t="str">
        <f>IFERROR(__xludf.DUMMYFUNCTION("""COMPUTED_VALUE"""),"Gambit")</f>
        <v>Gambit</v>
      </c>
      <c r="F371" s="63">
        <f>IFERROR(__xludf.DUMMYFUNCTION("""COMPUTED_VALUE"""),40920.0)</f>
        <v>40920</v>
      </c>
    </row>
    <row r="372">
      <c r="A372" s="59" t="str">
        <f>IFERROR(__xludf.DUMMYFUNCTION("""COMPUTED_VALUE"""),"Hero TacTics2")</f>
        <v>Hero TacTics2</v>
      </c>
      <c r="B372" s="60">
        <f>IFERROR(__xludf.DUMMYFUNCTION("""COMPUTED_VALUE"""),1.0)</f>
        <v>1</v>
      </c>
      <c r="C372" s="61" t="str">
        <f>IFERROR(__xludf.DUMMYFUNCTION("""COMPUTED_VALUE"""),"Yes")</f>
        <v>Yes</v>
      </c>
      <c r="D372" s="62"/>
      <c r="E372" s="61" t="str">
        <f>IFERROR(__xludf.DUMMYFUNCTION("""COMPUTED_VALUE"""),"luudaigiang")</f>
        <v>luudaigiang</v>
      </c>
      <c r="F372" s="63">
        <f>IFERROR(__xludf.DUMMYFUNCTION("""COMPUTED_VALUE"""),40958.0)</f>
        <v>40958</v>
      </c>
    </row>
    <row r="373">
      <c r="A373" s="59" t="str">
        <f>IFERROR(__xludf.DUMMYFUNCTION("""COMPUTED_VALUE"""),"Heroes in Time")</f>
        <v>Heroes in Time</v>
      </c>
      <c r="B373" s="60" t="str">
        <f>IFERROR(__xludf.DUMMYFUNCTION("""COMPUTED_VALUE"""),"1.0")</f>
        <v>1.0</v>
      </c>
      <c r="C373" s="61" t="str">
        <f>IFERROR(__xludf.DUMMYFUNCTION("""COMPUTED_VALUE"""),"Yes")</f>
        <v>Yes</v>
      </c>
      <c r="D373" s="62"/>
      <c r="E373" s="61" t="str">
        <f>IFERROR(__xludf.DUMMYFUNCTION("""COMPUTED_VALUE"""),"FrUct1s")</f>
        <v>FrUct1s</v>
      </c>
      <c r="F373" s="41" t="str">
        <f>IFERROR(__xludf.DUMMYFUNCTION("""COMPUTED_VALUE"""),"09-Jul-12")</f>
        <v>09-Jul-12</v>
      </c>
    </row>
    <row r="374">
      <c r="A374" s="59" t="str">
        <f>IFERROR(__xludf.DUMMYFUNCTION("""COMPUTED_VALUE"""),"Heroes vs Monsters")</f>
        <v>Heroes vs Monsters</v>
      </c>
      <c r="B374" s="60"/>
      <c r="C374" s="61" t="str">
        <f>IFERROR(__xludf.DUMMYFUNCTION("""COMPUTED_VALUE"""),"Yes")</f>
        <v>Yes</v>
      </c>
      <c r="D374" s="62" t="str">
        <f>IFERROR(__xludf.DUMMYFUNCTION("""COMPUTED_VALUE"""),"Works great")</f>
        <v>Works great</v>
      </c>
      <c r="E374" s="61" t="str">
        <f>IFERROR(__xludf.DUMMYFUNCTION("""COMPUTED_VALUE"""),"Signe, hisamisu")</f>
        <v>Signe, hisamisu</v>
      </c>
      <c r="F374" s="63">
        <f>IFERROR(__xludf.DUMMYFUNCTION("""COMPUTED_VALUE"""),40911.0)</f>
        <v>40911</v>
      </c>
    </row>
    <row r="375">
      <c r="A375" s="59" t="str">
        <f>IFERROR(__xludf.DUMMYFUNCTION("""COMPUTED_VALUE"""),"HeyTell")</f>
        <v>HeyTell</v>
      </c>
      <c r="B375" s="60"/>
      <c r="C375" s="61" t="str">
        <f>IFERROR(__xludf.DUMMYFUNCTION("""COMPUTED_VALUE"""),"Yes")</f>
        <v>Yes</v>
      </c>
      <c r="D375" s="62"/>
      <c r="E375" s="61" t="str">
        <f>IFERROR(__xludf.DUMMYFUNCTION("""COMPUTED_VALUE"""),"vinaygoel2000 ")</f>
        <v>vinaygoel2000 </v>
      </c>
      <c r="F375" s="63">
        <f>IFERROR(__xludf.DUMMYFUNCTION("""COMPUTED_VALUE"""),40792.0)</f>
        <v>40792</v>
      </c>
    </row>
    <row r="376">
      <c r="A376" s="59" t="str">
        <f>IFERROR(__xludf.DUMMYFUNCTION("""COMPUTED_VALUE"""),"Hipstamatic Disposable")</f>
        <v>Hipstamatic Disposable</v>
      </c>
      <c r="B376" s="60"/>
      <c r="C376" s="61" t="str">
        <f>IFERROR(__xludf.DUMMYFUNCTION("""COMPUTED_VALUE"""),"Yes")</f>
        <v>Yes</v>
      </c>
      <c r="D376" s="62"/>
      <c r="E376" s="61" t="str">
        <f>IFERROR(__xludf.DUMMYFUNCTION("""COMPUTED_VALUE"""),"Guk")</f>
        <v>Guk</v>
      </c>
      <c r="F376" s="63">
        <f>IFERROR(__xludf.DUMMYFUNCTION("""COMPUTED_VALUE"""),40905.0)</f>
        <v>40905</v>
      </c>
    </row>
    <row r="377">
      <c r="A377" s="59" t="str">
        <f>IFERROR(__xludf.DUMMYFUNCTION("""COMPUTED_VALUE"""),"Hit Tennis 2")</f>
        <v>Hit Tennis 2</v>
      </c>
      <c r="B377" s="60"/>
      <c r="C377" s="61" t="str">
        <f>IFERROR(__xludf.DUMMYFUNCTION("""COMPUTED_VALUE"""),"Yes")</f>
        <v>Yes</v>
      </c>
      <c r="D377" s="62" t="str">
        <f>IFERROR(__xludf.DUMMYFUNCTION("""COMPUTED_VALUE"""),"Unlocks soda cans and player packages")</f>
        <v>Unlocks soda cans and player packages</v>
      </c>
      <c r="E377" s="61" t="str">
        <f>IFERROR(__xludf.DUMMYFUNCTION("""COMPUTED_VALUE"""),"rorii")</f>
        <v>rorii</v>
      </c>
      <c r="F377" s="63">
        <f>IFERROR(__xludf.DUMMYFUNCTION("""COMPUTED_VALUE"""),40957.0)</f>
        <v>40957</v>
      </c>
    </row>
    <row r="378">
      <c r="A378" s="59" t="str">
        <f>IFERROR(__xludf.DUMMYFUNCTION("""COMPUTED_VALUE"""),"Hokusai Audio Editor")</f>
        <v>Hokusai Audio Editor</v>
      </c>
      <c r="B378" s="60"/>
      <c r="C378" s="61" t="str">
        <f>IFERROR(__xludf.DUMMYFUNCTION("""COMPUTED_VALUE"""),"Yes")</f>
        <v>Yes</v>
      </c>
      <c r="D378" s="62" t="str">
        <f>IFERROR(__xludf.DUMMYFUNCTION("""COMPUTED_VALUE"""),"It said Unable to retrieve... but when you click Show All packs, it is Installed, relaunch the app and you'll see.")</f>
        <v>It said Unable to retrieve... but when you click Show All packs, it is Installed, relaunch the app and you'll see.</v>
      </c>
      <c r="E378" s="61"/>
      <c r="F378" s="41"/>
    </row>
    <row r="379">
      <c r="A379" s="59" t="str">
        <f>IFERROR(__xludf.DUMMYFUNCTION("""COMPUTED_VALUE"""),"Holiday Jerk")</f>
        <v>Holiday Jerk</v>
      </c>
      <c r="B379" s="60"/>
      <c r="C379" s="61" t="str">
        <f>IFERROR(__xludf.DUMMYFUNCTION("""COMPUTED_VALUE"""),"Yes")</f>
        <v>Yes</v>
      </c>
      <c r="D379" s="62" t="str">
        <f>IFERROR(__xludf.DUMMYFUNCTION("""COMPUTED_VALUE"""),"Works great!  Can buy the elf and other fun stuff.")</f>
        <v>Works great!  Can buy the elf and other fun stuff.</v>
      </c>
      <c r="E379" s="61"/>
      <c r="F379" s="63">
        <f>IFERROR(__xludf.DUMMYFUNCTION("""COMPUTED_VALUE"""),40886.0)</f>
        <v>40886</v>
      </c>
    </row>
    <row r="380">
      <c r="A380" s="59" t="str">
        <f>IFERROR(__xludf.DUMMYFUNCTION("""COMPUTED_VALUE"""),"Home Design 3D for iPad")</f>
        <v>Home Design 3D for iPad</v>
      </c>
      <c r="B380" s="60"/>
      <c r="C380" s="61" t="str">
        <f>IFERROR(__xludf.DUMMYFUNCTION("""COMPUTED_VALUE"""),"Yes")</f>
        <v>Yes</v>
      </c>
      <c r="D380" s="62"/>
      <c r="E380" s="61" t="str">
        <f>IFERROR(__xludf.DUMMYFUNCTION("""COMPUTED_VALUE"""),"Maloon")</f>
        <v>Maloon</v>
      </c>
      <c r="F380" s="63">
        <f>IFERROR(__xludf.DUMMYFUNCTION("""COMPUTED_VALUE"""),40888.0)</f>
        <v>40888</v>
      </c>
    </row>
    <row r="381">
      <c r="A381" s="59" t="str">
        <f>IFERROR(__xludf.DUMMYFUNCTION("""COMPUTED_VALUE"""),"Horror  2 scene it")</f>
        <v>Horror  2 scene it</v>
      </c>
      <c r="B381" s="60"/>
      <c r="C381" s="61" t="str">
        <f>IFERROR(__xludf.DUMMYFUNCTION("""COMPUTED_VALUE"""),"Yes")</f>
        <v>Yes</v>
      </c>
      <c r="D381" s="62" t="str">
        <f>IFERROR(__xludf.DUMMYFUNCTION("""COMPUTED_VALUE"""),"Purchase all trivia packs")</f>
        <v>Purchase all trivia packs</v>
      </c>
      <c r="E381" s="61" t="str">
        <f>IFERROR(__xludf.DUMMYFUNCTION("""COMPUTED_VALUE"""),"Rodzombi")</f>
        <v>Rodzombi</v>
      </c>
      <c r="F381" s="63">
        <f>IFERROR(__xludf.DUMMYFUNCTION("""COMPUTED_VALUE"""),40913.0)</f>
        <v>40913</v>
      </c>
    </row>
    <row r="382">
      <c r="A382" s="59" t="str">
        <f>IFERROR(__xludf.DUMMYFUNCTION("""COMPUTED_VALUE"""),"Hospital Havoc 2 v1.2")</f>
        <v>Hospital Havoc 2 v1.2</v>
      </c>
      <c r="B382" s="60"/>
      <c r="C382" s="61" t="str">
        <f>IFERROR(__xludf.DUMMYFUNCTION("""COMPUTED_VALUE"""),"Yes")</f>
        <v>Yes</v>
      </c>
      <c r="D382" s="62" t="str">
        <f>IFERROR(__xludf.DUMMYFUNCTION("""COMPUTED_VALUE"""),"Tested work with iap Cracker 0.6-1")</f>
        <v>Tested work with iap Cracker 0.6-1</v>
      </c>
      <c r="E382" s="61" t="str">
        <f>IFERROR(__xludf.DUMMYFUNCTION("""COMPUTED_VALUE"""),"luudaigiang")</f>
        <v>luudaigiang</v>
      </c>
      <c r="F382" s="63">
        <f>IFERROR(__xludf.DUMMYFUNCTION("""COMPUTED_VALUE"""),40921.0)</f>
        <v>40921</v>
      </c>
    </row>
    <row r="383">
      <c r="A383" s="59" t="str">
        <f>IFERROR(__xludf.DUMMYFUNCTION("""COMPUTED_VALUE"""),"Hot Donut")</f>
        <v>Hot Donut</v>
      </c>
      <c r="B383" s="60"/>
      <c r="C383" s="61" t="str">
        <f>IFERROR(__xludf.DUMMYFUNCTION("""COMPUTED_VALUE"""),"Yes")</f>
        <v>Yes</v>
      </c>
      <c r="D383" s="62" t="str">
        <f>IFERROR(__xludf.DUMMYFUNCTION("""COMPUTED_VALUE"""),"Bought Crystals")</f>
        <v>Bought Crystals</v>
      </c>
      <c r="E383" s="61" t="str">
        <f>IFERROR(__xludf.DUMMYFUNCTION("""COMPUTED_VALUE"""),"tdhtdh0")</f>
        <v>tdhtdh0</v>
      </c>
      <c r="F383" s="63">
        <f>IFERROR(__xludf.DUMMYFUNCTION("""COMPUTED_VALUE"""),40922.0)</f>
        <v>40922</v>
      </c>
    </row>
    <row r="384">
      <c r="A384" s="59" t="str">
        <f>IFERROR(__xludf.DUMMYFUNCTION("""COMPUTED_VALUE"""),"Hotel Dash")</f>
        <v>Hotel Dash</v>
      </c>
      <c r="B384" s="60"/>
      <c r="C384" s="61" t="str">
        <f>IFERROR(__xludf.DUMMYFUNCTION("""COMPUTED_VALUE"""),"Yes")</f>
        <v>Yes</v>
      </c>
      <c r="D384" s="62" t="str">
        <f>IFERROR(__xludf.DUMMYFUNCTION("""COMPUTED_VALUE"""),"Buy everything")</f>
        <v>Buy everything</v>
      </c>
      <c r="E384" s="61" t="str">
        <f>IFERROR(__xludf.DUMMYFUNCTION("""COMPUTED_VALUE"""),"Dex")</f>
        <v>Dex</v>
      </c>
      <c r="F384" s="63">
        <f>IFERROR(__xludf.DUMMYFUNCTION("""COMPUTED_VALUE"""),40887.0)</f>
        <v>40887</v>
      </c>
    </row>
    <row r="385">
      <c r="A385" s="59" t="str">
        <f>IFERROR(__xludf.DUMMYFUNCTION("""COMPUTED_VALUE"""),"House of Glass")</f>
        <v>House of Glass</v>
      </c>
      <c r="B385" s="60"/>
      <c r="C385" s="61" t="str">
        <f>IFERROR(__xludf.DUMMYFUNCTION("""COMPUTED_VALUE"""),"Yes")</f>
        <v>Yes</v>
      </c>
      <c r="D385" s="62" t="str">
        <f>IFERROR(__xludf.DUMMYFUNCTION("""COMPUTED_VALUE"""),"Unlock full version")</f>
        <v>Unlock full version</v>
      </c>
      <c r="E385" s="61" t="str">
        <f>IFERROR(__xludf.DUMMYFUNCTION("""COMPUTED_VALUE"""),"Guk")</f>
        <v>Guk</v>
      </c>
      <c r="F385" s="63">
        <f>IFERROR(__xludf.DUMMYFUNCTION("""COMPUTED_VALUE"""),40885.0)</f>
        <v>40885</v>
      </c>
    </row>
    <row r="386">
      <c r="A386" s="59" t="str">
        <f>IFERROR(__xludf.DUMMYFUNCTION("""COMPUTED_VALUE"""),"How to make Origami")</f>
        <v>How to make Origami</v>
      </c>
      <c r="B386" s="60"/>
      <c r="C386" s="61" t="str">
        <f>IFERROR(__xludf.DUMMYFUNCTION("""COMPUTED_VALUE"""),"Yes")</f>
        <v>Yes</v>
      </c>
      <c r="D386" s="62" t="str">
        <f>IFERROR(__xludf.DUMMYFUNCTION("""COMPUTED_VALUE"""),"Ad removal")</f>
        <v>Ad removal</v>
      </c>
      <c r="E386" s="61" t="str">
        <f>IFERROR(__xludf.DUMMYFUNCTION("""COMPUTED_VALUE"""),"azh")</f>
        <v>azh</v>
      </c>
      <c r="F386" s="63">
        <f>IFERROR(__xludf.DUMMYFUNCTION("""COMPUTED_VALUE"""),41178.0)</f>
        <v>41178</v>
      </c>
    </row>
    <row r="387">
      <c r="A387" s="59" t="str">
        <f>IFERROR(__xludf.DUMMYFUNCTION("""COMPUTED_VALUE"""),"Hungry Shark (series)")</f>
        <v>Hungry Shark (series)</v>
      </c>
      <c r="B387" s="60"/>
      <c r="C387" s="61" t="str">
        <f>IFERROR(__xludf.DUMMYFUNCTION("""COMPUTED_VALUE"""),"Yes")</f>
        <v>Yes</v>
      </c>
      <c r="D387" s="62"/>
      <c r="E387" s="61" t="str">
        <f>IFERROR(__xludf.DUMMYFUNCTION("""COMPUTED_VALUE"""),"mytich")</f>
        <v>mytich</v>
      </c>
      <c r="F387" s="63">
        <f>IFERROR(__xludf.DUMMYFUNCTION("""COMPUTED_VALUE"""),40793.7604166667)</f>
        <v>40793.76042</v>
      </c>
    </row>
    <row r="388">
      <c r="A388" s="59" t="str">
        <f>IFERROR(__xludf.DUMMYFUNCTION("""COMPUTED_VALUE"""),"I Am T-Pain")</f>
        <v>I Am T-Pain</v>
      </c>
      <c r="B388" s="60"/>
      <c r="C388" s="61" t="str">
        <f>IFERROR(__xludf.DUMMYFUNCTION("""COMPUTED_VALUE"""),"Yes")</f>
        <v>Yes</v>
      </c>
      <c r="D388" s="62" t="str">
        <f>IFERROR(__xludf.DUMMYFUNCTION("""COMPUTED_VALUE"""),"All works fine, purchase all songs!")</f>
        <v>All works fine, purchase all songs!</v>
      </c>
      <c r="E388" s="61"/>
      <c r="F388" s="41"/>
    </row>
    <row r="389">
      <c r="A389" s="59" t="str">
        <f>IFERROR(__xludf.DUMMYFUNCTION("""COMPUTED_VALUE"""),"iAssociate 2")</f>
        <v>iAssociate 2</v>
      </c>
      <c r="B389" s="60"/>
      <c r="C389" s="61" t="str">
        <f>IFERROR(__xludf.DUMMYFUNCTION("""COMPUTED_VALUE"""),"Yes")</f>
        <v>Yes</v>
      </c>
      <c r="D389" s="62"/>
      <c r="E389" s="61"/>
      <c r="F389" s="63">
        <f>IFERROR(__xludf.DUMMYFUNCTION("""COMPUTED_VALUE"""),40890.0)</f>
        <v>40890</v>
      </c>
    </row>
    <row r="390">
      <c r="A390" s="59" t="str">
        <f>IFERROR(__xludf.DUMMYFUNCTION("""COMPUTED_VALUE"""),"iBeer")</f>
        <v>iBeer</v>
      </c>
      <c r="B390" s="60"/>
      <c r="C390" s="61" t="str">
        <f>IFERROR(__xludf.DUMMYFUNCTION("""COMPUTED_VALUE"""),"Yes")</f>
        <v>Yes</v>
      </c>
      <c r="D390" s="62"/>
      <c r="E390" s="61" t="str">
        <f>IFERROR(__xludf.DUMMYFUNCTION("""COMPUTED_VALUE"""),"Dizzy")</f>
        <v>Dizzy</v>
      </c>
      <c r="F390" s="63">
        <f>IFERROR(__xludf.DUMMYFUNCTION("""COMPUTED_VALUE"""),40913.0)</f>
        <v>40913</v>
      </c>
    </row>
    <row r="391">
      <c r="A391" s="59" t="str">
        <f>IFERROR(__xludf.DUMMYFUNCTION("""COMPUTED_VALUE"""),"iCarCheck")</f>
        <v>iCarCheck</v>
      </c>
      <c r="B391" s="60"/>
      <c r="C391" s="61" t="str">
        <f>IFERROR(__xludf.DUMMYFUNCTION("""COMPUTED_VALUE"""),"Yes")</f>
        <v>Yes</v>
      </c>
      <c r="D391" s="62"/>
      <c r="E391" s="61" t="str">
        <f>IFERROR(__xludf.DUMMYFUNCTION("""COMPUTED_VALUE"""),"Dansco")</f>
        <v>Dansco</v>
      </c>
      <c r="F391" s="63">
        <f>IFERROR(__xludf.DUMMYFUNCTION("""COMPUTED_VALUE"""),40793.9138888889)</f>
        <v>40793.91389</v>
      </c>
    </row>
    <row r="392">
      <c r="A392" s="59" t="str">
        <f>IFERROR(__xludf.DUMMYFUNCTION("""COMPUTED_VALUE"""),"Ice Rage")</f>
        <v>Ice Rage</v>
      </c>
      <c r="B392" s="60"/>
      <c r="C392" s="61" t="str">
        <f>IFERROR(__xludf.DUMMYFUNCTION("""COMPUTED_VALUE"""),"Yes")</f>
        <v>Yes</v>
      </c>
      <c r="D392" s="62"/>
      <c r="E392" s="61" t="str">
        <f>IFERROR(__xludf.DUMMYFUNCTION("""COMPUTED_VALUE"""),"DST")</f>
        <v>DST</v>
      </c>
      <c r="F392" s="41"/>
    </row>
    <row r="393">
      <c r="A393" s="59" t="str">
        <f>IFERROR(__xludf.DUMMYFUNCTION("""COMPUTED_VALUE"""),"iCookbook")</f>
        <v>iCookbook</v>
      </c>
      <c r="B393" s="60"/>
      <c r="C393" s="61" t="str">
        <f>IFERROR(__xludf.DUMMYFUNCTION("""COMPUTED_VALUE"""),"Yes")</f>
        <v>Yes</v>
      </c>
      <c r="D393" s="62"/>
      <c r="E393" s="61" t="str">
        <f>IFERROR(__xludf.DUMMYFUNCTION("""COMPUTED_VALUE"""),"Guk")</f>
        <v>Guk</v>
      </c>
      <c r="F393" s="63">
        <f>IFERROR(__xludf.DUMMYFUNCTION("""COMPUTED_VALUE"""),40889.0)</f>
        <v>40889</v>
      </c>
    </row>
    <row r="394">
      <c r="A394" s="59" t="str">
        <f>IFERROR(__xludf.DUMMYFUNCTION("""COMPUTED_VALUE"""),"iDestroy")</f>
        <v>iDestroy</v>
      </c>
      <c r="B394" s="60"/>
      <c r="C394" s="61" t="str">
        <f>IFERROR(__xludf.DUMMYFUNCTION("""COMPUTED_VALUE"""),"Yes")</f>
        <v>Yes</v>
      </c>
      <c r="D394" s="62"/>
      <c r="E394" s="61" t="str">
        <f>IFERROR(__xludf.DUMMYFUNCTION("""COMPUTED_VALUE"""),"mytich")</f>
        <v>mytich</v>
      </c>
      <c r="F394" s="63">
        <f>IFERROR(__xludf.DUMMYFUNCTION("""COMPUTED_VALUE"""),40793.7604166667)</f>
        <v>40793.76042</v>
      </c>
    </row>
    <row r="395">
      <c r="A395" s="59" t="str">
        <f>IFERROR(__xludf.DUMMYFUNCTION("""COMPUTED_VALUE"""),"iFighter 1945")</f>
        <v>iFighter 1945</v>
      </c>
      <c r="B395" s="60">
        <f>IFERROR(__xludf.DUMMYFUNCTION("""COMPUTED_VALUE"""),1.9)</f>
        <v>1.9</v>
      </c>
      <c r="C395" s="61" t="str">
        <f>IFERROR(__xludf.DUMMYFUNCTION("""COMPUTED_VALUE"""),"Yes")</f>
        <v>Yes</v>
      </c>
      <c r="D395" s="62" t="str">
        <f>IFERROR(__xludf.DUMMYFUNCTION("""COMPUTED_VALUE"""),"You can purchase additional fighter")</f>
        <v>You can purchase additional fighter</v>
      </c>
      <c r="E395" s="61" t="str">
        <f>IFERROR(__xludf.DUMMYFUNCTION("""COMPUTED_VALUE"""),"Prometeo17")</f>
        <v>Prometeo17</v>
      </c>
      <c r="F395" s="63">
        <f>IFERROR(__xludf.DUMMYFUNCTION("""COMPUTED_VALUE"""),40959.0)</f>
        <v>40959</v>
      </c>
    </row>
    <row r="396">
      <c r="A396" s="59" t="str">
        <f>IFERROR(__xludf.DUMMYFUNCTION("""COMPUTED_VALUE"""),"iGo North America")</f>
        <v>iGo North America</v>
      </c>
      <c r="B396" s="60"/>
      <c r="C396" s="61" t="str">
        <f>IFERROR(__xludf.DUMMYFUNCTION("""COMPUTED_VALUE"""),"Yes")</f>
        <v>Yes</v>
      </c>
      <c r="D396" s="62" t="str">
        <f>IFERROR(__xludf.DUMMYFUNCTION("""COMPUTED_VALUE"""),"Free")</f>
        <v>Free</v>
      </c>
      <c r="E396" s="61" t="str">
        <f>IFERROR(__xludf.DUMMYFUNCTION("""COMPUTED_VALUE"""),"Free")</f>
        <v>Free</v>
      </c>
      <c r="F396" s="41"/>
    </row>
    <row r="397">
      <c r="A397" s="59" t="str">
        <f>IFERROR(__xludf.DUMMYFUNCTION("""COMPUTED_VALUE"""),"iGOG Drums")</f>
        <v>iGOG Drums</v>
      </c>
      <c r="B397" s="60"/>
      <c r="C397" s="61" t="str">
        <f>IFERROR(__xludf.DUMMYFUNCTION("""COMPUTED_VALUE"""),"Yes")</f>
        <v>Yes</v>
      </c>
      <c r="D397" s="62" t="str">
        <f>IFERROR(__xludf.DUMMYFUNCTION("""COMPUTED_VALUE"""),"Buy any drum kit")</f>
        <v>Buy any drum kit</v>
      </c>
      <c r="E397" s="61" t="str">
        <f>IFERROR(__xludf.DUMMYFUNCTION("""COMPUTED_VALUE"""),"MegaHack")</f>
        <v>MegaHack</v>
      </c>
      <c r="F397" s="63">
        <f>IFERROR(__xludf.DUMMYFUNCTION("""COMPUTED_VALUE"""),40877.0)</f>
        <v>40877</v>
      </c>
    </row>
    <row r="398">
      <c r="A398" s="59" t="str">
        <f>IFERROR(__xludf.DUMMYFUNCTION("""COMPUTED_VALUE"""),"iGun Zombie")</f>
        <v>iGun Zombie</v>
      </c>
      <c r="B398" s="60"/>
      <c r="C398" s="61" t="str">
        <f>IFERROR(__xludf.DUMMYFUNCTION("""COMPUTED_VALUE"""),"Yes")</f>
        <v>Yes</v>
      </c>
      <c r="D398" s="62" t="str">
        <f>IFERROR(__xludf.DUMMYFUNCTION("""COMPUTED_VALUE"""),"Purchase everything")</f>
        <v>Purchase everything</v>
      </c>
      <c r="E398" s="61" t="str">
        <f>IFERROR(__xludf.DUMMYFUNCTION("""COMPUTED_VALUE"""),"luudaigiang")</f>
        <v>luudaigiang</v>
      </c>
      <c r="F398" s="63">
        <f>IFERROR(__xludf.DUMMYFUNCTION("""COMPUTED_VALUE"""),40922.0)</f>
        <v>40922</v>
      </c>
    </row>
    <row r="399">
      <c r="A399" s="59" t="str">
        <f>IFERROR(__xludf.DUMMYFUNCTION("""COMPUTED_VALUE"""),"iKamasutra (series)")</f>
        <v>iKamasutra (series)</v>
      </c>
      <c r="B399" s="60"/>
      <c r="C399" s="61" t="str">
        <f>IFERROR(__xludf.DUMMYFUNCTION("""COMPUTED_VALUE"""),"Yes")</f>
        <v>Yes</v>
      </c>
      <c r="D399" s="62" t="str">
        <f>IFERROR(__xludf.DUMMYFUNCTION("""COMPUTED_VALUE"""),"All positions and challenges unlocked")</f>
        <v>All positions and challenges unlocked</v>
      </c>
      <c r="E399" s="61" t="str">
        <f>IFERROR(__xludf.DUMMYFUNCTION("""COMPUTED_VALUE"""),"ThePreserver")</f>
        <v>ThePreserver</v>
      </c>
      <c r="F399" s="63">
        <f>IFERROR(__xludf.DUMMYFUNCTION("""COMPUTED_VALUE"""),40890.0)</f>
        <v>40890</v>
      </c>
    </row>
    <row r="400">
      <c r="A400" s="59" t="str">
        <f>IFERROR(__xludf.DUMMYFUNCTION("""COMPUTED_VALUE"""),"iKungFu Master")</f>
        <v>iKungFu Master</v>
      </c>
      <c r="B400" s="60">
        <f>IFERROR(__xludf.DUMMYFUNCTION("""COMPUTED_VALUE"""),1.8)</f>
        <v>1.8</v>
      </c>
      <c r="C400" s="61" t="str">
        <f>IFERROR(__xludf.DUMMYFUNCTION("""COMPUTED_VALUE"""),"Yes")</f>
        <v>Yes</v>
      </c>
      <c r="D400" s="62" t="str">
        <f>IFERROR(__xludf.DUMMYFUNCTION("""COMPUTED_VALUE"""),"Get 40k exp")</f>
        <v>Get 40k exp</v>
      </c>
      <c r="E400" s="61" t="str">
        <f>IFERROR(__xludf.DUMMYFUNCTION("""COMPUTED_VALUE"""),"luudaigiang")</f>
        <v>luudaigiang</v>
      </c>
      <c r="F400" s="63">
        <f>IFERROR(__xludf.DUMMYFUNCTION("""COMPUTED_VALUE"""),40961.0)</f>
        <v>40961</v>
      </c>
    </row>
    <row r="401">
      <c r="A401" s="59" t="str">
        <f>IFERROR(__xludf.DUMMYFUNCTION("""COMPUTED_VALUE"""),"Illusia")</f>
        <v>Illusia</v>
      </c>
      <c r="B401" s="60" t="str">
        <f>IFERROR(__xludf.DUMMYFUNCTION("""COMPUTED_VALUE"""),"1.4.1")</f>
        <v>1.4.1</v>
      </c>
      <c r="C401" s="61" t="str">
        <f>IFERROR(__xludf.DUMMYFUNCTION("""COMPUTED_VALUE"""),"Yes")</f>
        <v>Yes</v>
      </c>
      <c r="D401" s="62" t="str">
        <f>IFERROR(__xludf.DUMMYFUNCTION("""COMPUTED_VALUE"""),"Can buy items from store (revive packs, clothing sets, ...) ")</f>
        <v>Can buy items from store (revive packs, clothing sets, ...) </v>
      </c>
      <c r="E401" s="61" t="str">
        <f>IFERROR(__xludf.DUMMYFUNCTION("""COMPUTED_VALUE"""),"Zcyphvr")</f>
        <v>Zcyphvr</v>
      </c>
      <c r="F401" s="63">
        <f>IFERROR(__xludf.DUMMYFUNCTION("""COMPUTED_VALUE"""),40962.0)</f>
        <v>40962</v>
      </c>
    </row>
    <row r="402">
      <c r="A402" s="59" t="str">
        <f>IFERROR(__xludf.DUMMYFUNCTION("""COMPUTED_VALUE"""),"Illusia")</f>
        <v>Illusia</v>
      </c>
      <c r="B402" s="60"/>
      <c r="C402" s="61" t="str">
        <f>IFERROR(__xludf.DUMMYFUNCTION("""COMPUTED_VALUE"""),"Yes")</f>
        <v>Yes</v>
      </c>
      <c r="D402" s="62" t="str">
        <f>IFERROR(__xludf.DUMMYFUNCTION("""COMPUTED_VALUE"""),"Purchase perfectly all paid items from the booth! ( can buy level 200 armor packs then expand them and sell them again.. repeat for infinite money :D)")</f>
        <v>Purchase perfectly all paid items from the booth! ( can buy level 200 armor packs then expand them and sell them again.. repeat for infinite money :D)</v>
      </c>
      <c r="E402" s="61" t="str">
        <f>IFERROR(__xludf.DUMMYFUNCTION("""COMPUTED_VALUE"""),"Spirit2")</f>
        <v>Spirit2</v>
      </c>
      <c r="F402" s="63">
        <f>IFERROR(__xludf.DUMMYFUNCTION("""COMPUTED_VALUE"""),41005.0)</f>
        <v>41005</v>
      </c>
    </row>
    <row r="403">
      <c r="A403" s="59" t="str">
        <f>IFERROR(__xludf.DUMMYFUNCTION("""COMPUTED_VALUE"""),"iMailG")</f>
        <v>iMailG</v>
      </c>
      <c r="B403" s="60"/>
      <c r="C403" s="61" t="str">
        <f>IFERROR(__xludf.DUMMYFUNCTION("""COMPUTED_VALUE"""),"Yes")</f>
        <v>Yes</v>
      </c>
      <c r="D403" s="62" t="str">
        <f>IFERROR(__xludf.DUMMYFUNCTION("""COMPUTED_VALUE"""),"Push notifications use server check and will not work")</f>
        <v>Push notifications use server check and will not work</v>
      </c>
      <c r="E403" s="61" t="str">
        <f>IFERROR(__xludf.DUMMYFUNCTION("""COMPUTED_VALUE"""),"Persephone")</f>
        <v>Persephone</v>
      </c>
      <c r="F403" s="41"/>
    </row>
    <row r="404">
      <c r="A404" s="59" t="str">
        <f>IFERROR(__xludf.DUMMYFUNCTION("""COMPUTED_VALUE"""),"IMDB Triva")</f>
        <v>IMDB Triva</v>
      </c>
      <c r="B404" s="60"/>
      <c r="C404" s="61" t="str">
        <f>IFERROR(__xludf.DUMMYFUNCTION("""COMPUTED_VALUE"""),"Yes")</f>
        <v>Yes</v>
      </c>
      <c r="D404" s="62" t="str">
        <f>IFERROR(__xludf.DUMMYFUNCTION("""COMPUTED_VALUE"""),"Able to purchase new packs")</f>
        <v>Able to purchase new packs</v>
      </c>
      <c r="E404" s="61" t="str">
        <f>IFERROR(__xludf.DUMMYFUNCTION("""COMPUTED_VALUE"""),"anon")</f>
        <v>anon</v>
      </c>
      <c r="F404" s="63">
        <f>IFERROR(__xludf.DUMMYFUNCTION("""COMPUTED_VALUE"""),40906.0)</f>
        <v>40906</v>
      </c>
    </row>
    <row r="405">
      <c r="A405" s="59" t="str">
        <f>IFERROR(__xludf.DUMMYFUNCTION("""COMPUTED_VALUE"""),"IMDB Trivia")</f>
        <v>IMDB Trivia</v>
      </c>
      <c r="B405" s="60"/>
      <c r="C405" s="61" t="str">
        <f>IFERROR(__xludf.DUMMYFUNCTION("""COMPUTED_VALUE"""),"Yes")</f>
        <v>Yes</v>
      </c>
      <c r="D405" s="62" t="str">
        <f>IFERROR(__xludf.DUMMYFUNCTION("""COMPUTED_VALUE"""),"Unlock all trivia quizes")</f>
        <v>Unlock all trivia quizes</v>
      </c>
      <c r="E405" s="61" t="str">
        <f>IFERROR(__xludf.DUMMYFUNCTION("""COMPUTED_VALUE"""),"dr3van")</f>
        <v>dr3van</v>
      </c>
      <c r="F405" s="63">
        <f>IFERROR(__xludf.DUMMYFUNCTION("""COMPUTED_VALUE"""),41103.0)</f>
        <v>41103</v>
      </c>
    </row>
    <row r="406">
      <c r="A406" s="59" t="str">
        <f>IFERROR(__xludf.DUMMYFUNCTION("""COMPUTED_VALUE"""),"iMissal")</f>
        <v>iMissal</v>
      </c>
      <c r="B406" s="60"/>
      <c r="C406" s="61" t="str">
        <f>IFERROR(__xludf.DUMMYFUNCTION("""COMPUTED_VALUE"""),"Yes")</f>
        <v>Yes</v>
      </c>
      <c r="D406" s="62" t="str">
        <f>IFERROR(__xludf.DUMMYFUNCTION("""COMPUTED_VALUE"""),"v2.2 works")</f>
        <v>v2.2 works</v>
      </c>
      <c r="E406" s="61" t="str">
        <f>IFERROR(__xludf.DUMMYFUNCTION("""COMPUTED_VALUE"""),"Guk")</f>
        <v>Guk</v>
      </c>
      <c r="F406" s="63">
        <f>IFERROR(__xludf.DUMMYFUNCTION("""COMPUTED_VALUE"""),40885.0)</f>
        <v>40885</v>
      </c>
    </row>
    <row r="407">
      <c r="A407" s="59" t="str">
        <f>IFERROR(__xludf.DUMMYFUNCTION("""COMPUTED_VALUE"""),"Incredibooth")</f>
        <v>Incredibooth</v>
      </c>
      <c r="B407" s="60"/>
      <c r="C407" s="61" t="str">
        <f>IFERROR(__xludf.DUMMYFUNCTION("""COMPUTED_VALUE"""),"Yes")</f>
        <v>Yes</v>
      </c>
      <c r="D407" s="62" t="str">
        <f>IFERROR(__xludf.DUMMYFUNCTION("""COMPUTED_VALUE"""),"All purchases")</f>
        <v>All purchases</v>
      </c>
      <c r="E407" s="61" t="str">
        <f>IFERROR(__xludf.DUMMYFUNCTION("""COMPUTED_VALUE"""),"Jaaaaaaaaaam")</f>
        <v>Jaaaaaaaaaam</v>
      </c>
      <c r="F407" s="63">
        <f>IFERROR(__xludf.DUMMYFUNCTION("""COMPUTED_VALUE"""),40887.0)</f>
        <v>40887</v>
      </c>
    </row>
    <row r="408">
      <c r="A408" s="59" t="str">
        <f>IFERROR(__xludf.DUMMYFUNCTION("""COMPUTED_VALUE"""),"iNet")</f>
        <v>iNet</v>
      </c>
      <c r="B408" s="60"/>
      <c r="C408" s="61" t="str">
        <f>IFERROR(__xludf.DUMMYFUNCTION("""COMPUTED_VALUE"""),"Yes")</f>
        <v>Yes</v>
      </c>
      <c r="D408" s="62"/>
      <c r="E408" s="61" t="str">
        <f>IFERROR(__xludf.DUMMYFUNCTION("""COMPUTED_VALUE"""),"Dansco")</f>
        <v>Dansco</v>
      </c>
      <c r="F408" s="63">
        <f>IFERROR(__xludf.DUMMYFUNCTION("""COMPUTED_VALUE"""),40793.9138888889)</f>
        <v>40793.91389</v>
      </c>
    </row>
    <row r="409">
      <c r="A409" s="59" t="str">
        <f>IFERROR(__xludf.DUMMYFUNCTION("""COMPUTED_VALUE"""),"Infinity Blade")</f>
        <v>Infinity Blade</v>
      </c>
      <c r="B409" s="60"/>
      <c r="C409" s="61" t="str">
        <f>IFERROR(__xludf.DUMMYFUNCTION("""COMPUTED_VALUE"""),"Yes")</f>
        <v>Yes</v>
      </c>
      <c r="D409" s="62" t="str">
        <f>IFERROR(__xludf.DUMMYFUNCTION("""COMPUTED_VALUE"""),"Reported working.")</f>
        <v>Reported working.</v>
      </c>
      <c r="E409" s="61" t="str">
        <f>IFERROR(__xludf.DUMMYFUNCTION("""COMPUTED_VALUE"""),"Z1nC, userinit69")</f>
        <v>Z1nC, userinit69</v>
      </c>
      <c r="F409" s="63">
        <f>IFERROR(__xludf.DUMMYFUNCTION("""COMPUTED_VALUE"""),40901.0)</f>
        <v>40901</v>
      </c>
    </row>
    <row r="410">
      <c r="A410" s="59" t="str">
        <f>IFERROR(__xludf.DUMMYFUNCTION("""COMPUTED_VALUE"""),"Infinity Quest")</f>
        <v>Infinity Quest</v>
      </c>
      <c r="B410" s="60"/>
      <c r="C410" s="61" t="str">
        <f>IFERROR(__xludf.DUMMYFUNCTION("""COMPUTED_VALUE"""),"Yes")</f>
        <v>Yes</v>
      </c>
      <c r="D410" s="62" t="str">
        <f>IFERROR(__xludf.DUMMYFUNCTION("""COMPUTED_VALUE"""),"Buy coins and diamonds")</f>
        <v>Buy coins and diamonds</v>
      </c>
      <c r="E410" s="61"/>
      <c r="F410" s="63">
        <f>IFERROR(__xludf.DUMMYFUNCTION("""COMPUTED_VALUE"""),40913.0)</f>
        <v>40913</v>
      </c>
    </row>
    <row r="411">
      <c r="A411" s="59" t="str">
        <f>IFERROR(__xludf.DUMMYFUNCTION("""COMPUTED_VALUE"""),"Insect Puzzle HD")</f>
        <v>Insect Puzzle HD</v>
      </c>
      <c r="B411" s="60"/>
      <c r="C411" s="61" t="str">
        <f>IFERROR(__xludf.DUMMYFUNCTION("""COMPUTED_VALUE"""),"Yes")</f>
        <v>Yes</v>
      </c>
      <c r="D411" s="62" t="str">
        <f>IFERROR(__xludf.DUMMYFUNCTION("""COMPUTED_VALUE"""),"unlock all the rest 25 insects pack")</f>
        <v>unlock all the rest 25 insects pack</v>
      </c>
      <c r="E411" s="61" t="str">
        <f>IFERROR(__xludf.DUMMYFUNCTION("""COMPUTED_VALUE"""),"Vista2k7")</f>
        <v>Vista2k7</v>
      </c>
      <c r="F411" s="63">
        <f>IFERROR(__xludf.DUMMYFUNCTION("""COMPUTED_VALUE"""),40926.0)</f>
        <v>40926</v>
      </c>
    </row>
    <row r="412">
      <c r="A412" s="59" t="str">
        <f>IFERROR(__xludf.DUMMYFUNCTION("""COMPUTED_VALUE"""),"Inspector Gadget")</f>
        <v>Inspector Gadget</v>
      </c>
      <c r="B412" s="60"/>
      <c r="C412" s="61" t="str">
        <f>IFERROR(__xludf.DUMMYFUNCTION("""COMPUTED_VALUE"""),"Yes")</f>
        <v>Yes</v>
      </c>
      <c r="D412" s="62" t="str">
        <f>IFERROR(__xludf.DUMMYFUNCTION("""COMPUTED_VALUE"""),"Able to buy anything")</f>
        <v>Able to buy anything</v>
      </c>
      <c r="E412" s="61" t="str">
        <f>IFERROR(__xludf.DUMMYFUNCTION("""COMPUTED_VALUE"""),"PiMPsTaZ")</f>
        <v>PiMPsTaZ</v>
      </c>
      <c r="F412" s="63">
        <f>IFERROR(__xludf.DUMMYFUNCTION("""COMPUTED_VALUE"""),40937.0)</f>
        <v>40937</v>
      </c>
    </row>
    <row r="413">
      <c r="A413" s="59" t="str">
        <f>IFERROR(__xludf.DUMMYFUNCTION("""COMPUTED_VALUE"""),"Instant110")</f>
        <v>Instant110</v>
      </c>
      <c r="B413" s="60"/>
      <c r="C413" s="61" t="str">
        <f>IFERROR(__xludf.DUMMYFUNCTION("""COMPUTED_VALUE"""),"Yes")</f>
        <v>Yes</v>
      </c>
      <c r="D413" s="62" t="str">
        <f>IFERROR(__xludf.DUMMYFUNCTION("""COMPUTED_VALUE"""),"Works perfectly for all purchases.")</f>
        <v>Works perfectly for all purchases.</v>
      </c>
      <c r="E413" s="61" t="str">
        <f>IFERROR(__xludf.DUMMYFUNCTION("""COMPUTED_VALUE"""),"Satellizer29")</f>
        <v>Satellizer29</v>
      </c>
      <c r="F413" s="63">
        <f>IFERROR(__xludf.DUMMYFUNCTION("""COMPUTED_VALUE"""),40949.0)</f>
        <v>40949</v>
      </c>
    </row>
    <row r="414">
      <c r="A414" s="59" t="str">
        <f>IFERROR(__xludf.DUMMYFUNCTION("""COMPUTED_VALUE"""),"Intellivision")</f>
        <v>Intellivision</v>
      </c>
      <c r="B414" s="60"/>
      <c r="C414" s="61" t="str">
        <f>IFERROR(__xludf.DUMMYFUNCTION("""COMPUTED_VALUE"""),"Yes")</f>
        <v>Yes</v>
      </c>
      <c r="D414" s="62" t="str">
        <f>IFERROR(__xludf.DUMMYFUNCTION("""COMPUTED_VALUE"""),"All Purchases Work")</f>
        <v>All Purchases Work</v>
      </c>
      <c r="E414" s="61" t="str">
        <f>IFERROR(__xludf.DUMMYFUNCTION("""COMPUTED_VALUE"""),"FalconUruguay")</f>
        <v>FalconUruguay</v>
      </c>
      <c r="F414" s="41" t="str">
        <f>IFERROR(__xludf.DUMMYFUNCTION("""COMPUTED_VALUE"""),"18-06-2012")</f>
        <v>18-06-2012</v>
      </c>
    </row>
    <row r="415">
      <c r="A415" s="59" t="str">
        <f>IFERROR(__xludf.DUMMYFUNCTION("""COMPUTED_VALUE"""),"Ipanema Girls")</f>
        <v>Ipanema Girls</v>
      </c>
      <c r="B415" s="60"/>
      <c r="C415" s="61" t="str">
        <f>IFERROR(__xludf.DUMMYFUNCTION("""COMPUTED_VALUE"""),"Yes")</f>
        <v>Yes</v>
      </c>
      <c r="D415" s="62" t="str">
        <f>IFERROR(__xludf.DUMMYFUNCTION("""COMPUTED_VALUE"""),"Work all purchases")</f>
        <v>Work all purchases</v>
      </c>
      <c r="E415" s="61" t="str">
        <f>IFERROR(__xludf.DUMMYFUNCTION("""COMPUTED_VALUE"""),"luudaigiang")</f>
        <v>luudaigiang</v>
      </c>
      <c r="F415" s="63">
        <f>IFERROR(__xludf.DUMMYFUNCTION("""COMPUTED_VALUE"""),40919.0)</f>
        <v>40919</v>
      </c>
    </row>
    <row r="416">
      <c r="A416" s="59" t="str">
        <f>IFERROR(__xludf.DUMMYFUNCTION("""COMPUTED_VALUE"""),"IPMap")</f>
        <v>IPMap</v>
      </c>
      <c r="B416" s="60"/>
      <c r="C416" s="61" t="str">
        <f>IFERROR(__xludf.DUMMYFUNCTION("""COMPUTED_VALUE"""),"Yes")</f>
        <v>Yes</v>
      </c>
      <c r="D416" s="62" t="str">
        <f>IFERROR(__xludf.DUMMYFUNCTION("""COMPUTED_VALUE"""),"Free → Full")</f>
        <v>Free → Full</v>
      </c>
      <c r="E416" s="61" t="str">
        <f>IFERROR(__xludf.DUMMYFUNCTION("""COMPUTED_VALUE"""),"Dansco")</f>
        <v>Dansco</v>
      </c>
      <c r="F416" s="63">
        <f>IFERROR(__xludf.DUMMYFUNCTION("""COMPUTED_VALUE"""),40793.9138888889)</f>
        <v>40793.91389</v>
      </c>
    </row>
    <row r="417">
      <c r="A417" s="59" t="str">
        <f>IFERROR(__xludf.DUMMYFUNCTION("""COMPUTED_VALUE"""),"iRedmine")</f>
        <v>iRedmine</v>
      </c>
      <c r="B417" s="60"/>
      <c r="C417" s="61" t="str">
        <f>IFERROR(__xludf.DUMMYFUNCTION("""COMPUTED_VALUE"""),"Yes")</f>
        <v>Yes</v>
      </c>
      <c r="D417" s="62" t="str">
        <f>IFERROR(__xludf.DUMMYFUNCTION("""COMPUTED_VALUE"""),"Both the ""Remove Ads"" and the ""iRedmine Pro"" unlock iAP work.")</f>
        <v>Both the "Remove Ads" and the "iRedmine Pro" unlock iAP work.</v>
      </c>
      <c r="E417" s="61" t="str">
        <f>IFERROR(__xludf.DUMMYFUNCTION("""COMPUTED_VALUE"""),"rctgamer3")</f>
        <v>rctgamer3</v>
      </c>
      <c r="F417" s="63">
        <f>IFERROR(__xludf.DUMMYFUNCTION("""COMPUTED_VALUE"""),40876.0)</f>
        <v>40876</v>
      </c>
    </row>
    <row r="418">
      <c r="A418" s="59" t="str">
        <f>IFERROR(__xludf.DUMMYFUNCTION("""COMPUTED_VALUE"""),"iScrobbler Pick and Mix")</f>
        <v>iScrobbler Pick and Mix</v>
      </c>
      <c r="B418" s="60"/>
      <c r="C418" s="61" t="str">
        <f>IFERROR(__xludf.DUMMYFUNCTION("""COMPUTED_VALUE"""),"Yes")</f>
        <v>Yes</v>
      </c>
      <c r="D418" s="62"/>
      <c r="E418" s="61" t="str">
        <f>IFERROR(__xludf.DUMMYFUNCTION("""COMPUTED_VALUE"""),"farhanito")</f>
        <v>farhanito</v>
      </c>
      <c r="F418" s="63">
        <f>IFERROR(__xludf.DUMMYFUNCTION("""COMPUTED_VALUE"""),40793.8013888889)</f>
        <v>40793.80139</v>
      </c>
    </row>
    <row r="419">
      <c r="A419" s="59" t="str">
        <f>IFERROR(__xludf.DUMMYFUNCTION("""COMPUTED_VALUE"""),"Islands Magazine")</f>
        <v>Islands Magazine</v>
      </c>
      <c r="B419" s="60"/>
      <c r="C419" s="61" t="str">
        <f>IFERROR(__xludf.DUMMYFUNCTION("""COMPUTED_VALUE"""),"Yes")</f>
        <v>Yes</v>
      </c>
      <c r="D419" s="62" t="str">
        <f>IFERROR(__xludf.DUMMYFUNCTION("""COMPUTED_VALUE"""),"Can purchase issues")</f>
        <v>Can purchase issues</v>
      </c>
      <c r="E419" s="61" t="str">
        <f>IFERROR(__xludf.DUMMYFUNCTION("""COMPUTED_VALUE"""),"chowlala")</f>
        <v>chowlala</v>
      </c>
      <c r="F419" s="63">
        <f>IFERROR(__xludf.DUMMYFUNCTION("""COMPUTED_VALUE"""),40946.0)</f>
        <v>40946</v>
      </c>
    </row>
    <row r="420">
      <c r="A420" s="59" t="str">
        <f>IFERROR(__xludf.DUMMYFUNCTION("""COMPUTED_VALUE"""),"iStunt 2")</f>
        <v>iStunt 2</v>
      </c>
      <c r="B420" s="60"/>
      <c r="C420" s="61" t="str">
        <f>IFERROR(__xludf.DUMMYFUNCTION("""COMPUTED_VALUE"""),"Yes")</f>
        <v>Yes</v>
      </c>
      <c r="D420" s="62" t="str">
        <f>IFERROR(__xludf.DUMMYFUNCTION("""COMPUTED_VALUE"""),"All perfect !")</f>
        <v>All perfect !</v>
      </c>
      <c r="E420" s="61" t="str">
        <f>IFERROR(__xludf.DUMMYFUNCTION("""COMPUTED_VALUE"""),"Nikos")</f>
        <v>Nikos</v>
      </c>
      <c r="F420" s="63">
        <f>IFERROR(__xludf.DUMMYFUNCTION("""COMPUTED_VALUE"""),40903.0)</f>
        <v>40903</v>
      </c>
    </row>
    <row r="421">
      <c r="A421" s="59" t="str">
        <f>IFERROR(__xludf.DUMMYFUNCTION("""COMPUTED_VALUE"""),"iSupr8")</f>
        <v>iSupr8</v>
      </c>
      <c r="B421" s="60"/>
      <c r="C421" s="61" t="str">
        <f>IFERROR(__xludf.DUMMYFUNCTION("""COMPUTED_VALUE"""),"Yes")</f>
        <v>Yes</v>
      </c>
      <c r="D421" s="62"/>
      <c r="E421" s="61" t="str">
        <f>IFERROR(__xludf.DUMMYFUNCTION("""COMPUTED_VALUE"""),"Guk")</f>
        <v>Guk</v>
      </c>
      <c r="F421" s="63">
        <f>IFERROR(__xludf.DUMMYFUNCTION("""COMPUTED_VALUE"""),40885.0)</f>
        <v>40885</v>
      </c>
    </row>
    <row r="422">
      <c r="A422" s="59" t="str">
        <f>IFERROR(__xludf.DUMMYFUNCTION("""COMPUTED_VALUE"""),"iTap")</f>
        <v>iTap</v>
      </c>
      <c r="B422" s="60"/>
      <c r="C422" s="61" t="str">
        <f>IFERROR(__xludf.DUMMYFUNCTION("""COMPUTED_VALUE"""),"Yes")</f>
        <v>Yes</v>
      </c>
      <c r="D422" s="62" t="str">
        <f>IFERROR(__xludf.DUMMYFUNCTION("""COMPUTED_VALUE"""),"Unlock all extensions with no login")</f>
        <v>Unlock all extensions with no login</v>
      </c>
      <c r="E422" s="61" t="str">
        <f>IFERROR(__xludf.DUMMYFUNCTION("""COMPUTED_VALUE"""),"ISOHaven")</f>
        <v>ISOHaven</v>
      </c>
      <c r="F422" s="63">
        <f>IFERROR(__xludf.DUMMYFUNCTION("""COMPUTED_VALUE"""),40884.0)</f>
        <v>40884</v>
      </c>
    </row>
    <row r="423">
      <c r="A423" s="59" t="str">
        <f>IFERROR(__xludf.DUMMYFUNCTION("""COMPUTED_VALUE"""),"iXpenseit")</f>
        <v>iXpenseit</v>
      </c>
      <c r="B423" s="60"/>
      <c r="C423" s="61" t="str">
        <f>IFERROR(__xludf.DUMMYFUNCTION("""COMPUTED_VALUE"""),"Yes")</f>
        <v>Yes</v>
      </c>
      <c r="D423" s="62" t="str">
        <f>IFERROR(__xludf.DUMMYFUNCTION("""COMPUTED_VALUE"""),"PDF Templates")</f>
        <v>PDF Templates</v>
      </c>
      <c r="E423" s="61" t="str">
        <f>IFERROR(__xludf.DUMMYFUNCTION("""COMPUTED_VALUE"""),"Hiran")</f>
        <v>Hiran</v>
      </c>
      <c r="F423" s="63">
        <f>IFERROR(__xludf.DUMMYFUNCTION("""COMPUTED_VALUE"""),40903.0)</f>
        <v>40903</v>
      </c>
    </row>
    <row r="424">
      <c r="A424" s="59" t="str">
        <f>IFERROR(__xludf.DUMMYFUNCTION("""COMPUTED_VALUE"""),"Jack of All Tribes")</f>
        <v>Jack of All Tribes</v>
      </c>
      <c r="B424" s="60"/>
      <c r="C424" s="61" t="str">
        <f>IFERROR(__xludf.DUMMYFUNCTION("""COMPUTED_VALUE"""),"Yes")</f>
        <v>Yes</v>
      </c>
      <c r="D424" s="62" t="str">
        <f>IFERROR(__xludf.DUMMYFUNCTION("""COMPUTED_VALUE"""),"Free → Full")</f>
        <v>Free → Full</v>
      </c>
      <c r="E424" s="61" t="str">
        <f>IFERROR(__xludf.DUMMYFUNCTION("""COMPUTED_VALUE"""),"phatpham")</f>
        <v>phatpham</v>
      </c>
      <c r="F424" s="63">
        <f>IFERROR(__xludf.DUMMYFUNCTION("""COMPUTED_VALUE"""),40901.0)</f>
        <v>40901</v>
      </c>
    </row>
    <row r="425">
      <c r="A425" s="59" t="str">
        <f>IFERROR(__xludf.DUMMYFUNCTION("""COMPUTED_VALUE"""),"Jack of All Tribes HD")</f>
        <v>Jack of All Tribes HD</v>
      </c>
      <c r="B425" s="60"/>
      <c r="C425" s="61" t="str">
        <f>IFERROR(__xludf.DUMMYFUNCTION("""COMPUTED_VALUE"""),"Yes")</f>
        <v>Yes</v>
      </c>
      <c r="D425" s="62" t="str">
        <f>IFERROR(__xludf.DUMMYFUNCTION("""COMPUTED_VALUE"""),"Free → Full")</f>
        <v>Free → Full</v>
      </c>
      <c r="E425" s="61" t="str">
        <f>IFERROR(__xludf.DUMMYFUNCTION("""COMPUTED_VALUE"""),"Glisern")</f>
        <v>Glisern</v>
      </c>
      <c r="F425" s="63">
        <f>IFERROR(__xludf.DUMMYFUNCTION("""COMPUTED_VALUE"""),40901.0)</f>
        <v>40901</v>
      </c>
    </row>
    <row r="426">
      <c r="A426" s="59" t="str">
        <f>IFERROR(__xludf.DUMMYFUNCTION("""COMPUTED_VALUE"""),"Jack'd")</f>
        <v>Jack'd</v>
      </c>
      <c r="B426" s="60"/>
      <c r="C426" s="61" t="str">
        <f>IFERROR(__xludf.DUMMYFUNCTION("""COMPUTED_VALUE"""),"Yes")</f>
        <v>Yes</v>
      </c>
      <c r="D426" s="62" t="str">
        <f>IFERROR(__xludf.DUMMYFUNCTION("""COMPUTED_VALUE"""),"Tested, donation works. Unlock premium feature")</f>
        <v>Tested, donation works. Unlock premium feature</v>
      </c>
      <c r="E426" s="61" t="str">
        <f>IFERROR(__xludf.DUMMYFUNCTION("""COMPUTED_VALUE"""),"Jabberwoku")</f>
        <v>Jabberwoku</v>
      </c>
      <c r="F426" s="63">
        <f>IFERROR(__xludf.DUMMYFUNCTION("""COMPUTED_VALUE"""),40920.0)</f>
        <v>40920</v>
      </c>
    </row>
    <row r="427">
      <c r="A427" s="59" t="str">
        <f>IFERROR(__xludf.DUMMYFUNCTION("""COMPUTED_VALUE"""),"Jamie Oliver's recipes")</f>
        <v>Jamie Oliver's recipes</v>
      </c>
      <c r="B427" s="60"/>
      <c r="C427" s="61" t="str">
        <f>IFERROR(__xludf.DUMMYFUNCTION("""COMPUTED_VALUE"""),"Yes")</f>
        <v>Yes</v>
      </c>
      <c r="D427" s="62" t="str">
        <f>IFERROR(__xludf.DUMMYFUNCTION("""COMPUTED_VALUE"""),"Unlocks the recipes using slow 3G but the step by step pics are missing - after updating to 2.6 the extra content started to download")</f>
        <v>Unlocks the recipes using slow 3G but the step by step pics are missing - after updating to 2.6 the extra content started to download</v>
      </c>
      <c r="E427" s="61" t="str">
        <f>IFERROR(__xludf.DUMMYFUNCTION("""COMPUTED_VALUE"""),"ZinFab")</f>
        <v>ZinFab</v>
      </c>
      <c r="F427" s="63">
        <f>IFERROR(__xludf.DUMMYFUNCTION("""COMPUTED_VALUE"""),40953.0)</f>
        <v>40953</v>
      </c>
    </row>
    <row r="428">
      <c r="A428" s="59" t="str">
        <f>IFERROR(__xludf.DUMMYFUNCTION("""COMPUTED_VALUE"""),"Jamie Recipes")</f>
        <v>Jamie Recipes</v>
      </c>
      <c r="B428" s="60"/>
      <c r="C428" s="61" t="str">
        <f>IFERROR(__xludf.DUMMYFUNCTION("""COMPUTED_VALUE"""),"Yes")</f>
        <v>Yes</v>
      </c>
      <c r="D428" s="62" t="str">
        <f>IFERROR(__xludf.DUMMYFUNCTION("""COMPUTED_VALUE"""),"Only in slow network (3G), close and re-open")</f>
        <v>Only in slow network (3G), close and re-open</v>
      </c>
      <c r="E428" s="61"/>
      <c r="F428" s="63">
        <f>IFERROR(__xludf.DUMMYFUNCTION("""COMPUTED_VALUE"""),40939.0)</f>
        <v>40939</v>
      </c>
    </row>
    <row r="429">
      <c r="A429" s="59" t="str">
        <f>IFERROR(__xludf.DUMMYFUNCTION("""COMPUTED_VALUE"""),"JamUp Pro")</f>
        <v>JamUp Pro</v>
      </c>
      <c r="B429" s="60"/>
      <c r="C429" s="61" t="str">
        <f>IFERROR(__xludf.DUMMYFUNCTION("""COMPUTED_VALUE"""),"Yes")</f>
        <v>Yes</v>
      </c>
      <c r="D429" s="62" t="str">
        <f>IFERROR(__xludf.DUMMYFUNCTION("""COMPUTED_VALUE"""),"All Amp and Effect Models")</f>
        <v>All Amp and Effect Models</v>
      </c>
      <c r="E429" s="61" t="str">
        <f>IFERROR(__xludf.DUMMYFUNCTION("""COMPUTED_VALUE"""),"indraf")</f>
        <v>indraf</v>
      </c>
      <c r="F429" s="63">
        <f>IFERROR(__xludf.DUMMYFUNCTION("""COMPUTED_VALUE"""),40930.0)</f>
        <v>40930</v>
      </c>
    </row>
    <row r="430">
      <c r="A430" s="59" t="str">
        <f>IFERROR(__xludf.DUMMYFUNCTION("""COMPUTED_VALUE"""),"Jane's Hotel: Family Hero")</f>
        <v>Jane's Hotel: Family Hero</v>
      </c>
      <c r="B430" s="60"/>
      <c r="C430" s="61" t="str">
        <f>IFERROR(__xludf.DUMMYFUNCTION("""COMPUTED_VALUE"""),"Yes")</f>
        <v>Yes</v>
      </c>
      <c r="D430" s="62" t="str">
        <f>IFERROR(__xludf.DUMMYFUNCTION("""COMPUTED_VALUE"""),"Free → Full")</f>
        <v>Free → Full</v>
      </c>
      <c r="E430" s="61" t="str">
        <f>IFERROR(__xludf.DUMMYFUNCTION("""COMPUTED_VALUE"""),"phatpham")</f>
        <v>phatpham</v>
      </c>
      <c r="F430" s="63">
        <f>IFERROR(__xludf.DUMMYFUNCTION("""COMPUTED_VALUE"""),40899.0)</f>
        <v>40899</v>
      </c>
    </row>
    <row r="431">
      <c r="A431" s="59" t="str">
        <f>IFERROR(__xludf.DUMMYFUNCTION("""COMPUTED_VALUE"""),"Jean's Boutique 2")</f>
        <v>Jean's Boutique 2</v>
      </c>
      <c r="B431" s="60"/>
      <c r="C431" s="61" t="str">
        <f>IFERROR(__xludf.DUMMYFUNCTION("""COMPUTED_VALUE"""),"Yes")</f>
        <v>Yes</v>
      </c>
      <c r="D431" s="62"/>
      <c r="E431" s="61"/>
      <c r="F431" s="41"/>
    </row>
    <row r="432">
      <c r="A432" s="59" t="str">
        <f>IFERROR(__xludf.DUMMYFUNCTION("""COMPUTED_VALUE"""),"Jet Fighter Ace")</f>
        <v>Jet Fighter Ace</v>
      </c>
      <c r="B432" s="60"/>
      <c r="C432" s="61" t="str">
        <f>IFERROR(__xludf.DUMMYFUNCTION("""COMPUTED_VALUE"""),"Yes")</f>
        <v>Yes</v>
      </c>
      <c r="D432" s="62" t="str">
        <f>IFERROR(__xludf.DUMMYFUNCTION("""COMPUTED_VALUE"""),"It will crash at first, but when you reopen the app, you will get cash.")</f>
        <v>It will crash at first, but when you reopen the app, you will get cash.</v>
      </c>
      <c r="E432" s="61" t="str">
        <f>IFERROR(__xludf.DUMMYFUNCTION("""COMPUTED_VALUE"""),"zus")</f>
        <v>zus</v>
      </c>
      <c r="F432" s="63">
        <f>IFERROR(__xludf.DUMMYFUNCTION("""COMPUTED_VALUE"""),40946.0)</f>
        <v>40946</v>
      </c>
    </row>
    <row r="433">
      <c r="A433" s="59" t="str">
        <f>IFERROR(__xludf.DUMMYFUNCTION("""COMPUTED_VALUE"""),"JetCarStunts")</f>
        <v>JetCarStunts</v>
      </c>
      <c r="B433" s="60"/>
      <c r="C433" s="61" t="str">
        <f>IFERROR(__xludf.DUMMYFUNCTION("""COMPUTED_VALUE"""),"Yes")</f>
        <v>Yes</v>
      </c>
      <c r="D433" s="62" t="str">
        <f>IFERROR(__xludf.DUMMYFUNCTION("""COMPUTED_VALUE"""),"Additional Levelpack Downloadable.")</f>
        <v>Additional Levelpack Downloadable.</v>
      </c>
      <c r="E433" s="61"/>
      <c r="F433" s="41"/>
    </row>
    <row r="434">
      <c r="A434" s="59" t="str">
        <f>IFERROR(__xludf.DUMMYFUNCTION("""COMPUTED_VALUE"""),"Jetpack Joyride")</f>
        <v>Jetpack Joyride</v>
      </c>
      <c r="B434" s="60"/>
      <c r="C434" s="61" t="str">
        <f>IFERROR(__xludf.DUMMYFUNCTION("""COMPUTED_VALUE"""),"Yes")</f>
        <v>Yes</v>
      </c>
      <c r="D434" s="62" t="str">
        <f>IFERROR(__xludf.DUMMYFUNCTION("""COMPUTED_VALUE"""),"Before install , look in setting of Installous : NOT  ""Remove Metadata""")</f>
        <v>Before install , look in setting of Installous : NOT  "Remove Metadata"</v>
      </c>
      <c r="E434" s="61" t="str">
        <f>IFERROR(__xludf.DUMMYFUNCTION("""COMPUTED_VALUE"""),"kolky")</f>
        <v>kolky</v>
      </c>
      <c r="F434" s="63">
        <f>IFERROR(__xludf.DUMMYFUNCTION("""COMPUTED_VALUE"""),40894.0)</f>
        <v>40894</v>
      </c>
    </row>
    <row r="435">
      <c r="A435" s="59" t="str">
        <f>IFERROR(__xludf.DUMMYFUNCTION("""COMPUTED_VALUE"""),"Jewel Fighter")</f>
        <v>Jewel Fighter</v>
      </c>
      <c r="B435" s="60"/>
      <c r="C435" s="61" t="str">
        <f>IFERROR(__xludf.DUMMYFUNCTION("""COMPUTED_VALUE"""),"Yes")</f>
        <v>Yes</v>
      </c>
      <c r="D435" s="62" t="str">
        <f>IFERROR(__xludf.DUMMYFUNCTION("""COMPUTED_VALUE"""),"Buy Coins")</f>
        <v>Buy Coins</v>
      </c>
      <c r="E435" s="61" t="str">
        <f>IFERROR(__xludf.DUMMYFUNCTION("""COMPUTED_VALUE"""),"James")</f>
        <v>James</v>
      </c>
      <c r="F435" s="63">
        <f>IFERROR(__xludf.DUMMYFUNCTION("""COMPUTED_VALUE"""),40928.0)</f>
        <v>40928</v>
      </c>
    </row>
    <row r="436">
      <c r="A436" s="59" t="str">
        <f>IFERROR(__xludf.DUMMYFUNCTION("""COMPUTED_VALUE"""),"JotNot")</f>
        <v>JotNot</v>
      </c>
      <c r="B436" s="60"/>
      <c r="C436" s="61" t="str">
        <f>IFERROR(__xludf.DUMMYFUNCTION("""COMPUTED_VALUE"""),"Yes")</f>
        <v>Yes</v>
      </c>
      <c r="D436" s="62" t="str">
        <f>IFERROR(__xludf.DUMMYFUNCTION("""COMPUTED_VALUE"""),"Full app unlocks")</f>
        <v>Full app unlocks</v>
      </c>
      <c r="E436" s="61" t="str">
        <f>IFERROR(__xludf.DUMMYFUNCTION("""COMPUTED_VALUE"""),"Persephone")</f>
        <v>Persephone</v>
      </c>
      <c r="F436" s="41"/>
    </row>
    <row r="437">
      <c r="A437" s="59" t="str">
        <f>IFERROR(__xludf.DUMMYFUNCTION("""COMPUTED_VALUE"""),"Jubeat Plus")</f>
        <v>Jubeat Plus</v>
      </c>
      <c r="B437" s="60"/>
      <c r="C437" s="61" t="str">
        <f>IFERROR(__xludf.DUMMYFUNCTION("""COMPUTED_VALUE"""),"Yes")</f>
        <v>Yes</v>
      </c>
      <c r="D437" s="62" t="str">
        <f>IFERROR(__xludf.DUMMYFUNCTION("""COMPUTED_VALUE"""),"Able to purchase additional song packs")</f>
        <v>Able to purchase additional song packs</v>
      </c>
      <c r="E437" s="61" t="str">
        <f>IFERROR(__xludf.DUMMYFUNCTION("""COMPUTED_VALUE"""),"Guk")</f>
        <v>Guk</v>
      </c>
      <c r="F437" s="63">
        <f>IFERROR(__xludf.DUMMYFUNCTION("""COMPUTED_VALUE"""),40881.0)</f>
        <v>40881</v>
      </c>
    </row>
    <row r="438">
      <c r="A438" s="59" t="str">
        <f>IFERROR(__xludf.DUMMYFUNCTION("""COMPUTED_VALUE"""),"Judge Dredd vs Zombies")</f>
        <v>Judge Dredd vs Zombies</v>
      </c>
      <c r="B438" s="60"/>
      <c r="C438" s="61" t="str">
        <f>IFERROR(__xludf.DUMMYFUNCTION("""COMPUTED_VALUE"""),"Yes")</f>
        <v>Yes</v>
      </c>
      <c r="D438" s="62" t="str">
        <f>IFERROR(__xludf.DUMMYFUNCTION("""COMPUTED_VALUE"""),"KILL DEM DANG ZOMBIES WIF GOLD PLATED GUNS FREEE")</f>
        <v>KILL DEM DANG ZOMBIES WIF GOLD PLATED GUNS FREEE</v>
      </c>
      <c r="E438" s="61"/>
      <c r="F438" s="63">
        <f>IFERROR(__xludf.DUMMYFUNCTION("""COMPUTED_VALUE"""),40946.0)</f>
        <v>40946</v>
      </c>
    </row>
    <row r="439">
      <c r="A439" s="59" t="str">
        <f>IFERROR(__xludf.DUMMYFUNCTION("""COMPUTED_VALUE"""),"Kaptain Brawe: A Brawe New World")</f>
        <v>Kaptain Brawe: A Brawe New World</v>
      </c>
      <c r="B439" s="60"/>
      <c r="C439" s="61" t="str">
        <f>IFERROR(__xludf.DUMMYFUNCTION("""COMPUTED_VALUE"""),"Yes")</f>
        <v>Yes</v>
      </c>
      <c r="D439" s="62" t="str">
        <f>IFERROR(__xludf.DUMMYFUNCTION("""COMPUTED_VALUE"""),"Free → Full")</f>
        <v>Free → Full</v>
      </c>
      <c r="E439" s="61" t="str">
        <f>IFERROR(__xludf.DUMMYFUNCTION("""COMPUTED_VALUE"""),"phatpham")</f>
        <v>phatpham</v>
      </c>
      <c r="F439" s="63">
        <f>IFERROR(__xludf.DUMMYFUNCTION("""COMPUTED_VALUE"""),40899.0)</f>
        <v>40899</v>
      </c>
    </row>
    <row r="440">
      <c r="A440" s="59" t="str">
        <f>IFERROR(__xludf.DUMMYFUNCTION("""COMPUTED_VALUE"""),"KartRider Rush")</f>
        <v>KartRider Rush</v>
      </c>
      <c r="B440" s="60"/>
      <c r="C440" s="61" t="str">
        <f>IFERROR(__xludf.DUMMYFUNCTION("""COMPUTED_VALUE"""),"Yes")</f>
        <v>Yes</v>
      </c>
      <c r="D440" s="62" t="str">
        <f>IFERROR(__xludf.DUMMYFUNCTION("""COMPUTED_VALUE"""),"Can unlock everything, no delay.
Working well with latest version.")</f>
        <v>Can unlock everything, no delay.
Working well with latest version.</v>
      </c>
      <c r="E440" s="61" t="str">
        <f>IFERROR(__xludf.DUMMYFUNCTION("""COMPUTED_VALUE"""),"ShuShiz")</f>
        <v>ShuShiz</v>
      </c>
      <c r="F440" s="63">
        <f>IFERROR(__xludf.DUMMYFUNCTION("""COMPUTED_VALUE"""),40883.0)</f>
        <v>40883</v>
      </c>
    </row>
    <row r="441">
      <c r="A441" s="59" t="str">
        <f>IFERROR(__xludf.DUMMYFUNCTION("""COMPUTED_VALUE"""),"Katamari AMORE")</f>
        <v>Katamari AMORE</v>
      </c>
      <c r="B441" s="60"/>
      <c r="C441" s="61" t="str">
        <f>IFERROR(__xludf.DUMMYFUNCTION("""COMPUTED_VALUE"""),"Yes")</f>
        <v>Yes</v>
      </c>
      <c r="D441" s="62" t="str">
        <f>IFERROR(__xludf.DUMMYFUNCTION("""COMPUTED_VALUE"""),"Works, validate iTunes password and iAP will be purchased (removed cc please)")</f>
        <v>Works, validate iTunes password and iAP will be purchased (removed cc please)</v>
      </c>
      <c r="E441" s="61" t="str">
        <f>IFERROR(__xludf.DUMMYFUNCTION("""COMPUTED_VALUE"""),"Guk")</f>
        <v>Guk</v>
      </c>
      <c r="F441" s="63">
        <f>IFERROR(__xludf.DUMMYFUNCTION("""COMPUTED_VALUE"""),40900.0)</f>
        <v>40900</v>
      </c>
    </row>
    <row r="442">
      <c r="A442" s="59" t="str">
        <f>IFERROR(__xludf.DUMMYFUNCTION("""COMPUTED_VALUE"""),"Kawaii Pet Megu")</f>
        <v>Kawaii Pet Megu</v>
      </c>
      <c r="B442" s="60"/>
      <c r="C442" s="61" t="str">
        <f>IFERROR(__xludf.DUMMYFUNCTION("""COMPUTED_VALUE"""),"Yes")</f>
        <v>Yes</v>
      </c>
      <c r="D442" s="62" t="str">
        <f>IFERROR(__xludf.DUMMYFUNCTION("""COMPUTED_VALUE""")," Works great!")</f>
        <v> Works great!</v>
      </c>
      <c r="E442" s="61" t="str">
        <f>IFERROR(__xludf.DUMMYFUNCTION("""COMPUTED_VALUE"""),"ShaunLQZ")</f>
        <v>ShaunLQZ</v>
      </c>
      <c r="F442" s="63">
        <f>IFERROR(__xludf.DUMMYFUNCTION("""COMPUTED_VALUE"""),40916.0)</f>
        <v>40916</v>
      </c>
    </row>
    <row r="443">
      <c r="A443" s="59" t="str">
        <f>IFERROR(__xludf.DUMMYFUNCTION("""COMPUTED_VALUE"""),"Key Aviation publishing")</f>
        <v>Key Aviation publishing</v>
      </c>
      <c r="B443" s="60"/>
      <c r="C443" s="61" t="str">
        <f>IFERROR(__xludf.DUMMYFUNCTION("""COMPUTED_VALUE"""),"Yes")</f>
        <v>Yes</v>
      </c>
      <c r="D443" s="62" t="str">
        <f>IFERROR(__xludf.DUMMYFUNCTION("""COMPUTED_VALUE"""),"Magazine purchase")</f>
        <v>Magazine purchase</v>
      </c>
      <c r="E443" s="61" t="str">
        <f>IFERROR(__xludf.DUMMYFUNCTION("""COMPUTED_VALUE"""),"Atrcap")</f>
        <v>Atrcap</v>
      </c>
      <c r="F443" s="63">
        <f>IFERROR(__xludf.DUMMYFUNCTION("""COMPUTED_VALUE"""),40906.0)</f>
        <v>40906</v>
      </c>
    </row>
    <row r="444">
      <c r="A444" s="59" t="str">
        <f>IFERROR(__xludf.DUMMYFUNCTION("""COMPUTED_VALUE"""),"Kids World Map")</f>
        <v>Kids World Map</v>
      </c>
      <c r="B444" s="60"/>
      <c r="C444" s="61" t="str">
        <f>IFERROR(__xludf.DUMMYFUNCTION("""COMPUTED_VALUE"""),"Yes")</f>
        <v>Yes</v>
      </c>
      <c r="D444" s="62" t="str">
        <f>IFERROR(__xludf.DUMMYFUNCTION("""COMPUTED_VALUE"""),"Able to buy credits")</f>
        <v>Able to buy credits</v>
      </c>
      <c r="E444" s="61"/>
      <c r="F444" s="41"/>
    </row>
    <row r="445">
      <c r="A445" s="59" t="str">
        <f>IFERROR(__xludf.DUMMYFUNCTION("""COMPUTED_VALUE"""),"King Camera")</f>
        <v>King Camera</v>
      </c>
      <c r="B445" s="60"/>
      <c r="C445" s="61" t="str">
        <f>IFERROR(__xludf.DUMMYFUNCTION("""COMPUTED_VALUE"""),"Yes")</f>
        <v>Yes</v>
      </c>
      <c r="D445" s="62" t="str">
        <f>IFERROR(__xludf.DUMMYFUNCTION("""COMPUTED_VALUE"""),"Works for unlocking the purchase items in the app - abilities to export in full size")</f>
        <v>Works for unlocking the purchase items in the app - abilities to export in full size</v>
      </c>
      <c r="E445" s="61"/>
      <c r="F445" s="63">
        <f>IFERROR(__xludf.DUMMYFUNCTION("""COMPUTED_VALUE"""),40953.0)</f>
        <v>40953</v>
      </c>
    </row>
    <row r="446">
      <c r="A446" s="59" t="str">
        <f>IFERROR(__xludf.DUMMYFUNCTION("""COMPUTED_VALUE"""),"Kingdom Rush")</f>
        <v>Kingdom Rush</v>
      </c>
      <c r="B446" s="60">
        <f>IFERROR(__xludf.DUMMYFUNCTION("""COMPUTED_VALUE"""),1.5)</f>
        <v>1.5</v>
      </c>
      <c r="C446" s="61" t="str">
        <f>IFERROR(__xludf.DUMMYFUNCTION("""COMPUTED_VALUE"""),"Yes")</f>
        <v>Yes</v>
      </c>
      <c r="D446" s="62" t="str">
        <f>IFERROR(__xludf.DUMMYFUNCTION("""COMPUTED_VALUE"""),"Everything works")</f>
        <v>Everything works</v>
      </c>
      <c r="E446" s="61" t="str">
        <f>IFERROR(__xludf.DUMMYFUNCTION("""COMPUTED_VALUE"""),"Shin")</f>
        <v>Shin</v>
      </c>
      <c r="F446" s="63">
        <f>IFERROR(__xludf.DUMMYFUNCTION("""COMPUTED_VALUE"""),41175.0)</f>
        <v>41175</v>
      </c>
    </row>
    <row r="447">
      <c r="A447" s="59" t="str">
        <f>IFERROR(__xludf.DUMMYFUNCTION("""COMPUTED_VALUE"""),"Klasická angličtina")</f>
        <v>Klasická angličtina</v>
      </c>
      <c r="B447" s="60"/>
      <c r="C447" s="61" t="str">
        <f>IFERROR(__xludf.DUMMYFUNCTION("""COMPUTED_VALUE"""),"Yes")</f>
        <v>Yes</v>
      </c>
      <c r="D447" s="62" t="str">
        <f>IFERROR(__xludf.DUMMYFUNCTION("""COMPUTED_VALUE"""),"Can purchase all sessions")</f>
        <v>Can purchase all sessions</v>
      </c>
      <c r="E447" s="61" t="str">
        <f>IFERROR(__xludf.DUMMYFUNCTION("""COMPUTED_VALUE"""),"KeceRim")</f>
        <v>KeceRim</v>
      </c>
      <c r="F447" s="63">
        <f>IFERROR(__xludf.DUMMYFUNCTION("""COMPUTED_VALUE"""),40954.0)</f>
        <v>40954</v>
      </c>
    </row>
    <row r="448">
      <c r="A448" s="59" t="str">
        <f>IFERROR(__xludf.DUMMYFUNCTION("""COMPUTED_VALUE"""),"Koalyptus")</f>
        <v>Koalyptus</v>
      </c>
      <c r="B448" s="60">
        <f>IFERROR(__xludf.DUMMYFUNCTION("""COMPUTED_VALUE"""),2.01)</f>
        <v>2.01</v>
      </c>
      <c r="C448" s="61" t="str">
        <f>IFERROR(__xludf.DUMMYFUNCTION("""COMPUTED_VALUE"""),"Yes")</f>
        <v>Yes</v>
      </c>
      <c r="D448" s="62" t="str">
        <f>IFERROR(__xludf.DUMMYFUNCTION("""COMPUTED_VALUE"""),"All Purchases free")</f>
        <v>All Purchases free</v>
      </c>
      <c r="E448" s="61" t="str">
        <f>IFERROR(__xludf.DUMMYFUNCTION("""COMPUTED_VALUE"""),"micorp")</f>
        <v>micorp</v>
      </c>
      <c r="F448" s="63">
        <f>IFERROR(__xludf.DUMMYFUNCTION("""COMPUTED_VALUE"""),40957.0)</f>
        <v>40957</v>
      </c>
    </row>
    <row r="449">
      <c r="A449" s="59" t="str">
        <f>IFERROR(__xludf.DUMMYFUNCTION("""COMPUTED_VALUE"""),"Koredoko")</f>
        <v>Koredoko</v>
      </c>
      <c r="B449" s="60" t="str">
        <f>IFERROR(__xludf.DUMMYFUNCTION("""COMPUTED_VALUE"""),"4.2.2")</f>
        <v>4.2.2</v>
      </c>
      <c r="C449" s="61" t="str">
        <f>IFERROR(__xludf.DUMMYFUNCTION("""COMPUTED_VALUE"""),"Yes")</f>
        <v>Yes</v>
      </c>
      <c r="D449" s="62" t="str">
        <f>IFERROR(__xludf.DUMMYFUNCTION("""COMPUTED_VALUE"""),"Turn ads off and it registers as Paid")</f>
        <v>Turn ads off and it registers as Paid</v>
      </c>
      <c r="E449" s="61" t="str">
        <f>IFERROR(__xludf.DUMMYFUNCTION("""COMPUTED_VALUE"""),"djpark")</f>
        <v>djpark</v>
      </c>
      <c r="F449" s="63">
        <f>IFERROR(__xludf.DUMMYFUNCTION("""COMPUTED_VALUE"""),40972.0)</f>
        <v>40972</v>
      </c>
    </row>
    <row r="450">
      <c r="A450" s="59" t="str">
        <f>IFERROR(__xludf.DUMMYFUNCTION("""COMPUTED_VALUE"""),"KungFu Warrior
")</f>
        <v>KungFu Warrior
</v>
      </c>
      <c r="B450" s="60"/>
      <c r="C450" s="61" t="str">
        <f>IFERROR(__xludf.DUMMYFUNCTION("""COMPUTED_VALUE"""),"Yes")</f>
        <v>Yes</v>
      </c>
      <c r="D450" s="62"/>
      <c r="E450" s="61" t="str">
        <f>IFERROR(__xludf.DUMMYFUNCTION("""COMPUTED_VALUE"""),"Z1nC")</f>
        <v>Z1nC</v>
      </c>
      <c r="F450" s="63">
        <f>IFERROR(__xludf.DUMMYFUNCTION("""COMPUTED_VALUE"""),40891.0)</f>
        <v>40891</v>
      </c>
    </row>
    <row r="451">
      <c r="A451" s="59" t="str">
        <f>IFERROR(__xludf.DUMMYFUNCTION("""COMPUTED_VALUE"""),"La Voz De Galicia")</f>
        <v>La Voz De Galicia</v>
      </c>
      <c r="B451" s="60"/>
      <c r="C451" s="61" t="str">
        <f>IFERROR(__xludf.DUMMYFUNCTION("""COMPUTED_VALUE"""),"Yes")</f>
        <v>Yes</v>
      </c>
      <c r="D451" s="62" t="str">
        <f>IFERROR(__xludf.DUMMYFUNCTION("""COMPUTED_VALUE"""),"Everything works")</f>
        <v>Everything works</v>
      </c>
      <c r="E451" s="61" t="str">
        <f>IFERROR(__xludf.DUMMYFUNCTION("""COMPUTED_VALUE"""),"Yancha")</f>
        <v>Yancha</v>
      </c>
      <c r="F451" s="63">
        <f>IFERROR(__xludf.DUMMYFUNCTION("""COMPUTED_VALUE"""),40953.0)</f>
        <v>40953</v>
      </c>
    </row>
    <row r="452">
      <c r="A452" s="59" t="str">
        <f>IFERROR(__xludf.DUMMYFUNCTION("""COMPUTED_VALUE"""),"Land of Zombies")</f>
        <v>Land of Zombies</v>
      </c>
      <c r="B452" s="60"/>
      <c r="C452" s="61" t="str">
        <f>IFERROR(__xludf.DUMMYFUNCTION("""COMPUTED_VALUE"""),"Yes")</f>
        <v>Yes</v>
      </c>
      <c r="D452" s="62" t="str">
        <f>IFERROR(__xludf.DUMMYFUNCTION("""COMPUTED_VALUE"""),"Works on all")</f>
        <v>Works on all</v>
      </c>
      <c r="E452" s="61" t="str">
        <f>IFERROR(__xludf.DUMMYFUNCTION("""COMPUTED_VALUE"""),"JanJR10785")</f>
        <v>JanJR10785</v>
      </c>
      <c r="F452" s="41"/>
    </row>
    <row r="453">
      <c r="A453" s="59" t="str">
        <f>IFERROR(__xludf.DUMMYFUNCTION("""COMPUTED_VALUE"""),"Lane Splitter")</f>
        <v>Lane Splitter</v>
      </c>
      <c r="B453" s="60"/>
      <c r="C453" s="61" t="str">
        <f>IFERROR(__xludf.DUMMYFUNCTION("""COMPUTED_VALUE"""),"Yes")</f>
        <v>Yes</v>
      </c>
      <c r="D453" s="62" t="str">
        <f>IFERROR(__xludf.DUMMYFUNCTION("""COMPUTED_VALUE"""),"Buy all characters")</f>
        <v>Buy all characters</v>
      </c>
      <c r="E453" s="61"/>
      <c r="F453" s="41"/>
    </row>
    <row r="454">
      <c r="A454" s="59" t="str">
        <f>IFERROR(__xludf.DUMMYFUNCTION("""COMPUTED_VALUE"""),"Law &amp; Order: Legacies")</f>
        <v>Law &amp; Order: Legacies</v>
      </c>
      <c r="B454" s="60"/>
      <c r="C454" s="61" t="str">
        <f>IFERROR(__xludf.DUMMYFUNCTION("""COMPUTED_VALUE"""),"Yes")</f>
        <v>Yes</v>
      </c>
      <c r="D454" s="62" t="str">
        <f>IFERROR(__xludf.DUMMYFUNCTION("""COMPUTED_VALUE"""),"New chapters are downloadable.")</f>
        <v>New chapters are downloadable.</v>
      </c>
      <c r="E454" s="61" t="str">
        <f>IFERROR(__xludf.DUMMYFUNCTION("""COMPUTED_VALUE"""),"Kev63")</f>
        <v>Kev63</v>
      </c>
      <c r="F454" s="63">
        <f>IFERROR(__xludf.DUMMYFUNCTION("""COMPUTED_VALUE"""),40928.0)</f>
        <v>40928</v>
      </c>
    </row>
    <row r="455">
      <c r="A455" s="59" t="str">
        <f>IFERROR(__xludf.DUMMYFUNCTION("""COMPUTED_VALUE"""),"Leave Devil alone")</f>
        <v>Leave Devil alone</v>
      </c>
      <c r="B455" s="60"/>
      <c r="C455" s="61" t="str">
        <f>IFERROR(__xludf.DUMMYFUNCTION("""COMPUTED_VALUE"""),"Yes")</f>
        <v>Yes</v>
      </c>
      <c r="D455" s="62" t="str">
        <f>IFERROR(__xludf.DUMMYFUNCTION("""COMPUTED_VALUE"""),"Works fine")</f>
        <v>Works fine</v>
      </c>
      <c r="E455" s="61" t="str">
        <f>IFERROR(__xludf.DUMMYFUNCTION("""COMPUTED_VALUE"""),"luudaigiang")</f>
        <v>luudaigiang</v>
      </c>
      <c r="F455" s="63">
        <f>IFERROR(__xludf.DUMMYFUNCTION("""COMPUTED_VALUE"""),40930.0)</f>
        <v>40930</v>
      </c>
    </row>
    <row r="456">
      <c r="A456" s="59" t="str">
        <f>IFERROR(__xludf.DUMMYFUNCTION("""COMPUTED_VALUE"""),"Legend of Master+")</f>
        <v>Legend of Master+</v>
      </c>
      <c r="B456" s="60" t="str">
        <f>IFERROR(__xludf.DUMMYFUNCTION("""COMPUTED_VALUE"""),"1.0.1")</f>
        <v>1.0.1</v>
      </c>
      <c r="C456" s="61" t="str">
        <f>IFERROR(__xludf.DUMMYFUNCTION("""COMPUTED_VALUE"""),"Yes")</f>
        <v>Yes</v>
      </c>
      <c r="D456" s="62" t="str">
        <f>IFERROR(__xludf.DUMMYFUNCTION("""COMPUTED_VALUE"""),"Can purchase from shop")</f>
        <v>Can purchase from shop</v>
      </c>
      <c r="E456" s="61" t="str">
        <f>IFERROR(__xludf.DUMMYFUNCTION("""COMPUTED_VALUE"""),"Hibang")</f>
        <v>Hibang</v>
      </c>
      <c r="F456" s="63">
        <f>IFERROR(__xludf.DUMMYFUNCTION("""COMPUTED_VALUE"""),41043.0)</f>
        <v>41043</v>
      </c>
    </row>
    <row r="457">
      <c r="A457" s="59" t="str">
        <f>IFERROR(__xludf.DUMMYFUNCTION("""COMPUTED_VALUE"""),"Legendary")</f>
        <v>Legendary</v>
      </c>
      <c r="B457" s="60"/>
      <c r="C457" s="61" t="str">
        <f>IFERROR(__xludf.DUMMYFUNCTION("""COMPUTED_VALUE"""),"Yes")</f>
        <v>Yes</v>
      </c>
      <c r="D457" s="62" t="str">
        <f>IFERROR(__xludf.DUMMYFUNCTION("""COMPUTED_VALUE"""),"Buy Gems")</f>
        <v>Buy Gems</v>
      </c>
      <c r="E457" s="61" t="str">
        <f>IFERROR(__xludf.DUMMYFUNCTION("""COMPUTED_VALUE"""),"phatpham")</f>
        <v>phatpham</v>
      </c>
      <c r="F457" s="63">
        <f>IFERROR(__xludf.DUMMYFUNCTION("""COMPUTED_VALUE"""),40898.0)</f>
        <v>40898</v>
      </c>
    </row>
    <row r="458">
      <c r="A458" s="59" t="str">
        <f>IFERROR(__xludf.DUMMYFUNCTION("""COMPUTED_VALUE"""),"Legendary Heroes")</f>
        <v>Legendary Heroes</v>
      </c>
      <c r="B458" s="60"/>
      <c r="C458" s="61" t="str">
        <f>IFERROR(__xludf.DUMMYFUNCTION("""COMPUTED_VALUE"""),"Yes")</f>
        <v>Yes</v>
      </c>
      <c r="D458" s="62" t="str">
        <f>IFERROR(__xludf.DUMMYFUNCTION("""COMPUTED_VALUE"""),"Can buy all IAP but kind of breaks the game and make it meanlingless")</f>
        <v>Can buy all IAP but kind of breaks the game and make it meanlingless</v>
      </c>
      <c r="E458" s="61" t="str">
        <f>IFERROR(__xludf.DUMMYFUNCTION("""COMPUTED_VALUE"""),"HKD")</f>
        <v>HKD</v>
      </c>
      <c r="F458" s="63">
        <f>IFERROR(__xludf.DUMMYFUNCTION("""COMPUTED_VALUE"""),40912.0)</f>
        <v>40912</v>
      </c>
    </row>
    <row r="459">
      <c r="A459" s="59" t="str">
        <f>IFERROR(__xludf.DUMMYFUNCTION("""COMPUTED_VALUE"""),"Legendary Wars")</f>
        <v>Legendary Wars</v>
      </c>
      <c r="B459" s="60" t="str">
        <f>IFERROR(__xludf.DUMMYFUNCTION("""COMPUTED_VALUE"""),"1.7.7")</f>
        <v>1.7.7</v>
      </c>
      <c r="C459" s="61" t="str">
        <f>IFERROR(__xludf.DUMMYFUNCTION("""COMPUTED_VALUE"""),"Yes")</f>
        <v>Yes</v>
      </c>
      <c r="D459" s="62" t="str">
        <f>IFERROR(__xludf.DUMMYFUNCTION("""COMPUTED_VALUE"""),"Works great on all IAP! Gems/Coins/Moonstones")</f>
        <v>Works great on all IAP! Gems/Coins/Moonstones</v>
      </c>
      <c r="E459" s="61" t="str">
        <f>IFERROR(__xludf.DUMMYFUNCTION("""COMPUTED_VALUE"""),"Squalion")</f>
        <v>Squalion</v>
      </c>
      <c r="F459" s="63">
        <f>IFERROR(__xludf.DUMMYFUNCTION("""COMPUTED_VALUE"""),40967.0)</f>
        <v>40967</v>
      </c>
    </row>
    <row r="460">
      <c r="A460" s="59" t="str">
        <f>IFERROR(__xludf.DUMMYFUNCTION("""COMPUTED_VALUE"""),"Let Me Out")</f>
        <v>Let Me Out</v>
      </c>
      <c r="B460" s="60"/>
      <c r="C460" s="61" t="str">
        <f>IFERROR(__xludf.DUMMYFUNCTION("""COMPUTED_VALUE"""),"Yes")</f>
        <v>Yes</v>
      </c>
      <c r="D460" s="62" t="str">
        <f>IFERROR(__xludf.DUMMYFUNCTION("""COMPUTED_VALUE"""),"Turn off 'Remove Metadata' in Installous settings if using cracked version.")</f>
        <v>Turn off 'Remove Metadata' in Installous settings if using cracked version.</v>
      </c>
      <c r="E460" s="61" t="str">
        <f>IFERROR(__xludf.DUMMYFUNCTION("""COMPUTED_VALUE"""),"ThePreserver")</f>
        <v>ThePreserver</v>
      </c>
      <c r="F460" s="63">
        <f>IFERROR(__xludf.DUMMYFUNCTION("""COMPUTED_VALUE"""),40890.0)</f>
        <v>40890</v>
      </c>
    </row>
    <row r="461">
      <c r="A461" s="59" t="str">
        <f>IFERROR(__xludf.DUMMYFUNCTION("""COMPUTED_VALUE"""),"Liberty Wings")</f>
        <v>Liberty Wings</v>
      </c>
      <c r="B461" s="60" t="str">
        <f>IFERROR(__xludf.DUMMYFUNCTION("""COMPUTED_VALUE"""),"1.0.1")</f>
        <v>1.0.1</v>
      </c>
      <c r="C461" s="61" t="str">
        <f>IFERROR(__xludf.DUMMYFUNCTION("""COMPUTED_VALUE"""),"Yes")</f>
        <v>Yes</v>
      </c>
      <c r="D461" s="62" t="str">
        <f>IFERROR(__xludf.DUMMYFUNCTION("""COMPUTED_VALUE"""),"Can purchase all maps &amp; unlimited lives.")</f>
        <v>Can purchase all maps &amp; unlimited lives.</v>
      </c>
      <c r="E461" s="61" t="str">
        <f>IFERROR(__xludf.DUMMYFUNCTION("""COMPUTED_VALUE"""),"zugzug")</f>
        <v>zugzug</v>
      </c>
      <c r="F461" s="63">
        <f>IFERROR(__xludf.DUMMYFUNCTION("""COMPUTED_VALUE"""),40937.0)</f>
        <v>40937</v>
      </c>
    </row>
    <row r="462">
      <c r="A462" s="59" t="str">
        <f>IFERROR(__xludf.DUMMYFUNCTION("""COMPUTED_VALUE"""),"Life for iPad")</f>
        <v>Life for iPad</v>
      </c>
      <c r="B462" s="60"/>
      <c r="C462" s="61" t="str">
        <f>IFERROR(__xludf.DUMMYFUNCTION("""COMPUTED_VALUE"""),"Yes")</f>
        <v>Yes</v>
      </c>
      <c r="D462" s="62"/>
      <c r="E462" s="61" t="str">
        <f>IFERROR(__xludf.DUMMYFUNCTION("""COMPUTED_VALUE"""),"lanouba")</f>
        <v>lanouba</v>
      </c>
      <c r="F462" s="63">
        <f>IFERROR(__xludf.DUMMYFUNCTION("""COMPUTED_VALUE"""),40903.0)</f>
        <v>40903</v>
      </c>
    </row>
    <row r="463">
      <c r="A463" s="59" t="str">
        <f>IFERROR(__xludf.DUMMYFUNCTION("""COMPUTED_VALUE"""),"Lightning")</f>
        <v>Lightning</v>
      </c>
      <c r="B463" s="60"/>
      <c r="C463" s="61" t="str">
        <f>IFERROR(__xludf.DUMMYFUNCTION("""COMPUTED_VALUE"""),"Yes")</f>
        <v>Yes</v>
      </c>
      <c r="D463" s="62" t="str">
        <f>IFERROR(__xludf.DUMMYFUNCTION("""COMPUTED_VALUE"""),"Working well with latest version")</f>
        <v>Working well with latest version</v>
      </c>
      <c r="E463" s="61" t="str">
        <f>IFERROR(__xludf.DUMMYFUNCTION("""COMPUTED_VALUE"""),"ShuShiz")</f>
        <v>ShuShiz</v>
      </c>
      <c r="F463" s="63">
        <f>IFERROR(__xludf.DUMMYFUNCTION("""COMPUTED_VALUE"""),40898.0)</f>
        <v>40898</v>
      </c>
    </row>
    <row r="464">
      <c r="A464" s="59" t="str">
        <f>IFERROR(__xludf.DUMMYFUNCTION("""COMPUTED_VALUE"""),"Line Runner")</f>
        <v>Line Runner</v>
      </c>
      <c r="B464" s="60"/>
      <c r="C464" s="61" t="str">
        <f>IFERROR(__xludf.DUMMYFUNCTION("""COMPUTED_VALUE"""),"Yes")</f>
        <v>Yes</v>
      </c>
      <c r="D464" s="62"/>
      <c r="E464" s="61" t="str">
        <f>IFERROR(__xludf.DUMMYFUNCTION("""COMPUTED_VALUE"""),"mytich")</f>
        <v>mytich</v>
      </c>
      <c r="F464" s="63">
        <f>IFERROR(__xludf.DUMMYFUNCTION("""COMPUTED_VALUE"""),40793.9229166667)</f>
        <v>40793.92292</v>
      </c>
    </row>
    <row r="465">
      <c r="A465" s="59" t="str">
        <f>IFERROR(__xludf.DUMMYFUNCTION("""COMPUTED_VALUE"""),"Living Language (Chinese)")</f>
        <v>Living Language (Chinese)</v>
      </c>
      <c r="B465" s="60"/>
      <c r="C465" s="61" t="str">
        <f>IFERROR(__xludf.DUMMYFUNCTION("""COMPUTED_VALUE"""),"Yes")</f>
        <v>Yes</v>
      </c>
      <c r="D465" s="62" t="str">
        <f>IFERROR(__xludf.DUMMYFUNCTION("""COMPUTED_VALUE"""),"Can purchase all lessons")</f>
        <v>Can purchase all lessons</v>
      </c>
      <c r="E465" s="61" t="str">
        <f>IFERROR(__xludf.DUMMYFUNCTION("""COMPUTED_VALUE"""),"twixxy010")</f>
        <v>twixxy010</v>
      </c>
      <c r="F465" s="63">
        <f>IFERROR(__xludf.DUMMYFUNCTION("""COMPUTED_VALUE"""),40937.0)</f>
        <v>40937</v>
      </c>
    </row>
    <row r="466">
      <c r="A466" s="59" t="str">
        <f>IFERROR(__xludf.DUMMYFUNCTION("""COMPUTED_VALUE"""),"Logo Quiz")</f>
        <v>Logo Quiz</v>
      </c>
      <c r="B466" s="60" t="str">
        <f>IFERROR(__xludf.DUMMYFUNCTION("""COMPUTED_VALUE"""),"1.3.0")</f>
        <v>1.3.0</v>
      </c>
      <c r="C466" s="61" t="str">
        <f>IFERROR(__xludf.DUMMYFUNCTION("""COMPUTED_VALUE"""),"Yes")</f>
        <v>Yes</v>
      </c>
      <c r="D466" s="62" t="str">
        <f>IFERROR(__xludf.DUMMYFUNCTION("""COMPUTED_VALUE"""),"Can purchase more hints")</f>
        <v>Can purchase more hints</v>
      </c>
      <c r="E466" s="61" t="str">
        <f>IFERROR(__xludf.DUMMYFUNCTION("""COMPUTED_VALUE"""),"JJaquez")</f>
        <v>JJaquez</v>
      </c>
      <c r="F466" s="63">
        <f>IFERROR(__xludf.DUMMYFUNCTION("""COMPUTED_VALUE"""),41090.0)</f>
        <v>41090</v>
      </c>
    </row>
    <row r="467">
      <c r="A467" s="59" t="str">
        <f>IFERROR(__xludf.DUMMYFUNCTION("""COMPUTED_VALUE"""),"Loudbook")</f>
        <v>Loudbook</v>
      </c>
      <c r="B467" s="60"/>
      <c r="C467" s="61" t="str">
        <f>IFERROR(__xludf.DUMMYFUNCTION("""COMPUTED_VALUE"""),"Yes")</f>
        <v>Yes</v>
      </c>
      <c r="D467" s="62"/>
      <c r="E467" s="61"/>
      <c r="F467" s="63">
        <f>IFERROR(__xludf.DUMMYFUNCTION("""COMPUTED_VALUE"""),40873.0)</f>
        <v>40873</v>
      </c>
    </row>
    <row r="468">
      <c r="A468" s="59" t="str">
        <f>IFERROR(__xludf.DUMMYFUNCTION("""COMPUTED_VALUE"""),"Love Shooter")</f>
        <v>Love Shooter</v>
      </c>
      <c r="B468" s="60"/>
      <c r="C468" s="61" t="str">
        <f>IFERROR(__xludf.DUMMYFUNCTION("""COMPUTED_VALUE"""),"Yes")</f>
        <v>Yes</v>
      </c>
      <c r="D468" s="62"/>
      <c r="E468" s="61" t="str">
        <f>IFERROR(__xludf.DUMMYFUNCTION("""COMPUTED_VALUE"""),"zus")</f>
        <v>zus</v>
      </c>
      <c r="F468" s="63">
        <f>IFERROR(__xludf.DUMMYFUNCTION("""COMPUTED_VALUE"""),40946.0)</f>
        <v>40946</v>
      </c>
    </row>
    <row r="469">
      <c r="A469" s="59" t="str">
        <f>IFERROR(__xludf.DUMMYFUNCTION("""COMPUTED_VALUE"""),"Lunacraft")</f>
        <v>Lunacraft</v>
      </c>
      <c r="B469" s="60"/>
      <c r="C469" s="61" t="str">
        <f>IFERROR(__xludf.DUMMYFUNCTION("""COMPUTED_VALUE"""),"Yes")</f>
        <v>Yes</v>
      </c>
      <c r="D469" s="62" t="str">
        <f>IFERROR(__xludf.DUMMYFUNCTION("""COMPUTED_VALUE"""),"Perfectly disables ads/gives recipe list")</f>
        <v>Perfectly disables ads/gives recipe list</v>
      </c>
      <c r="E469" s="61" t="str">
        <f>IFERROR(__xludf.DUMMYFUNCTION("""COMPUTED_VALUE"""),"Sig")</f>
        <v>Sig</v>
      </c>
      <c r="F469" s="63">
        <f>IFERROR(__xludf.DUMMYFUNCTION("""COMPUTED_VALUE"""),40904.0)</f>
        <v>40904</v>
      </c>
    </row>
    <row r="470">
      <c r="A470" s="59" t="str">
        <f>IFERROR(__xludf.DUMMYFUNCTION("""COMPUTED_VALUE"""),"Lunar Racer")</f>
        <v>Lunar Racer</v>
      </c>
      <c r="B470" s="60"/>
      <c r="C470" s="61" t="str">
        <f>IFERROR(__xludf.DUMMYFUNCTION("""COMPUTED_VALUE"""),"Yes")</f>
        <v>Yes</v>
      </c>
      <c r="D470" s="62"/>
      <c r="E470" s="61" t="str">
        <f>IFERROR(__xludf.DUMMYFUNCTION("""COMPUTED_VALUE"""),"luudaigiang")</f>
        <v>luudaigiang</v>
      </c>
      <c r="F470" s="63">
        <f>IFERROR(__xludf.DUMMYFUNCTION("""COMPUTED_VALUE"""),40918.0)</f>
        <v>40918</v>
      </c>
    </row>
    <row r="471">
      <c r="A471" s="59" t="str">
        <f>IFERROR(__xludf.DUMMYFUNCTION("""COMPUTED_VALUE"""),"M.U.S.E.")</f>
        <v>M.U.S.E.</v>
      </c>
      <c r="B471" s="60" t="str">
        <f>IFERROR(__xludf.DUMMYFUNCTION("""COMPUTED_VALUE"""),"1.1.1")</f>
        <v>1.1.1</v>
      </c>
      <c r="C471" s="61" t="str">
        <f>IFERROR(__xludf.DUMMYFUNCTION("""COMPUTED_VALUE"""),"Yes")</f>
        <v>Yes</v>
      </c>
      <c r="D471" s="62" t="str">
        <f>IFERROR(__xludf.DUMMYFUNCTION("""COMPUTED_VALUE"""),"1.1.1 Can buy credits")</f>
        <v>1.1.1 Can buy credits</v>
      </c>
      <c r="E471" s="61" t="str">
        <f>IFERROR(__xludf.DUMMYFUNCTION("""COMPUTED_VALUE"""),"Keigo@ZA")</f>
        <v>Keigo@ZA</v>
      </c>
      <c r="F471" s="63">
        <f>IFERROR(__xludf.DUMMYFUNCTION("""COMPUTED_VALUE"""),40948.0)</f>
        <v>40948</v>
      </c>
    </row>
    <row r="472">
      <c r="A472" s="59" t="str">
        <f>IFERROR(__xludf.DUMMYFUNCTION("""COMPUTED_VALUE"""),"Mad Skills Motocross")</f>
        <v>Mad Skills Motocross</v>
      </c>
      <c r="B472" s="60"/>
      <c r="C472" s="61" t="str">
        <f>IFERROR(__xludf.DUMMYFUNCTION("""COMPUTED_VALUE"""),"Yes")</f>
        <v>Yes</v>
      </c>
      <c r="D472" s="62"/>
      <c r="E472" s="61" t="str">
        <f>IFERROR(__xludf.DUMMYFUNCTION("""COMPUTED_VALUE"""),"Cmahoney")</f>
        <v>Cmahoney</v>
      </c>
      <c r="F472" s="63">
        <f>IFERROR(__xludf.DUMMYFUNCTION("""COMPUTED_VALUE"""),40900.0)</f>
        <v>40900</v>
      </c>
    </row>
    <row r="473">
      <c r="A473" s="59" t="str">
        <f>IFERROR(__xludf.DUMMYFUNCTION("""COMPUTED_VALUE"""),"Madcoaster")</f>
        <v>Madcoaster</v>
      </c>
      <c r="B473" s="60">
        <f>IFERROR(__xludf.DUMMYFUNCTION("""COMPUTED_VALUE"""),1.2)</f>
        <v>1.2</v>
      </c>
      <c r="C473" s="61" t="str">
        <f>IFERROR(__xludf.DUMMYFUNCTION("""COMPUTED_VALUE"""),"Yes")</f>
        <v>Yes</v>
      </c>
      <c r="D473" s="62" t="str">
        <f>IFERROR(__xludf.DUMMYFUNCTION("""COMPUTED_VALUE"""),"Can buy coins to use in store.")</f>
        <v>Can buy coins to use in store.</v>
      </c>
      <c r="E473" s="61" t="str">
        <f>IFERROR(__xludf.DUMMYFUNCTION("""COMPUTED_VALUE"""),"Natsuu")</f>
        <v>Natsuu</v>
      </c>
      <c r="F473" s="63">
        <f>IFERROR(__xludf.DUMMYFUNCTION("""COMPUTED_VALUE"""),41041.0)</f>
        <v>41041</v>
      </c>
    </row>
    <row r="474">
      <c r="A474" s="59" t="str">
        <f>IFERROR(__xludf.DUMMYFUNCTION("""COMPUTED_VALUE"""),"Mafia Rush")</f>
        <v>Mafia Rush</v>
      </c>
      <c r="B474" s="60"/>
      <c r="C474" s="61" t="str">
        <f>IFERROR(__xludf.DUMMYFUNCTION("""COMPUTED_VALUE"""),"Yes")</f>
        <v>Yes</v>
      </c>
      <c r="D474" s="62" t="str">
        <f>IFERROR(__xludf.DUMMYFUNCTION("""COMPUTED_VALUE"""),"Buy XP, coins")</f>
        <v>Buy XP, coins</v>
      </c>
      <c r="E474" s="61" t="str">
        <f>IFERROR(__xludf.DUMMYFUNCTION("""COMPUTED_VALUE"""),"Bull Moose")</f>
        <v>Bull Moose</v>
      </c>
      <c r="F474" s="63">
        <f>IFERROR(__xludf.DUMMYFUNCTION("""COMPUTED_VALUE"""),40900.0)</f>
        <v>40900</v>
      </c>
    </row>
    <row r="475">
      <c r="A475" s="59" t="str">
        <f>IFERROR(__xludf.DUMMYFUNCTION("""COMPUTED_VALUE"""),"Mafia Vs Police")</f>
        <v>Mafia Vs Police</v>
      </c>
      <c r="B475" s="60"/>
      <c r="C475" s="61" t="str">
        <f>IFERROR(__xludf.DUMMYFUNCTION("""COMPUTED_VALUE"""),"Yes")</f>
        <v>Yes</v>
      </c>
      <c r="D475" s="62" t="str">
        <f>IFERROR(__xludf.DUMMYFUNCTION("""COMPUTED_VALUE"""),"Unlocks full version and buys all items.")</f>
        <v>Unlocks full version and buys all items.</v>
      </c>
      <c r="E475" s="61"/>
      <c r="F475" s="63">
        <f>IFERROR(__xludf.DUMMYFUNCTION("""COMPUTED_VALUE"""),41106.0)</f>
        <v>41106</v>
      </c>
    </row>
    <row r="476">
      <c r="A476" s="59" t="str">
        <f>IFERROR(__xludf.DUMMYFUNCTION("""COMPUTED_VALUE"""),"Mafia Wars (Classic)")</f>
        <v>Mafia Wars (Classic)</v>
      </c>
      <c r="B476" s="60"/>
      <c r="C476" s="61" t="str">
        <f>IFERROR(__xludf.DUMMYFUNCTION("""COMPUTED_VALUE"""),"Yes")</f>
        <v>Yes</v>
      </c>
      <c r="D476" s="62" t="str">
        <f>IFERROR(__xludf.DUMMYFUNCTION("""COMPUTED_VALUE"""),"All in-app purchases work perfectly")</f>
        <v>All in-app purchases work perfectly</v>
      </c>
      <c r="E476" s="61" t="str">
        <f>IFERROR(__xludf.DUMMYFUNCTION("""COMPUTED_VALUE"""),"rV")</f>
        <v>rV</v>
      </c>
      <c r="F476" s="63">
        <f>IFERROR(__xludf.DUMMYFUNCTION("""COMPUTED_VALUE"""),40907.0)</f>
        <v>40907</v>
      </c>
    </row>
    <row r="477">
      <c r="A477" s="59" t="str">
        <f>IFERROR(__xludf.DUMMYFUNCTION("""COMPUTED_VALUE"""),"Mage Gauntlet")</f>
        <v>Mage Gauntlet</v>
      </c>
      <c r="B477" s="60"/>
      <c r="C477" s="61" t="str">
        <f>IFERROR(__xludf.DUMMYFUNCTION("""COMPUTED_VALUE"""),"Yes")</f>
        <v>Yes</v>
      </c>
      <c r="D477" s="62"/>
      <c r="E477" s="61"/>
      <c r="F477" s="41"/>
    </row>
    <row r="478">
      <c r="A478" s="59" t="str">
        <f>IFERROR(__xludf.DUMMYFUNCTION("""COMPUTED_VALUE"""),"Magic Fiddle")</f>
        <v>Magic Fiddle</v>
      </c>
      <c r="B478" s="60"/>
      <c r="C478" s="61" t="str">
        <f>IFERROR(__xludf.DUMMYFUNCTION("""COMPUTED_VALUE"""),"Yes")</f>
        <v>Yes</v>
      </c>
      <c r="D478" s="62"/>
      <c r="E478" s="61" t="str">
        <f>IFERROR(__xludf.DUMMYFUNCTION("""COMPUTED_VALUE"""),"Bull Moose")</f>
        <v>Bull Moose</v>
      </c>
      <c r="F478" s="63">
        <f>IFERROR(__xludf.DUMMYFUNCTION("""COMPUTED_VALUE"""),40895.0)</f>
        <v>40895</v>
      </c>
    </row>
    <row r="479">
      <c r="A479" s="59" t="str">
        <f>IFERROR(__xludf.DUMMYFUNCTION("""COMPUTED_VALUE"""),"Magnetic Billiards: Blueprint")</f>
        <v>Magnetic Billiards: Blueprint</v>
      </c>
      <c r="B479" s="60"/>
      <c r="C479" s="61" t="str">
        <f>IFERROR(__xludf.DUMMYFUNCTION("""COMPUTED_VALUE"""),"Yes")</f>
        <v>Yes</v>
      </c>
      <c r="D479" s="62"/>
      <c r="E479" s="61"/>
      <c r="F479" s="41"/>
    </row>
    <row r="480">
      <c r="A480" s="59" t="str">
        <f>IFERROR(__xludf.DUMMYFUNCTION("""COMPUTED_VALUE"""),"Magzter")</f>
        <v>Magzter</v>
      </c>
      <c r="B480" s="60"/>
      <c r="C480" s="61" t="str">
        <f>IFERROR(__xludf.DUMMYFUNCTION("""COMPUTED_VALUE"""),"Yes")</f>
        <v>Yes</v>
      </c>
      <c r="D480" s="62" t="str">
        <f>IFERROR(__xludf.DUMMYFUNCTION("""COMPUTED_VALUE"""),"Can purchase magazines")</f>
        <v>Can purchase magazines</v>
      </c>
      <c r="E480" s="61" t="str">
        <f>IFERROR(__xludf.DUMMYFUNCTION("""COMPUTED_VALUE"""),"chowlala")</f>
        <v>chowlala</v>
      </c>
      <c r="F480" s="63">
        <f>IFERROR(__xludf.DUMMYFUNCTION("""COMPUTED_VALUE"""),40946.0)</f>
        <v>40946</v>
      </c>
    </row>
    <row r="481">
      <c r="A481" s="59" t="str">
        <f>IFERROR(__xludf.DUMMYFUNCTION("""COMPUTED_VALUE"""),"MailShot")</f>
        <v>MailShot</v>
      </c>
      <c r="B481" s="60" t="str">
        <f>IFERROR(__xludf.DUMMYFUNCTION("""COMPUTED_VALUE"""),"2.0")</f>
        <v>2.0</v>
      </c>
      <c r="C481" s="61" t="str">
        <f>IFERROR(__xludf.DUMMYFUNCTION("""COMPUTED_VALUE"""),"Yes")</f>
        <v>Yes</v>
      </c>
      <c r="D481" s="62" t="str">
        <f>IFERROR(__xludf.DUMMYFUNCTION("""COMPUTED_VALUE"""),"Upgrade to be able to add more than 6 contacts")</f>
        <v>Upgrade to be able to add more than 6 contacts</v>
      </c>
      <c r="E481" s="61" t="str">
        <f>IFERROR(__xludf.DUMMYFUNCTION("""COMPUTED_VALUE"""),"carlinhos")</f>
        <v>carlinhos</v>
      </c>
      <c r="F481" s="63">
        <f>IFERROR(__xludf.DUMMYFUNCTION("""COMPUTED_VALUE"""),41092.0)</f>
        <v>41092</v>
      </c>
    </row>
    <row r="482">
      <c r="A482" s="59" t="str">
        <f>IFERROR(__xludf.DUMMYFUNCTION("""COMPUTED_VALUE"""),"Make A Zombie")</f>
        <v>Make A Zombie</v>
      </c>
      <c r="B482" s="60"/>
      <c r="C482" s="61" t="str">
        <f>IFERROR(__xludf.DUMMYFUNCTION("""COMPUTED_VALUE"""),"Yes")</f>
        <v>Yes</v>
      </c>
      <c r="D482" s="62" t="str">
        <f>IFERROR(__xludf.DUMMYFUNCTION("""COMPUTED_VALUE"""),"Works well.")</f>
        <v>Works well.</v>
      </c>
      <c r="E482" s="61"/>
      <c r="F482" s="41"/>
    </row>
    <row r="483">
      <c r="A483" s="59" t="str">
        <f>IFERROR(__xludf.DUMMYFUNCTION("""COMPUTED_VALUE"""),"Make An Animal")</f>
        <v>Make An Animal</v>
      </c>
      <c r="B483" s="60"/>
      <c r="C483" s="61" t="str">
        <f>IFERROR(__xludf.DUMMYFUNCTION("""COMPUTED_VALUE"""),"Yes")</f>
        <v>Yes</v>
      </c>
      <c r="D483" s="62"/>
      <c r="E483" s="61"/>
      <c r="F483" s="41"/>
    </row>
    <row r="484">
      <c r="A484" s="59" t="str">
        <f>IFERROR(__xludf.DUMMYFUNCTION("""COMPUTED_VALUE"""),"Mall Stars")</f>
        <v>Mall Stars</v>
      </c>
      <c r="B484" s="60" t="str">
        <f>IFERROR(__xludf.DUMMYFUNCTION("""COMPUTED_VALUE"""),"1.4.12")</f>
        <v>1.4.12</v>
      </c>
      <c r="C484" s="61" t="str">
        <f>IFERROR(__xludf.DUMMYFUNCTION("""COMPUTED_VALUE"""),"Yes")</f>
        <v>Yes</v>
      </c>
      <c r="D484" s="62" t="str">
        <f>IFERROR(__xludf.DUMMYFUNCTION("""COMPUTED_VALUE"""),"Can Buy Everything")</f>
        <v>Can Buy Everything</v>
      </c>
      <c r="E484" s="61" t="str">
        <f>IFERROR(__xludf.DUMMYFUNCTION("""COMPUTED_VALUE"""),"someone")</f>
        <v>someone</v>
      </c>
      <c r="F484" s="63">
        <f>IFERROR(__xludf.DUMMYFUNCTION("""COMPUTED_VALUE"""),41159.0)</f>
        <v>41159</v>
      </c>
    </row>
    <row r="485">
      <c r="A485" s="59" t="str">
        <f>IFERROR(__xludf.DUMMYFUNCTION("""COMPUTED_VALUE"""),"Malý bůh - Pod paprsky Zářícího")</f>
        <v>Malý bůh - Pod paprsky Zářícího</v>
      </c>
      <c r="B485" s="60"/>
      <c r="C485" s="61" t="str">
        <f>IFERROR(__xludf.DUMMYFUNCTION("""COMPUTED_VALUE"""),"Yes")</f>
        <v>Yes</v>
      </c>
      <c r="D485" s="62" t="str">
        <f>IFERROR(__xludf.DUMMYFUNCTION("""COMPUTED_VALUE"""),"Purchase all comixes")</f>
        <v>Purchase all comixes</v>
      </c>
      <c r="E485" s="61" t="str">
        <f>IFERROR(__xludf.DUMMYFUNCTION("""COMPUTED_VALUE"""),"KeceRim")</f>
        <v>KeceRim</v>
      </c>
      <c r="F485" s="63">
        <f>IFERROR(__xludf.DUMMYFUNCTION("""COMPUTED_VALUE"""),40935.0)</f>
        <v>40935</v>
      </c>
    </row>
    <row r="486">
      <c r="A486" s="59" t="str">
        <f>IFERROR(__xludf.DUMMYFUNCTION("""COMPUTED_VALUE"""),"Man vs Machine")</f>
        <v>Man vs Machine</v>
      </c>
      <c r="B486" s="60"/>
      <c r="C486" s="61" t="str">
        <f>IFERROR(__xludf.DUMMYFUNCTION("""COMPUTED_VALUE"""),"Yes")</f>
        <v>Yes</v>
      </c>
      <c r="D486" s="62" t="str">
        <f>IFERROR(__xludf.DUMMYFUNCTION("""COMPUTED_VALUE"""),"Works perfectly for all purchases")</f>
        <v>Works perfectly for all purchases</v>
      </c>
      <c r="E486" s="61" t="str">
        <f>IFERROR(__xludf.DUMMYFUNCTION("""COMPUTED_VALUE"""),"migui.aguilar")</f>
        <v>migui.aguilar</v>
      </c>
      <c r="F486" s="63">
        <f>IFERROR(__xludf.DUMMYFUNCTION("""COMPUTED_VALUE"""),40945.0)</f>
        <v>40945</v>
      </c>
    </row>
    <row r="487">
      <c r="A487" s="59" t="str">
        <f>IFERROR(__xludf.DUMMYFUNCTION("""COMPUTED_VALUE"""),"Mancala FS5")</f>
        <v>Mancala FS5</v>
      </c>
      <c r="B487" s="60"/>
      <c r="C487" s="61" t="str">
        <f>IFERROR(__xludf.DUMMYFUNCTION("""COMPUTED_VALUE"""),"Yes")</f>
        <v>Yes</v>
      </c>
      <c r="D487" s="62" t="str">
        <f>IFERROR(__xludf.DUMMYFUNCTION("""COMPUTED_VALUE"""),"Purchase Credits")</f>
        <v>Purchase Credits</v>
      </c>
      <c r="E487" s="61" t="str">
        <f>IFERROR(__xludf.DUMMYFUNCTION("""COMPUTED_VALUE"""),"Duces")</f>
        <v>Duces</v>
      </c>
      <c r="F487" s="63">
        <f>IFERROR(__xludf.DUMMYFUNCTION("""COMPUTED_VALUE"""),40898.0)</f>
        <v>40898</v>
      </c>
    </row>
    <row r="488">
      <c r="A488" s="59" t="str">
        <f>IFERROR(__xludf.DUMMYFUNCTION("""COMPUTED_VALUE"""),"Manga Rock")</f>
        <v>Manga Rock</v>
      </c>
      <c r="B488" s="60"/>
      <c r="C488" s="61" t="str">
        <f>IFERROR(__xludf.DUMMYFUNCTION("""COMPUTED_VALUE"""),"Yes")</f>
        <v>Yes</v>
      </c>
      <c r="D488" s="62" t="str">
        <f>IFERROR(__xludf.DUMMYFUNCTION("""COMPUTED_VALUE"""),"Free → Unlocked Version")</f>
        <v>Free → Unlocked Version</v>
      </c>
      <c r="E488" s="61" t="str">
        <f>IFERROR(__xludf.DUMMYFUNCTION("""COMPUTED_VALUE"""),"ShinSee")</f>
        <v>ShinSee</v>
      </c>
      <c r="F488" s="63">
        <f>IFERROR(__xludf.DUMMYFUNCTION("""COMPUTED_VALUE"""),40906.0)</f>
        <v>40906</v>
      </c>
    </row>
    <row r="489">
      <c r="A489" s="59" t="str">
        <f>IFERROR(__xludf.DUMMYFUNCTION("""COMPUTED_VALUE"""),"Maps+")</f>
        <v>Maps+</v>
      </c>
      <c r="B489" s="60"/>
      <c r="C489" s="61" t="str">
        <f>IFERROR(__xludf.DUMMYFUNCTION("""COMPUTED_VALUE"""),"Yes")</f>
        <v>Yes</v>
      </c>
      <c r="D489" s="62"/>
      <c r="E489" s="61" t="str">
        <f>IFERROR(__xludf.DUMMYFUNCTION("""COMPUTED_VALUE"""),"fbloise")</f>
        <v>fbloise</v>
      </c>
      <c r="F489" s="63">
        <f>IFERROR(__xludf.DUMMYFUNCTION("""COMPUTED_VALUE"""),40771.0)</f>
        <v>40771</v>
      </c>
    </row>
    <row r="490">
      <c r="A490" s="59" t="str">
        <f>IFERROR(__xludf.DUMMYFUNCTION("""COMPUTED_VALUE"""),"Marathon")</f>
        <v>Marathon</v>
      </c>
      <c r="B490" s="60"/>
      <c r="C490" s="61" t="str">
        <f>IFERROR(__xludf.DUMMYFUNCTION("""COMPUTED_VALUE"""),"Yes")</f>
        <v>Yes</v>
      </c>
      <c r="D490" s="62" t="str">
        <f>IFERROR(__xludf.DUMMYFUNCTION("""COMPUTED_VALUE"""),"Can purchase all items")</f>
        <v>Can purchase all items</v>
      </c>
      <c r="E490" s="61"/>
      <c r="F490" s="63">
        <f>IFERROR(__xludf.DUMMYFUNCTION("""COMPUTED_VALUE"""),40936.0)</f>
        <v>40936</v>
      </c>
    </row>
    <row r="491">
      <c r="A491" s="59" t="str">
        <f>IFERROR(__xludf.DUMMYFUNCTION("""COMPUTED_VALUE"""),"Mask of Ninja: Last Hero")</f>
        <v>Mask of Ninja: Last Hero</v>
      </c>
      <c r="B491" s="60"/>
      <c r="C491" s="61" t="str">
        <f>IFERROR(__xludf.DUMMYFUNCTION("""COMPUTED_VALUE"""),"Yes")</f>
        <v>Yes</v>
      </c>
      <c r="D491" s="62" t="str">
        <f>IFERROR(__xludf.DUMMYFUNCTION("""COMPUTED_VALUE"""),"Buy soul")</f>
        <v>Buy soul</v>
      </c>
      <c r="E491" s="61" t="str">
        <f>IFERROR(__xludf.DUMMYFUNCTION("""COMPUTED_VALUE"""),"phatpham")</f>
        <v>phatpham</v>
      </c>
      <c r="F491" s="63">
        <f>IFERROR(__xludf.DUMMYFUNCTION("""COMPUTED_VALUE"""),40898.0)</f>
        <v>40898</v>
      </c>
    </row>
    <row r="492">
      <c r="A492" s="59" t="str">
        <f>IFERROR(__xludf.DUMMYFUNCTION("""COMPUTED_VALUE"""),"Masterpiece!")</f>
        <v>Masterpiece!</v>
      </c>
      <c r="B492" s="60"/>
      <c r="C492" s="61" t="str">
        <f>IFERROR(__xludf.DUMMYFUNCTION("""COMPUTED_VALUE"""),"Yes")</f>
        <v>Yes</v>
      </c>
      <c r="D492" s="62" t="str">
        <f>IFERROR(__xludf.DUMMYFUNCTION("""COMPUTED_VALUE"""),"Works perfect! just press on a pic and everything will get unlocked!")</f>
        <v>Works perfect! just press on a pic and everything will get unlocked!</v>
      </c>
      <c r="E492" s="61" t="str">
        <f>IFERROR(__xludf.DUMMYFUNCTION("""COMPUTED_VALUE"""),"Greek-Immortal")</f>
        <v>Greek-Immortal</v>
      </c>
      <c r="F492" s="63">
        <f>IFERROR(__xludf.DUMMYFUNCTION("""COMPUTED_VALUE"""),40905.0)</f>
        <v>40905</v>
      </c>
    </row>
    <row r="493">
      <c r="A493" s="59" t="str">
        <f>IFERROR(__xludf.DUMMYFUNCTION("""COMPUTED_VALUE"""),"Maxim")</f>
        <v>Maxim</v>
      </c>
      <c r="B493" s="60"/>
      <c r="C493" s="61" t="str">
        <f>IFERROR(__xludf.DUMMYFUNCTION("""COMPUTED_VALUE"""),"Yes")</f>
        <v>Yes</v>
      </c>
      <c r="D493" s="62" t="str">
        <f>IFERROR(__xludf.DUMMYFUNCTION("""COMPUTED_VALUE"""),"Dowload avalible for the isuues.")</f>
        <v>Dowload avalible for the isuues.</v>
      </c>
      <c r="E493" s="61" t="str">
        <f>IFERROR(__xludf.DUMMYFUNCTION("""COMPUTED_VALUE"""),"Flashter")</f>
        <v>Flashter</v>
      </c>
      <c r="F493" s="63">
        <f>IFERROR(__xludf.DUMMYFUNCTION("""COMPUTED_VALUE"""),40886.0)</f>
        <v>40886</v>
      </c>
    </row>
    <row r="494">
      <c r="A494" s="59" t="str">
        <f>IFERROR(__xludf.DUMMYFUNCTION("""COMPUTED_VALUE"""),"Mega Jump")</f>
        <v>Mega Jump</v>
      </c>
      <c r="B494" s="60"/>
      <c r="C494" s="61" t="str">
        <f>IFERROR(__xludf.DUMMYFUNCTION("""COMPUTED_VALUE"""),"Yes")</f>
        <v>Yes</v>
      </c>
      <c r="D494" s="62" t="str">
        <f>IFERROR(__xludf.DUMMYFUNCTION("""COMPUTED_VALUE"""),"Everything works perfectly.")</f>
        <v>Everything works perfectly.</v>
      </c>
      <c r="E494" s="61" t="str">
        <f>IFERROR(__xludf.DUMMYFUNCTION("""COMPUTED_VALUE"""),"HellRiderX")</f>
        <v>HellRiderX</v>
      </c>
      <c r="F494" s="63">
        <f>IFERROR(__xludf.DUMMYFUNCTION("""COMPUTED_VALUE"""),40888.0)</f>
        <v>40888</v>
      </c>
    </row>
    <row r="495">
      <c r="A495" s="59" t="str">
        <f>IFERROR(__xludf.DUMMYFUNCTION("""COMPUTED_VALUE"""),"Mega Worm")</f>
        <v>Mega Worm</v>
      </c>
      <c r="B495" s="60"/>
      <c r="C495" s="61" t="str">
        <f>IFERROR(__xludf.DUMMYFUNCTION("""COMPUTED_VALUE"""),"Yes")</f>
        <v>Yes</v>
      </c>
      <c r="D495" s="62"/>
      <c r="E495" s="61" t="str">
        <f>IFERROR(__xludf.DUMMYFUNCTION("""COMPUTED_VALUE"""),"rctgamer3")</f>
        <v>rctgamer3</v>
      </c>
      <c r="F495" s="63">
        <f>IFERROR(__xludf.DUMMYFUNCTION("""COMPUTED_VALUE"""),40871.0)</f>
        <v>40871</v>
      </c>
    </row>
    <row r="496">
      <c r="A496" s="59" t="str">
        <f>IFERROR(__xludf.DUMMYFUNCTION("""COMPUTED_VALUE"""),"MegaJump")</f>
        <v>MegaJump</v>
      </c>
      <c r="B496" s="60"/>
      <c r="C496" s="61" t="str">
        <f>IFERROR(__xludf.DUMMYFUNCTION("""COMPUTED_VALUE"""),"Yes")</f>
        <v>Yes</v>
      </c>
      <c r="D496" s="62" t="str">
        <f>IFERROR(__xludf.DUMMYFUNCTION("""COMPUTED_VALUE"""),"Can purchase coins and unlock things")</f>
        <v>Can purchase coins and unlock things</v>
      </c>
      <c r="E496" s="61" t="str">
        <f>IFERROR(__xludf.DUMMYFUNCTION("""COMPUTED_VALUE"""),"Gamecom")</f>
        <v>Gamecom</v>
      </c>
      <c r="F496" s="63">
        <f>IFERROR(__xludf.DUMMYFUNCTION("""COMPUTED_VALUE"""),40909.0)</f>
        <v>40909</v>
      </c>
    </row>
    <row r="497">
      <c r="A497" s="59" t="str">
        <f>IFERROR(__xludf.DUMMYFUNCTION("""COMPUTED_VALUE"""),"Megaman X")</f>
        <v>Megaman X</v>
      </c>
      <c r="B497" s="60"/>
      <c r="C497" s="61" t="str">
        <f>IFERROR(__xludf.DUMMYFUNCTION("""COMPUTED_VALUE"""),"Yes")</f>
        <v>Yes</v>
      </c>
      <c r="D497" s="62" t="str">
        <f>IFERROR(__xludf.DUMMYFUNCTION("""COMPUTED_VALUE"""),"Works on 3GS but not 4 Edit: Works on iphone 4 with ios 5.0.1")</f>
        <v>Works on 3GS but not 4 Edit: Works on iphone 4 with ios 5.0.1</v>
      </c>
      <c r="E497" s="61" t="str">
        <f>IFERROR(__xludf.DUMMYFUNCTION("""COMPUTED_VALUE"""),"penandlim")</f>
        <v>penandlim</v>
      </c>
      <c r="F497" s="63">
        <f>IFERROR(__xludf.DUMMYFUNCTION("""COMPUTED_VALUE"""),40904.0)</f>
        <v>40904</v>
      </c>
    </row>
    <row r="498">
      <c r="A498" s="59" t="str">
        <f>IFERROR(__xludf.DUMMYFUNCTION("""COMPUTED_VALUE"""),"Menagerie")</f>
        <v>Menagerie</v>
      </c>
      <c r="B498" s="60"/>
      <c r="C498" s="61" t="str">
        <f>IFERROR(__xludf.DUMMYFUNCTION("""COMPUTED_VALUE"""),"Yes")</f>
        <v>Yes</v>
      </c>
      <c r="D498" s="62" t="str">
        <f>IFERROR(__xludf.DUMMYFUNCTION("""COMPUTED_VALUE"""),"Unlocks all Wallpaper collections")</f>
        <v>Unlocks all Wallpaper collections</v>
      </c>
      <c r="E498" s="61" t="str">
        <f>IFERROR(__xludf.DUMMYFUNCTION("""COMPUTED_VALUE"""),"IamAwesom3")</f>
        <v>IamAwesom3</v>
      </c>
      <c r="F498" s="63">
        <f>IFERROR(__xludf.DUMMYFUNCTION("""COMPUTED_VALUE"""),40932.0)</f>
        <v>40932</v>
      </c>
    </row>
    <row r="499">
      <c r="A499" s="59" t="str">
        <f>IFERROR(__xludf.DUMMYFUNCTION("""COMPUTED_VALUE"""),"Mercenary Inc")</f>
        <v>Mercenary Inc</v>
      </c>
      <c r="B499" s="60" t="str">
        <f>IFERROR(__xludf.DUMMYFUNCTION("""COMPUTED_VALUE"""),"1.0.0")</f>
        <v>1.0.0</v>
      </c>
      <c r="C499" s="61" t="str">
        <f>IFERROR(__xludf.DUMMYFUNCTION("""COMPUTED_VALUE"""),"Yes")</f>
        <v>Yes</v>
      </c>
      <c r="D499" s="62" t="str">
        <f>IFERROR(__xludf.DUMMYFUNCTION("""COMPUTED_VALUE"""),"Everything Works")</f>
        <v>Everything Works</v>
      </c>
      <c r="E499" s="61">
        <f>IFERROR(__xludf.DUMMYFUNCTION("""COMPUTED_VALUE"""),6102.0)</f>
        <v>6102</v>
      </c>
      <c r="F499" s="63">
        <f>IFERROR(__xludf.DUMMYFUNCTION("""COMPUTED_VALUE"""),40883.0)</f>
        <v>40883</v>
      </c>
    </row>
    <row r="500">
      <c r="A500" s="59" t="str">
        <f>IFERROR(__xludf.DUMMYFUNCTION("""COMPUTED_VALUE"""),"Meta 11-12")</f>
        <v>Meta 11-12</v>
      </c>
      <c r="B500" s="60"/>
      <c r="C500" s="61" t="str">
        <f>IFERROR(__xludf.DUMMYFUNCTION("""COMPUTED_VALUE"""),"Yes")</f>
        <v>Yes</v>
      </c>
      <c r="D500" s="62" t="str">
        <f>IFERROR(__xludf.DUMMYFUNCTION("""COMPUTED_VALUE"""),"Works flawless, get everything within in-app purchase")</f>
        <v>Works flawless, get everything within in-app purchase</v>
      </c>
      <c r="E500" s="61" t="str">
        <f>IFERROR(__xludf.DUMMYFUNCTION("""COMPUTED_VALUE"""),"LuckyLuq")</f>
        <v>LuckyLuq</v>
      </c>
      <c r="F500" s="41"/>
    </row>
    <row r="501">
      <c r="A501" s="59" t="str">
        <f>IFERROR(__xludf.DUMMYFUNCTION("""COMPUTED_VALUE"""),"Michael Jackson: The Experience")</f>
        <v>Michael Jackson: The Experience</v>
      </c>
      <c r="B501" s="60"/>
      <c r="C501" s="61" t="str">
        <f>IFERROR(__xludf.DUMMYFUNCTION("""COMPUTED_VALUE"""),"Yes")</f>
        <v>Yes</v>
      </c>
      <c r="D501" s="62" t="str">
        <f>IFERROR(__xludf.DUMMYFUNCTION("""COMPUTED_VALUE"""),"Works perfectly for all purchases")</f>
        <v>Works perfectly for all purchases</v>
      </c>
      <c r="E501" s="61" t="str">
        <f>IFERROR(__xludf.DUMMYFUNCTION("""COMPUTED_VALUE"""),"Arleno")</f>
        <v>Arleno</v>
      </c>
      <c r="F501" s="41"/>
    </row>
    <row r="502">
      <c r="A502" s="59" t="str">
        <f>IFERROR(__xludf.DUMMYFUNCTION("""COMPUTED_VALUE"""),"Microsoft OneNote")</f>
        <v>Microsoft OneNote</v>
      </c>
      <c r="B502" s="60"/>
      <c r="C502" s="61" t="str">
        <f>IFERROR(__xludf.DUMMYFUNCTION("""COMPUTED_VALUE"""),"Yes")</f>
        <v>Yes</v>
      </c>
      <c r="D502" s="62"/>
      <c r="E502" s="61"/>
      <c r="F502" s="41"/>
    </row>
    <row r="503">
      <c r="A503" s="59" t="str">
        <f>IFERROR(__xludf.DUMMYFUNCTION("""COMPUTED_VALUE"""),"Microsoft OneNote for iPad")</f>
        <v>Microsoft OneNote for iPad</v>
      </c>
      <c r="B503" s="60"/>
      <c r="C503" s="61" t="str">
        <f>IFERROR(__xludf.DUMMYFUNCTION("""COMPUTED_VALUE"""),"Yes")</f>
        <v>Yes</v>
      </c>
      <c r="D503" s="62" t="str">
        <f>IFERROR(__xludf.DUMMYFUNCTION("""COMPUTED_VALUE"""),"""You can now edit and create notes""")</f>
        <v>"You can now edit and create notes"</v>
      </c>
      <c r="E503" s="61" t="str">
        <f>IFERROR(__xludf.DUMMYFUNCTION("""COMPUTED_VALUE"""),"ThePreserver")</f>
        <v>ThePreserver</v>
      </c>
      <c r="F503" s="63">
        <f>IFERROR(__xludf.DUMMYFUNCTION("""COMPUTED_VALUE"""),40890.0)</f>
        <v>40890</v>
      </c>
    </row>
    <row r="504">
      <c r="A504" s="59" t="str">
        <f>IFERROR(__xludf.DUMMYFUNCTION("""COMPUTED_VALUE"""),"Millionaire Tycoon")</f>
        <v>Millionaire Tycoon</v>
      </c>
      <c r="B504" s="60"/>
      <c r="C504" s="61" t="str">
        <f>IFERROR(__xludf.DUMMYFUNCTION("""COMPUTED_VALUE"""),"Yes")</f>
        <v>Yes</v>
      </c>
      <c r="D504" s="62" t="str">
        <f>IFERROR(__xludf.DUMMYFUNCTION("""COMPUTED_VALUE"""),"6.7 Can purchase levels pack")</f>
        <v>6.7 Can purchase levels pack</v>
      </c>
      <c r="E504" s="61" t="str">
        <f>IFERROR(__xludf.DUMMYFUNCTION("""COMPUTED_VALUE"""),"Keigo@ZA")</f>
        <v>Keigo@ZA</v>
      </c>
      <c r="F504" s="63">
        <f>IFERROR(__xludf.DUMMYFUNCTION("""COMPUTED_VALUE"""),40949.0)</f>
        <v>40949</v>
      </c>
    </row>
    <row r="505">
      <c r="A505" s="59" t="str">
        <f>IFERROR(__xludf.DUMMYFUNCTION("""COMPUTED_VALUE"""),"Mindsnacks French")</f>
        <v>Mindsnacks French</v>
      </c>
      <c r="B505" s="60"/>
      <c r="C505" s="61" t="str">
        <f>IFERROR(__xludf.DUMMYFUNCTION("""COMPUTED_VALUE"""),"Yes")</f>
        <v>Yes</v>
      </c>
      <c r="D505" s="62" t="str">
        <f>IFERROR(__xludf.DUMMYFUNCTION("""COMPUTED_VALUE"""),"Unlock all lessons")</f>
        <v>Unlock all lessons</v>
      </c>
      <c r="E505" s="61" t="str">
        <f>IFERROR(__xludf.DUMMYFUNCTION("""COMPUTED_VALUE"""),"Testeriap")</f>
        <v>Testeriap</v>
      </c>
      <c r="F505" s="63">
        <f>IFERROR(__xludf.DUMMYFUNCTION("""COMPUTED_VALUE"""),40923.0)</f>
        <v>40923</v>
      </c>
    </row>
    <row r="506">
      <c r="A506" s="59" t="str">
        <f>IFERROR(__xludf.DUMMYFUNCTION("""COMPUTED_VALUE"""),"Mini Motor Racing")</f>
        <v>Mini Motor Racing</v>
      </c>
      <c r="B506" s="60"/>
      <c r="C506" s="61" t="str">
        <f>IFERROR(__xludf.DUMMYFUNCTION("""COMPUTED_VALUE"""),"Yes")</f>
        <v>Yes</v>
      </c>
      <c r="D506" s="62" t="str">
        <f>IFERROR(__xludf.DUMMYFUNCTION("""COMPUTED_VALUE"""),"Career Cash")</f>
        <v>Career Cash</v>
      </c>
      <c r="E506" s="61">
        <f>IFERROR(__xludf.DUMMYFUNCTION("""COMPUTED_VALUE"""),6102.0)</f>
        <v>6102</v>
      </c>
      <c r="F506" s="63">
        <f>IFERROR(__xludf.DUMMYFUNCTION("""COMPUTED_VALUE"""),40885.0)</f>
        <v>40885</v>
      </c>
    </row>
    <row r="507">
      <c r="A507" s="59" t="str">
        <f>IFERROR(__xludf.DUMMYFUNCTION("""COMPUTED_VALUE"""),"Mini Pets")</f>
        <v>Mini Pets</v>
      </c>
      <c r="B507" s="60"/>
      <c r="C507" s="61" t="str">
        <f>IFERROR(__xludf.DUMMYFUNCTION("""COMPUTED_VALUE"""),"Yes")</f>
        <v>Yes</v>
      </c>
      <c r="D507" s="62"/>
      <c r="E507" s="61" t="str">
        <f>IFERROR(__xludf.DUMMYFUNCTION("""COMPUTED_VALUE"""),"pongo")</f>
        <v>pongo</v>
      </c>
      <c r="F507" s="63">
        <f>IFERROR(__xludf.DUMMYFUNCTION("""COMPUTED_VALUE"""),40911.0)</f>
        <v>40911</v>
      </c>
    </row>
    <row r="508">
      <c r="A508" s="59" t="str">
        <f>IFERROR(__xludf.DUMMYFUNCTION("""COMPUTED_VALUE"""),"Miso Music: Plectrum")</f>
        <v>Miso Music: Plectrum</v>
      </c>
      <c r="B508" s="60"/>
      <c r="C508" s="61" t="str">
        <f>IFERROR(__xludf.DUMMYFUNCTION("""COMPUTED_VALUE"""),"Yes")</f>
        <v>Yes</v>
      </c>
      <c r="D508" s="62" t="str">
        <f>IFERROR(__xludf.DUMMYFUNCTION("""COMPUTED_VALUE"""),"Buy guitar (etc) tabs, instruments. Program crashes constantly for presumably unrelated reasons (iOS 4.3x), not worth using")</f>
        <v>Buy guitar (etc) tabs, instruments. Program crashes constantly for presumably unrelated reasons (iOS 4.3x), not worth using</v>
      </c>
      <c r="E508" s="61" t="str">
        <f>IFERROR(__xludf.DUMMYFUNCTION("""COMPUTED_VALUE"""),"TheJuice")</f>
        <v>TheJuice</v>
      </c>
      <c r="F508" s="63">
        <f>IFERROR(__xludf.DUMMYFUNCTION("""COMPUTED_VALUE"""),40904.0)</f>
        <v>40904</v>
      </c>
    </row>
    <row r="509">
      <c r="A509" s="59" t="str">
        <f>IFERROR(__xludf.DUMMYFUNCTION("""COMPUTED_VALUE"""),"Mixologist")</f>
        <v>Mixologist</v>
      </c>
      <c r="B509" s="60"/>
      <c r="C509" s="61" t="str">
        <f>IFERROR(__xludf.DUMMYFUNCTION("""COMPUTED_VALUE"""),"Yes")</f>
        <v>Yes</v>
      </c>
      <c r="D509" s="62"/>
      <c r="E509" s="61"/>
      <c r="F509" s="41"/>
    </row>
    <row r="510">
      <c r="A510" s="59" t="str">
        <f>IFERROR(__xludf.DUMMYFUNCTION("""COMPUTED_VALUE"""),"Mixr")</f>
        <v>Mixr</v>
      </c>
      <c r="B510" s="60"/>
      <c r="C510" s="61" t="str">
        <f>IFERROR(__xludf.DUMMYFUNCTION("""COMPUTED_VALUE"""),"Yes")</f>
        <v>Yes</v>
      </c>
      <c r="D510" s="62" t="str">
        <f>IFERROR(__xludf.DUMMYFUNCTION("""COMPUTED_VALUE"""),"All store sample packs work")</f>
        <v>All store sample packs work</v>
      </c>
      <c r="E510" s="61" t="str">
        <f>IFERROR(__xludf.DUMMYFUNCTION("""COMPUTED_VALUE"""),"Rubinho")</f>
        <v>Rubinho</v>
      </c>
      <c r="F510" s="63">
        <f>IFERROR(__xludf.DUMMYFUNCTION("""COMPUTED_VALUE"""),40930.0)</f>
        <v>40930</v>
      </c>
    </row>
    <row r="511">
      <c r="A511" s="59" t="str">
        <f>IFERROR(__xludf.DUMMYFUNCTION("""COMPUTED_VALUE"""),"modalityBODY")</f>
        <v>modalityBODY</v>
      </c>
      <c r="B511" s="60">
        <f>IFERROR(__xludf.DUMMYFUNCTION("""COMPUTED_VALUE"""),1.5)</f>
        <v>1.5</v>
      </c>
      <c r="C511" s="61" t="str">
        <f>IFERROR(__xludf.DUMMYFUNCTION("""COMPUTED_VALUE"""),"Yes")</f>
        <v>Yes</v>
      </c>
      <c r="D511" s="62" t="str">
        <f>IFERROR(__xludf.DUMMYFUNCTION("""COMPUTED_VALUE"""),"Works, but ask for AppleID. Use at own risk.")</f>
        <v>Works, but ask for AppleID. Use at own risk.</v>
      </c>
      <c r="E511" s="61" t="str">
        <f>IFERROR(__xludf.DUMMYFUNCTION("""COMPUTED_VALUE"""),"kokswtsih")</f>
        <v>kokswtsih</v>
      </c>
      <c r="F511" s="63">
        <f>IFERROR(__xludf.DUMMYFUNCTION("""COMPUTED_VALUE"""),40972.0)</f>
        <v>40972</v>
      </c>
    </row>
    <row r="512">
      <c r="A512" s="59" t="str">
        <f>IFERROR(__xludf.DUMMYFUNCTION("""COMPUTED_VALUE"""),"Modern Conflict 2")</f>
        <v>Modern Conflict 2</v>
      </c>
      <c r="B512" s="60"/>
      <c r="C512" s="61" t="str">
        <f>IFERROR(__xludf.DUMMYFUNCTION("""COMPUTED_VALUE"""),"Yes")</f>
        <v>Yes</v>
      </c>
      <c r="D512" s="62"/>
      <c r="E512" s="61" t="str">
        <f>IFERROR(__xludf.DUMMYFUNCTION("""COMPUTED_VALUE"""),"luudaigiang")</f>
        <v>luudaigiang</v>
      </c>
      <c r="F512" s="63">
        <f>IFERROR(__xludf.DUMMYFUNCTION("""COMPUTED_VALUE"""),40918.0)</f>
        <v>40918</v>
      </c>
    </row>
    <row r="513">
      <c r="A513" s="59" t="str">
        <f>IFERROR(__xludf.DUMMYFUNCTION("""COMPUTED_VALUE"""),"ModMyI")</f>
        <v>ModMyI</v>
      </c>
      <c r="B513" s="60"/>
      <c r="C513" s="61" t="str">
        <f>IFERROR(__xludf.DUMMYFUNCTION("""COMPUTED_VALUE"""),"Yes")</f>
        <v>Yes</v>
      </c>
      <c r="D513" s="62" t="str">
        <f>IFERROR(__xludf.DUMMYFUNCTION("""COMPUTED_VALUE"""),"Ad removal instructions: Tap button once, restart app.")</f>
        <v>Ad removal instructions: Tap button once, restart app.</v>
      </c>
      <c r="E513" s="61" t="str">
        <f>IFERROR(__xludf.DUMMYFUNCTION("""COMPUTED_VALUE"""),"rctgamer3")</f>
        <v>rctgamer3</v>
      </c>
      <c r="F513" s="63">
        <f>IFERROR(__xludf.DUMMYFUNCTION("""COMPUTED_VALUE"""),40887.0)</f>
        <v>40887</v>
      </c>
    </row>
    <row r="514">
      <c r="A514" s="59" t="str">
        <f>IFERROR(__xludf.DUMMYFUNCTION("""COMPUTED_VALUE"""),"Moment Diary")</f>
        <v>Moment Diary</v>
      </c>
      <c r="B514" s="60"/>
      <c r="C514" s="61" t="str">
        <f>IFERROR(__xludf.DUMMYFUNCTION("""COMPUTED_VALUE"""),"Yes")</f>
        <v>Yes</v>
      </c>
      <c r="D514" s="62" t="str">
        <f>IFERROR(__xludf.DUMMYFUNCTION("""COMPUTED_VALUE"""),"Purchase and install ")</f>
        <v>Purchase and install </v>
      </c>
      <c r="E514" s="61" t="str">
        <f>IFERROR(__xludf.DUMMYFUNCTION("""COMPUTED_VALUE"""),"Reaper")</f>
        <v>Reaper</v>
      </c>
      <c r="F514" s="63">
        <f>IFERROR(__xludf.DUMMYFUNCTION("""COMPUTED_VALUE"""),40904.0)</f>
        <v>40904</v>
      </c>
    </row>
    <row r="515">
      <c r="A515" s="59" t="str">
        <f>IFERROR(__xludf.DUMMYFUNCTION("""COMPUTED_VALUE"""),"Monster")</f>
        <v>Monster</v>
      </c>
      <c r="B515" s="60"/>
      <c r="C515" s="61" t="str">
        <f>IFERROR(__xludf.DUMMYFUNCTION("""COMPUTED_VALUE"""),"Yes")</f>
        <v>Yes</v>
      </c>
      <c r="D515" s="62"/>
      <c r="E515" s="61" t="str">
        <f>IFERROR(__xludf.DUMMYFUNCTION("""COMPUTED_VALUE"""),"Victorinoxdxd")</f>
        <v>Victorinoxdxd</v>
      </c>
      <c r="F515" s="63">
        <f>IFERROR(__xludf.DUMMYFUNCTION("""COMPUTED_VALUE"""),40951.0)</f>
        <v>40951</v>
      </c>
    </row>
    <row r="516">
      <c r="A516" s="59" t="str">
        <f>IFERROR(__xludf.DUMMYFUNCTION("""COMPUTED_VALUE"""),"Monster City")</f>
        <v>Monster City</v>
      </c>
      <c r="B516" s="60"/>
      <c r="C516" s="61" t="str">
        <f>IFERROR(__xludf.DUMMYFUNCTION("""COMPUTED_VALUE"""),"Yes")</f>
        <v>Yes</v>
      </c>
      <c r="D516" s="62" t="str">
        <f>IFERROR(__xludf.DUMMYFUNCTION("""COMPUTED_VALUE"""),"Works for everything")</f>
        <v>Works for everything</v>
      </c>
      <c r="E516" s="61"/>
      <c r="F516" s="63">
        <f>IFERROR(__xludf.DUMMYFUNCTION("""COMPUTED_VALUE"""),41005.0)</f>
        <v>41005</v>
      </c>
    </row>
    <row r="517">
      <c r="A517" s="59" t="str">
        <f>IFERROR(__xludf.DUMMYFUNCTION("""COMPUTED_VALUE"""),"Monster Galaxy")</f>
        <v>Monster Galaxy</v>
      </c>
      <c r="B517" s="60"/>
      <c r="C517" s="61" t="str">
        <f>IFERROR(__xludf.DUMMYFUNCTION("""COMPUTED_VALUE"""),"Yes")</f>
        <v>Yes</v>
      </c>
      <c r="D517" s="62"/>
      <c r="E517" s="61" t="str">
        <f>IFERROR(__xludf.DUMMYFUNCTION("""COMPUTED_VALUE"""),"zeLLFF8")</f>
        <v>zeLLFF8</v>
      </c>
      <c r="F517" s="63">
        <f>IFERROR(__xludf.DUMMYFUNCTION("""COMPUTED_VALUE"""),40872.0)</f>
        <v>40872</v>
      </c>
    </row>
    <row r="518">
      <c r="A518" s="59" t="str">
        <f>IFERROR(__xludf.DUMMYFUNCTION("""COMPUTED_VALUE"""),"Monster Galaxy : the zodiac islands")</f>
        <v>Monster Galaxy : the zodiac islands</v>
      </c>
      <c r="B518" s="60"/>
      <c r="C518" s="61" t="str">
        <f>IFERROR(__xludf.DUMMYFUNCTION("""COMPUTED_VALUE"""),"Yes")</f>
        <v>Yes</v>
      </c>
      <c r="D518" s="62" t="str">
        <f>IFERROR(__xludf.DUMMYFUNCTION("""COMPUTED_VALUE"""),"works perfectly for all purchases.")</f>
        <v>works perfectly for all purchases.</v>
      </c>
      <c r="E518" s="61" t="str">
        <f>IFERROR(__xludf.DUMMYFUNCTION("""COMPUTED_VALUE"""),"GalXiOn")</f>
        <v>GalXiOn</v>
      </c>
      <c r="F518" s="63">
        <f>IFERROR(__xludf.DUMMYFUNCTION("""COMPUTED_VALUE"""),40945.0)</f>
        <v>40945</v>
      </c>
    </row>
    <row r="519">
      <c r="A519" s="59" t="str">
        <f>IFERROR(__xludf.DUMMYFUNCTION("""COMPUTED_VALUE"""),"Monster Island")</f>
        <v>Monster Island</v>
      </c>
      <c r="B519" s="60"/>
      <c r="C519" s="61" t="str">
        <f>IFERROR(__xludf.DUMMYFUNCTION("""COMPUTED_VALUE"""),"Yes")</f>
        <v>Yes</v>
      </c>
      <c r="D519" s="62" t="str">
        <f>IFERROR(__xludf.DUMMYFUNCTION("""COMPUTED_VALUE"""),"Can purchase all in store")</f>
        <v>Can purchase all in store</v>
      </c>
      <c r="E519" s="61" t="str">
        <f>IFERROR(__xludf.DUMMYFUNCTION("""COMPUTED_VALUE"""),"playboy6006")</f>
        <v>playboy6006</v>
      </c>
      <c r="F519" s="63">
        <f>IFERROR(__xludf.DUMMYFUNCTION("""COMPUTED_VALUE"""),40888.0)</f>
        <v>40888</v>
      </c>
    </row>
    <row r="520">
      <c r="A520" s="59" t="str">
        <f>IFERROR(__xludf.DUMMYFUNCTION("""COMPUTED_VALUE"""),"Monster Pet shop ")</f>
        <v>Monster Pet shop </v>
      </c>
      <c r="B520" s="60"/>
      <c r="C520" s="61" t="str">
        <f>IFERROR(__xludf.DUMMYFUNCTION("""COMPUTED_VALUE"""),"Yes")</f>
        <v>Yes</v>
      </c>
      <c r="D520" s="62"/>
      <c r="E520" s="61" t="str">
        <f>IFERROR(__xludf.DUMMYFUNCTION("""COMPUTED_VALUE"""),"Maxo396")</f>
        <v>Maxo396</v>
      </c>
      <c r="F520" s="63">
        <f>IFERROR(__xludf.DUMMYFUNCTION("""COMPUTED_VALUE"""),40876.0)</f>
        <v>40876</v>
      </c>
    </row>
    <row r="521">
      <c r="A521" s="59" t="str">
        <f>IFERROR(__xludf.DUMMYFUNCTION("""COMPUTED_VALUE"""),"Monster Shooter")</f>
        <v>Monster Shooter</v>
      </c>
      <c r="B521" s="60"/>
      <c r="C521" s="61" t="str">
        <f>IFERROR(__xludf.DUMMYFUNCTION("""COMPUTED_VALUE"""),"Yes")</f>
        <v>Yes</v>
      </c>
      <c r="D521" s="62"/>
      <c r="E521" s="61" t="str">
        <f>IFERROR(__xludf.DUMMYFUNCTION("""COMPUTED_VALUE"""),"TheJuice")</f>
        <v>TheJuice</v>
      </c>
      <c r="F521" s="63">
        <f>IFERROR(__xludf.DUMMYFUNCTION("""COMPUTED_VALUE"""),40906.0)</f>
        <v>40906</v>
      </c>
    </row>
    <row r="522">
      <c r="A522" s="59" t="str">
        <f>IFERROR(__xludf.DUMMYFUNCTION("""COMPUTED_VALUE"""),"Monster Zombie 2: Undead Hunter")</f>
        <v>Monster Zombie 2: Undead Hunter</v>
      </c>
      <c r="B522" s="60"/>
      <c r="C522" s="61" t="str">
        <f>IFERROR(__xludf.DUMMYFUNCTION("""COMPUTED_VALUE"""),"Yes")</f>
        <v>Yes</v>
      </c>
      <c r="D522" s="62"/>
      <c r="E522" s="61"/>
      <c r="F522" s="41"/>
    </row>
    <row r="523">
      <c r="A523" s="59" t="str">
        <f>IFERROR(__xludf.DUMMYFUNCTION("""COMPUTED_VALUE"""),"MonTowers")</f>
        <v>MonTowers</v>
      </c>
      <c r="B523" s="60" t="str">
        <f>IFERROR(__xludf.DUMMYFUNCTION("""COMPUTED_VALUE"""),"1.2.1")</f>
        <v>1.2.1</v>
      </c>
      <c r="C523" s="61" t="str">
        <f>IFERROR(__xludf.DUMMYFUNCTION("""COMPUTED_VALUE"""),"Yes")</f>
        <v>Yes</v>
      </c>
      <c r="D523" s="62" t="str">
        <f>IFERROR(__xludf.DUMMYFUNCTION("""COMPUTED_VALUE"""),"Can Buy Coins")</f>
        <v>Can Buy Coins</v>
      </c>
      <c r="E523" s="61"/>
      <c r="F523" s="41"/>
    </row>
    <row r="524">
      <c r="A524" s="59" t="str">
        <f>IFERROR(__xludf.DUMMYFUNCTION("""COMPUTED_VALUE"""),"Morfo")</f>
        <v>Morfo</v>
      </c>
      <c r="B524" s="60"/>
      <c r="C524" s="61" t="str">
        <f>IFERROR(__xludf.DUMMYFUNCTION("""COMPUTED_VALUE"""),"Yes")</f>
        <v>Yes</v>
      </c>
      <c r="D524" s="62" t="str">
        <f>IFERROR(__xludf.DUMMYFUNCTION("""COMPUTED_VALUE"""),"Works great with all in-app.")</f>
        <v>Works great with all in-app.</v>
      </c>
      <c r="E524" s="61" t="str">
        <f>IFERROR(__xludf.DUMMYFUNCTION("""COMPUTED_VALUE"""),"Greek-Immortal")</f>
        <v>Greek-Immortal</v>
      </c>
      <c r="F524" s="63">
        <f>IFERROR(__xludf.DUMMYFUNCTION("""COMPUTED_VALUE"""),40915.0)</f>
        <v>40915</v>
      </c>
    </row>
    <row r="525">
      <c r="A525" s="59" t="str">
        <f>IFERROR(__xludf.DUMMYFUNCTION("""COMPUTED_VALUE"""),"Mortal Skies ")</f>
        <v>Mortal Skies </v>
      </c>
      <c r="B525" s="60"/>
      <c r="C525" s="61" t="str">
        <f>IFERROR(__xludf.DUMMYFUNCTION("""COMPUTED_VALUE"""),"Yes")</f>
        <v>Yes</v>
      </c>
      <c r="D525" s="62"/>
      <c r="E525" s="61" t="str">
        <f>IFERROR(__xludf.DUMMYFUNCTION("""COMPUTED_VALUE"""),"zus")</f>
        <v>zus</v>
      </c>
      <c r="F525" s="63">
        <f>IFERROR(__xludf.DUMMYFUNCTION("""COMPUTED_VALUE"""),40945.0)</f>
        <v>40945</v>
      </c>
    </row>
    <row r="526">
      <c r="A526" s="59" t="str">
        <f>IFERROR(__xludf.DUMMYFUNCTION("""COMPUTED_VALUE"""),"Mortal Skies 2")</f>
        <v>Mortal Skies 2</v>
      </c>
      <c r="B526" s="60"/>
      <c r="C526" s="61" t="str">
        <f>IFERROR(__xludf.DUMMYFUNCTION("""COMPUTED_VALUE"""),"Yes")</f>
        <v>Yes</v>
      </c>
      <c r="D526" s="62"/>
      <c r="E526" s="61" t="str">
        <f>IFERROR(__xludf.DUMMYFUNCTION("""COMPUTED_VALUE"""),"zus")</f>
        <v>zus</v>
      </c>
      <c r="F526" s="63">
        <f>IFERROR(__xludf.DUMMYFUNCTION("""COMPUTED_VALUE"""),40945.0)</f>
        <v>40945</v>
      </c>
    </row>
    <row r="527">
      <c r="A527" s="59" t="str">
        <f>IFERROR(__xludf.DUMMYFUNCTION("""COMPUTED_VALUE"""),"MotoHeroz")</f>
        <v>MotoHeroz</v>
      </c>
      <c r="B527" s="60"/>
      <c r="C527" s="61" t="str">
        <f>IFERROR(__xludf.DUMMYFUNCTION("""COMPUTED_VALUE"""),"Yes")</f>
        <v>Yes</v>
      </c>
      <c r="D527" s="62" t="str">
        <f>IFERROR(__xludf.DUMMYFUNCTION("""COMPUTED_VALUE"""),"All Purchases Work")</f>
        <v>All Purchases Work</v>
      </c>
      <c r="E527" s="61" t="str">
        <f>IFERROR(__xludf.DUMMYFUNCTION("""COMPUTED_VALUE"""),"FalconUruguay")</f>
        <v>FalconUruguay</v>
      </c>
      <c r="F527" s="41" t="str">
        <f>IFERROR(__xludf.DUMMYFUNCTION("""COMPUTED_VALUE"""),"25-05-12")</f>
        <v>25-05-12</v>
      </c>
    </row>
    <row r="528">
      <c r="A528" s="59" t="str">
        <f>IFERROR(__xludf.DUMMYFUNCTION("""COMPUTED_VALUE"""),"Mouse Maze")</f>
        <v>Mouse Maze</v>
      </c>
      <c r="B528" s="60"/>
      <c r="C528" s="61" t="str">
        <f>IFERROR(__xludf.DUMMYFUNCTION("""COMPUTED_VALUE"""),"Yes")</f>
        <v>Yes</v>
      </c>
      <c r="D528" s="62" t="str">
        <f>IFERROR(__xludf.DUMMYFUNCTION("""COMPUTED_VALUE"""),"Unlock all")</f>
        <v>Unlock all</v>
      </c>
      <c r="E528" s="61" t="str">
        <f>IFERROR(__xludf.DUMMYFUNCTION("""COMPUTED_VALUE"""),"playboy6006 &amp;
Beffwee")</f>
        <v>playboy6006 &amp;
Beffwee</v>
      </c>
      <c r="F528" s="63">
        <f>IFERROR(__xludf.DUMMYFUNCTION("""COMPUTED_VALUE"""),40888.0)</f>
        <v>40888</v>
      </c>
    </row>
    <row r="529">
      <c r="A529" s="59" t="str">
        <f>IFERROR(__xludf.DUMMYFUNCTION("""COMPUTED_VALUE"""),"Move it!")</f>
        <v>Move it!</v>
      </c>
      <c r="B529" s="60">
        <f>IFERROR(__xludf.DUMMYFUNCTION("""COMPUTED_VALUE"""),1.1)</f>
        <v>1.1</v>
      </c>
      <c r="C529" s="61" t="str">
        <f>IFERROR(__xludf.DUMMYFUNCTION("""COMPUTED_VALUE"""),"Yes")</f>
        <v>Yes</v>
      </c>
      <c r="D529" s="62" t="str">
        <f>IFERROR(__xludf.DUMMYFUNCTION("""COMPUTED_VALUE"""),"You can purchase new levels")</f>
        <v>You can purchase new levels</v>
      </c>
      <c r="E529" s="61" t="str">
        <f>IFERROR(__xludf.DUMMYFUNCTION("""COMPUTED_VALUE"""),"Prometeo17")</f>
        <v>Prometeo17</v>
      </c>
      <c r="F529" s="63">
        <f>IFERROR(__xludf.DUMMYFUNCTION("""COMPUTED_VALUE"""),40959.0)</f>
        <v>40959</v>
      </c>
    </row>
    <row r="530">
      <c r="A530" s="59" t="str">
        <f>IFERROR(__xludf.DUMMYFUNCTION("""COMPUTED_VALUE"""),"Muffin Knight")</f>
        <v>Muffin Knight</v>
      </c>
      <c r="B530" s="60"/>
      <c r="C530" s="61" t="str">
        <f>IFERROR(__xludf.DUMMYFUNCTION("""COMPUTED_VALUE"""),"Yes")</f>
        <v>Yes</v>
      </c>
      <c r="D530" s="62"/>
      <c r="E530" s="61" t="str">
        <f>IFERROR(__xludf.DUMMYFUNCTION("""COMPUTED_VALUE"""),"ISOHaven")</f>
        <v>ISOHaven</v>
      </c>
      <c r="F530" s="63">
        <f>IFERROR(__xludf.DUMMYFUNCTION("""COMPUTED_VALUE"""),40884.0)</f>
        <v>40884</v>
      </c>
    </row>
    <row r="531">
      <c r="A531" s="59" t="str">
        <f>IFERROR(__xludf.DUMMYFUNCTION("""COMPUTED_VALUE"""),"Muffin Knight FREE")</f>
        <v>Muffin Knight FREE</v>
      </c>
      <c r="B531" s="60">
        <f>IFERROR(__xludf.DUMMYFUNCTION("""COMPUTED_VALUE"""),1.5)</f>
        <v>1.5</v>
      </c>
      <c r="C531" s="61" t="str">
        <f>IFERROR(__xludf.DUMMYFUNCTION("""COMPUTED_VALUE"""),"Yes")</f>
        <v>Yes</v>
      </c>
      <c r="D531" s="62" t="str">
        <f>IFERROR(__xludf.DUMMYFUNCTION("""COMPUTED_VALUE"""),"Can purchase level up points.")</f>
        <v>Can purchase level up points.</v>
      </c>
      <c r="E531" s="61" t="str">
        <f>IFERROR(__xludf.DUMMYFUNCTION("""COMPUTED_VALUE"""),"Natsuu")</f>
        <v>Natsuu</v>
      </c>
      <c r="F531" s="63">
        <f>IFERROR(__xludf.DUMMYFUNCTION("""COMPUTED_VALUE"""),41041.0)</f>
        <v>41041</v>
      </c>
    </row>
    <row r="532">
      <c r="A532" s="59" t="str">
        <f>IFERROR(__xludf.DUMMYFUNCTION("""COMPUTED_VALUE"""),"MultiTrack DAW")</f>
        <v>MultiTrack DAW</v>
      </c>
      <c r="B532" s="60"/>
      <c r="C532" s="61" t="str">
        <f>IFERROR(__xludf.DUMMYFUNCTION("""COMPUTED_VALUE"""),"Yes")</f>
        <v>Yes</v>
      </c>
      <c r="D532" s="62" t="str">
        <f>IFERROR(__xludf.DUMMYFUNCTION("""COMPUTED_VALUE"""),"purchase 16 stereo tracks layer ,")</f>
        <v>purchase 16 stereo tracks layer ,</v>
      </c>
      <c r="E532" s="61"/>
      <c r="F532" s="63">
        <f>IFERROR(__xludf.DUMMYFUNCTION("""COMPUTED_VALUE"""),40939.0)</f>
        <v>40939</v>
      </c>
    </row>
    <row r="533">
      <c r="A533" s="59" t="str">
        <f>IFERROR(__xludf.DUMMYFUNCTION("""COMPUTED_VALUE"""),"Mushroom Cannon")</f>
        <v>Mushroom Cannon</v>
      </c>
      <c r="B533" s="60"/>
      <c r="C533" s="61" t="str">
        <f>IFERROR(__xludf.DUMMYFUNCTION("""COMPUTED_VALUE"""),"Yes")</f>
        <v>Yes</v>
      </c>
      <c r="D533" s="62"/>
      <c r="E533" s="61" t="str">
        <f>IFERROR(__xludf.DUMMYFUNCTION("""COMPUTED_VALUE"""),"mytich")</f>
        <v>mytich</v>
      </c>
      <c r="F533" s="63">
        <f>IFERROR(__xludf.DUMMYFUNCTION("""COMPUTED_VALUE"""),40793.7604166667)</f>
        <v>40793.76042</v>
      </c>
    </row>
    <row r="534">
      <c r="A534" s="59" t="str">
        <f>IFERROR(__xludf.DUMMYFUNCTION("""COMPUTED_VALUE"""),"Mushroom War")</f>
        <v>Mushroom War</v>
      </c>
      <c r="B534" s="60"/>
      <c r="C534" s="61" t="str">
        <f>IFERROR(__xludf.DUMMYFUNCTION("""COMPUTED_VALUE"""),"Yes")</f>
        <v>Yes</v>
      </c>
      <c r="D534" s="62" t="str">
        <f>IFERROR(__xludf.DUMMYFUNCTION("""COMPUTED_VALUE"""),"work 100% v.1.2")</f>
        <v>work 100% v.1.2</v>
      </c>
      <c r="E534" s="61" t="str">
        <f>IFERROR(__xludf.DUMMYFUNCTION("""COMPUTED_VALUE"""),"fi6e")</f>
        <v>fi6e</v>
      </c>
      <c r="F534" s="63">
        <f>IFERROR(__xludf.DUMMYFUNCTION("""COMPUTED_VALUE"""),40939.0)</f>
        <v>40939</v>
      </c>
    </row>
    <row r="535">
      <c r="A535" s="59" t="str">
        <f>IFERROR(__xludf.DUMMYFUNCTION("""COMPUTED_VALUE"""),"Music Studio 2.")</f>
        <v>Music Studio 2.</v>
      </c>
      <c r="B535" s="60"/>
      <c r="C535" s="61" t="str">
        <f>IFERROR(__xludf.DUMMYFUNCTION("""COMPUTED_VALUE"""),"Yes")</f>
        <v>Yes</v>
      </c>
      <c r="D535" s="62" t="str">
        <f>IFERROR(__xludf.DUMMYFUNCTION("""COMPUTED_VALUE"""),"Purchase ALL Instruments .. tested version 2.0.3 on 3GS and IPad2 ")</f>
        <v>Purchase ALL Instruments .. tested version 2.0.3 on 3GS and IPad2 </v>
      </c>
      <c r="E535" s="61" t="str">
        <f>IFERROR(__xludf.DUMMYFUNCTION("""COMPUTED_VALUE"""),"Omar")</f>
        <v>Omar</v>
      </c>
      <c r="F535" s="63">
        <f>IFERROR(__xludf.DUMMYFUNCTION("""COMPUTED_VALUE"""),40913.0)</f>
        <v>40913</v>
      </c>
    </row>
    <row r="536">
      <c r="A536" s="59" t="str">
        <f>IFERROR(__xludf.DUMMYFUNCTION("""COMPUTED_VALUE"""),"My Brute")</f>
        <v>My Brute</v>
      </c>
      <c r="B536" s="60"/>
      <c r="C536" s="61" t="str">
        <f>IFERROR(__xludf.DUMMYFUNCTION("""COMPUTED_VALUE"""),"Yes")</f>
        <v>Yes</v>
      </c>
      <c r="D536" s="62" t="str">
        <f>IFERROR(__xludf.DUMMYFUNCTION("""COMPUTED_VALUE"""),"Liek A Bawsz. It works!")</f>
        <v>Liek A Bawsz. It works!</v>
      </c>
      <c r="E536" s="61" t="str">
        <f>IFERROR(__xludf.DUMMYFUNCTION("""COMPUTED_VALUE"""),"Karmazz")</f>
        <v>Karmazz</v>
      </c>
      <c r="F536" s="63">
        <f>IFERROR(__xludf.DUMMYFUNCTION("""COMPUTED_VALUE"""),40928.0)</f>
        <v>40928</v>
      </c>
    </row>
    <row r="537">
      <c r="A537" s="59" t="str">
        <f>IFERROR(__xludf.DUMMYFUNCTION("""COMPUTED_VALUE"""),"My Car Salon Pro")</f>
        <v>My Car Salon Pro</v>
      </c>
      <c r="B537" s="60"/>
      <c r="C537" s="61" t="str">
        <f>IFERROR(__xludf.DUMMYFUNCTION("""COMPUTED_VALUE"""),"Yes")</f>
        <v>Yes</v>
      </c>
      <c r="D537" s="62"/>
      <c r="E537" s="61"/>
      <c r="F537" s="41"/>
    </row>
    <row r="538">
      <c r="A538" s="59" t="str">
        <f>IFERROR(__xludf.DUMMYFUNCTION("""COMPUTED_VALUE"""),"My Clinic")</f>
        <v>My Clinic</v>
      </c>
      <c r="B538" s="60"/>
      <c r="C538" s="61" t="str">
        <f>IFERROR(__xludf.DUMMYFUNCTION("""COMPUTED_VALUE"""),"Yes")</f>
        <v>Yes</v>
      </c>
      <c r="D538" s="62"/>
      <c r="E538" s="61" t="str">
        <f>IFERROR(__xludf.DUMMYFUNCTION("""COMPUTED_VALUE"""),"ISOHaven")</f>
        <v>ISOHaven</v>
      </c>
      <c r="F538" s="63">
        <f>IFERROR(__xludf.DUMMYFUNCTION("""COMPUTED_VALUE"""),40884.0)</f>
        <v>40884</v>
      </c>
    </row>
    <row r="539">
      <c r="A539" s="59" t="str">
        <f>IFERROR(__xludf.DUMMYFUNCTION("""COMPUTED_VALUE"""),"My country")</f>
        <v>My country</v>
      </c>
      <c r="B539" s="60"/>
      <c r="C539" s="61" t="str">
        <f>IFERROR(__xludf.DUMMYFUNCTION("""COMPUTED_VALUE"""),"Yes")</f>
        <v>Yes</v>
      </c>
      <c r="D539" s="62" t="str">
        <f>IFERROR(__xludf.DUMMYFUNCTION("""COMPUTED_VALUE"""),"Bucks and money both work all amounts")</f>
        <v>Bucks and money both work all amounts</v>
      </c>
      <c r="E539" s="61" t="str">
        <f>IFERROR(__xludf.DUMMYFUNCTION("""COMPUTED_VALUE"""),"Mahoney")</f>
        <v>Mahoney</v>
      </c>
      <c r="F539" s="63">
        <f>IFERROR(__xludf.DUMMYFUNCTION("""COMPUTED_VALUE"""),40908.0)</f>
        <v>40908</v>
      </c>
    </row>
    <row r="540">
      <c r="A540" s="59" t="str">
        <f>IFERROR(__xludf.DUMMYFUNCTION("""COMPUTED_VALUE"""),"My dragon")</f>
        <v>My dragon</v>
      </c>
      <c r="B540" s="60"/>
      <c r="C540" s="61" t="str">
        <f>IFERROR(__xludf.DUMMYFUNCTION("""COMPUTED_VALUE"""),"Yes")</f>
        <v>Yes</v>
      </c>
      <c r="D540" s="62" t="str">
        <f>IFERROR(__xludf.DUMMYFUNCTION("""COMPUTED_VALUE"""),"Everything works")</f>
        <v>Everything works</v>
      </c>
      <c r="E540" s="61" t="str">
        <f>IFERROR(__xludf.DUMMYFUNCTION("""COMPUTED_VALUE"""),"Psychoticske")</f>
        <v>Psychoticske</v>
      </c>
      <c r="F540" s="63">
        <f>IFERROR(__xludf.DUMMYFUNCTION("""COMPUTED_VALUE"""),41171.0)</f>
        <v>41171</v>
      </c>
    </row>
    <row r="541">
      <c r="A541" s="59" t="str">
        <f>IFERROR(__xludf.DUMMYFUNCTION("""COMPUTED_VALUE"""),"My Eyes Only Pro")</f>
        <v>My Eyes Only Pro</v>
      </c>
      <c r="B541" s="60"/>
      <c r="C541" s="61" t="str">
        <f>IFERROR(__xludf.DUMMYFUNCTION("""COMPUTED_VALUE"""),"Yes")</f>
        <v>Yes</v>
      </c>
      <c r="D541" s="62"/>
      <c r="E541" s="61" t="str">
        <f>IFERROR(__xludf.DUMMYFUNCTION("""COMPUTED_VALUE"""),"Dansco")</f>
        <v>Dansco</v>
      </c>
      <c r="F541" s="63">
        <f>IFERROR(__xludf.DUMMYFUNCTION("""COMPUTED_VALUE"""),40793.0)</f>
        <v>40793</v>
      </c>
    </row>
    <row r="542">
      <c r="A542" s="59" t="str">
        <f>IFERROR(__xludf.DUMMYFUNCTION("""COMPUTED_VALUE"""),"My first find the differences game: Pirates")</f>
        <v>My first find the differences game: Pirates</v>
      </c>
      <c r="B542" s="60"/>
      <c r="C542" s="61" t="str">
        <f>IFERROR(__xludf.DUMMYFUNCTION("""COMPUTED_VALUE"""),"Yes")</f>
        <v>Yes</v>
      </c>
      <c r="D542" s="62" t="str">
        <f>IFERROR(__xludf.DUMMYFUNCTION("""COMPUTED_VALUE"""),"Unlock Pack")</f>
        <v>Unlock Pack</v>
      </c>
      <c r="E542" s="61" t="str">
        <f>IFERROR(__xludf.DUMMYFUNCTION("""COMPUTED_VALUE"""),"Vista2k7")</f>
        <v>Vista2k7</v>
      </c>
      <c r="F542" s="63">
        <f>IFERROR(__xludf.DUMMYFUNCTION("""COMPUTED_VALUE"""),40926.0)</f>
        <v>40926</v>
      </c>
    </row>
    <row r="543">
      <c r="A543" s="59" t="str">
        <f>IFERROR(__xludf.DUMMYFUNCTION("""COMPUTED_VALUE"""),"My first games: find the differences HD")</f>
        <v>My first games: find the differences HD</v>
      </c>
      <c r="B543" s="60"/>
      <c r="C543" s="61" t="str">
        <f>IFERROR(__xludf.DUMMYFUNCTION("""COMPUTED_VALUE"""),"Yes")</f>
        <v>Yes</v>
      </c>
      <c r="D543" s="62" t="str">
        <f>IFERROR(__xludf.DUMMYFUNCTION("""COMPUTED_VALUE"""),"Unlock Pack")</f>
        <v>Unlock Pack</v>
      </c>
      <c r="E543" s="61" t="str">
        <f>IFERROR(__xludf.DUMMYFUNCTION("""COMPUTED_VALUE"""),"Vista2k7")</f>
        <v>Vista2k7</v>
      </c>
      <c r="F543" s="63">
        <f>IFERROR(__xludf.DUMMYFUNCTION("""COMPUTED_VALUE"""),40926.0)</f>
        <v>40926</v>
      </c>
    </row>
    <row r="544">
      <c r="A544" s="59" t="str">
        <f>IFERROR(__xludf.DUMMYFUNCTION("""COMPUTED_VALUE"""),"My first puzzles (Circus HD, Dinosaurs, Snakes)")</f>
        <v>My first puzzles (Circus HD, Dinosaurs, Snakes)</v>
      </c>
      <c r="B544" s="60"/>
      <c r="C544" s="61" t="str">
        <f>IFERROR(__xludf.DUMMYFUNCTION("""COMPUTED_VALUE"""),"Yes")</f>
        <v>Yes</v>
      </c>
      <c r="D544" s="62" t="str">
        <f>IFERROR(__xludf.DUMMYFUNCTION("""COMPUTED_VALUE"""),"Unlock Pack of 11 addtional")</f>
        <v>Unlock Pack of 11 addtional</v>
      </c>
      <c r="E544" s="61" t="str">
        <f>IFERROR(__xludf.DUMMYFUNCTION("""COMPUTED_VALUE"""),"Vista2k7")</f>
        <v>Vista2k7</v>
      </c>
      <c r="F544" s="63">
        <f>IFERROR(__xludf.DUMMYFUNCTION("""COMPUTED_VALUE"""),40926.0)</f>
        <v>40926</v>
      </c>
    </row>
    <row r="545">
      <c r="A545" s="59" t="str">
        <f>IFERROR(__xludf.DUMMYFUNCTION("""COMPUTED_VALUE"""),"MyBrute")</f>
        <v>MyBrute</v>
      </c>
      <c r="B545" s="60"/>
      <c r="C545" s="61" t="str">
        <f>IFERROR(__xludf.DUMMYFUNCTION("""COMPUTED_VALUE"""),"Yes")</f>
        <v>Yes</v>
      </c>
      <c r="D545" s="62" t="str">
        <f>IFERROR(__xludf.DUMMYFUNCTION("""COMPUTED_VALUE"""),"Can buy everything")</f>
        <v>Can buy everything</v>
      </c>
      <c r="E545" s="61"/>
      <c r="F545" s="41"/>
    </row>
    <row r="546">
      <c r="A546" s="59" t="str">
        <f>IFERROR(__xludf.DUMMYFUNCTION("""COMPUTED_VALUE"""),"MyScript Memo")</f>
        <v>MyScript Memo</v>
      </c>
      <c r="B546" s="60"/>
      <c r="C546" s="61" t="str">
        <f>IFERROR(__xludf.DUMMYFUNCTION("""COMPUTED_VALUE"""),"Yes")</f>
        <v>Yes</v>
      </c>
      <c r="D546" s="62" t="str">
        <f>IFERROR(__xludf.DUMMYFUNCTION("""COMPUTED_VALUE"""),"Can unlock export as text")</f>
        <v>Can unlock export as text</v>
      </c>
      <c r="E546" s="61"/>
      <c r="F546" s="41"/>
    </row>
    <row r="547">
      <c r="A547" s="59" t="str">
        <f>IFERROR(__xludf.DUMMYFUNCTION("""COMPUTED_VALUE"""),"Mystery Manor")</f>
        <v>Mystery Manor</v>
      </c>
      <c r="B547" s="60"/>
      <c r="C547" s="61" t="str">
        <f>IFERROR(__xludf.DUMMYFUNCTION("""COMPUTED_VALUE"""),"Yes")</f>
        <v>Yes</v>
      </c>
      <c r="D547" s="62" t="str">
        <f>IFERROR(__xludf.DUMMYFUNCTION("""COMPUTED_VALUE"""),"Every item+currency are purchasable")</f>
        <v>Every item+currency are purchasable</v>
      </c>
      <c r="E547" s="61" t="str">
        <f>IFERROR(__xludf.DUMMYFUNCTION("""COMPUTED_VALUE"""),"Guk")</f>
        <v>Guk</v>
      </c>
      <c r="F547" s="63">
        <f>IFERROR(__xludf.DUMMYFUNCTION("""COMPUTED_VALUE"""),40897.0)</f>
        <v>40897</v>
      </c>
    </row>
    <row r="548">
      <c r="A548" s="59" t="str">
        <f>IFERROR(__xludf.DUMMYFUNCTION("""COMPUTED_VALUE"""),"MyTifi Remote")</f>
        <v>MyTifi Remote</v>
      </c>
      <c r="B548" s="60"/>
      <c r="C548" s="61" t="str">
        <f>IFERROR(__xludf.DUMMYFUNCTION("""COMPUTED_VALUE"""),"Yes")</f>
        <v>Yes</v>
      </c>
      <c r="D548" s="62" t="str">
        <f>IFERROR(__xludf.DUMMYFUNCTION("""COMPUTED_VALUE"""),"Upgrade to pro license (full version)")</f>
        <v>Upgrade to pro license (full version)</v>
      </c>
      <c r="E548" s="61" t="str">
        <f>IFERROR(__xludf.DUMMYFUNCTION("""COMPUTED_VALUE"""),"D3LTA")</f>
        <v>D3LTA</v>
      </c>
      <c r="F548" s="63">
        <f>IFERROR(__xludf.DUMMYFUNCTION("""COMPUTED_VALUE"""),40922.0)</f>
        <v>40922</v>
      </c>
    </row>
    <row r="549">
      <c r="A549" s="59" t="str">
        <f>IFERROR(__xludf.DUMMYFUNCTION("""COMPUTED_VALUE"""),"NAMCO ARCADE")</f>
        <v>NAMCO ARCADE</v>
      </c>
      <c r="B549" s="60"/>
      <c r="C549" s="61" t="str">
        <f>IFERROR(__xludf.DUMMYFUNCTION("""COMPUTED_VALUE"""),"Yes")</f>
        <v>Yes</v>
      </c>
      <c r="D549" s="62" t="str">
        <f>IFERROR(__xludf.DUMMYFUNCTION("""COMPUTED_VALUE"""),"You can purchase Coins/GameMachine")</f>
        <v>You can purchase Coins/GameMachine</v>
      </c>
      <c r="E549" s="61" t="str">
        <f>IFERROR(__xludf.DUMMYFUNCTION("""COMPUTED_VALUE"""),"ThePreserver")</f>
        <v>ThePreserver</v>
      </c>
      <c r="F549" s="63">
        <f>IFERROR(__xludf.DUMMYFUNCTION("""COMPUTED_VALUE"""),40937.0)</f>
        <v>40937</v>
      </c>
    </row>
    <row r="550">
      <c r="A550" s="59" t="str">
        <f>IFERROR(__xludf.DUMMYFUNCTION("""COMPUTED_VALUE"""),"Nanny Mania")</f>
        <v>Nanny Mania</v>
      </c>
      <c r="B550" s="60"/>
      <c r="C550" s="61" t="str">
        <f>IFERROR(__xludf.DUMMYFUNCTION("""COMPUTED_VALUE"""),"Yes")</f>
        <v>Yes</v>
      </c>
      <c r="D550" s="62" t="str">
        <f>IFERROR(__xludf.DUMMYFUNCTION("""COMPUTED_VALUE"""),"all stage")</f>
        <v>all stage</v>
      </c>
      <c r="E550" s="61" t="str">
        <f>IFERROR(__xludf.DUMMYFUNCTION("""COMPUTED_VALUE"""),"Kals")</f>
        <v>Kals</v>
      </c>
      <c r="F550" s="63">
        <f>IFERROR(__xludf.DUMMYFUNCTION("""COMPUTED_VALUE"""),40947.0)</f>
        <v>40947</v>
      </c>
    </row>
    <row r="551">
      <c r="A551" s="59" t="str">
        <f>IFERROR(__xludf.DUMMYFUNCTION("""COMPUTED_VALUE"""),"Navigon")</f>
        <v>Navigon</v>
      </c>
      <c r="B551" s="60"/>
      <c r="C551" s="61" t="str">
        <f>IFERROR(__xludf.DUMMYFUNCTION("""COMPUTED_VALUE"""),"Yes")</f>
        <v>Yes</v>
      </c>
      <c r="D551" s="62" t="str">
        <f>IFERROR(__xludf.DUMMYFUNCTION("""COMPUTED_VALUE"""),"Only work with old version")</f>
        <v>Only work with old version</v>
      </c>
      <c r="E551" s="61"/>
      <c r="F551" s="63">
        <f>IFERROR(__xludf.DUMMYFUNCTION("""COMPUTED_VALUE"""),40897.0)</f>
        <v>40897</v>
      </c>
    </row>
    <row r="552">
      <c r="A552" s="19" t="str">
        <f>IFERROR(__xludf.DUMMYFUNCTION("""COMPUTED_VALUE"""),"NBA.TV")</f>
        <v>NBA.TV</v>
      </c>
      <c r="B552" s="60">
        <f>IFERROR(__xludf.DUMMYFUNCTION("""COMPUTED_VALUE"""),1.3)</f>
        <v>1.3</v>
      </c>
      <c r="C552" s="61" t="str">
        <f>IFERROR(__xludf.DUMMYFUNCTION("""COMPUTED_VALUE"""),"Yes")</f>
        <v>Yes</v>
      </c>
      <c r="D552" s="62" t="str">
        <f>IFERROR(__xludf.DUMMYFUNCTION("""COMPUTED_VALUE"""),"You buy the TV pass and you will get it")</f>
        <v>You buy the TV pass and you will get it</v>
      </c>
      <c r="E552" s="61" t="str">
        <f>IFERROR(__xludf.DUMMYFUNCTION("""COMPUTED_VALUE"""),"Michael Joel")</f>
        <v>Michael Joel</v>
      </c>
      <c r="F552" s="63">
        <f>IFERROR(__xludf.DUMMYFUNCTION("""COMPUTED_VALUE"""),41043.0)</f>
        <v>41043</v>
      </c>
    </row>
    <row r="553">
      <c r="A553" s="59" t="str">
        <f>IFERROR(__xludf.DUMMYFUNCTION("""COMPUTED_VALUE"""),"Neander Block")</f>
        <v>Neander Block</v>
      </c>
      <c r="B553" s="60" t="str">
        <f>IFERROR(__xludf.DUMMYFUNCTION("""COMPUTED_VALUE"""),"Latest")</f>
        <v>Latest</v>
      </c>
      <c r="C553" s="61" t="str">
        <f>IFERROR(__xludf.DUMMYFUNCTION("""COMPUTED_VALUE"""),"Yes")</f>
        <v>Yes</v>
      </c>
      <c r="D553" s="62" t="str">
        <f>IFERROR(__xludf.DUMMYFUNCTION("""COMPUTED_VALUE"""),"Buy Coin Easily")</f>
        <v>Buy Coin Easily</v>
      </c>
      <c r="E553" s="61" t="str">
        <f>IFERROR(__xludf.DUMMYFUNCTION("""COMPUTED_VALUE"""),"baomdc")</f>
        <v>baomdc</v>
      </c>
      <c r="F553" s="63">
        <f>IFERROR(__xludf.DUMMYFUNCTION("""COMPUTED_VALUE"""),41157.0)</f>
        <v>41157</v>
      </c>
    </row>
    <row r="554">
      <c r="A554" s="59" t="str">
        <f>IFERROR(__xludf.DUMMYFUNCTION("""COMPUTED_VALUE"""),"Need for Speed Hot Pursuit")</f>
        <v>Need for Speed Hot Pursuit</v>
      </c>
      <c r="B554" s="60"/>
      <c r="C554" s="61" t="str">
        <f>IFERROR(__xludf.DUMMYFUNCTION("""COMPUTED_VALUE"""),"Yes")</f>
        <v>Yes</v>
      </c>
      <c r="D554" s="62" t="str">
        <f>IFERROR(__xludf.DUMMYFUNCTION("""COMPUTED_VALUE"""),"Tested on cracked v1.0.3")</f>
        <v>Tested on cracked v1.0.3</v>
      </c>
      <c r="E554" s="61" t="str">
        <f>IFERROR(__xludf.DUMMYFUNCTION("""COMPUTED_VALUE"""),"Z1nC")</f>
        <v>Z1nC</v>
      </c>
      <c r="F554" s="63">
        <f>IFERROR(__xludf.DUMMYFUNCTION("""COMPUTED_VALUE"""),40923.0)</f>
        <v>40923</v>
      </c>
    </row>
    <row r="555">
      <c r="A555" s="59" t="str">
        <f>IFERROR(__xludf.DUMMYFUNCTION("""COMPUTED_VALUE"""),"Netcamviewer")</f>
        <v>Netcamviewer</v>
      </c>
      <c r="B555" s="60"/>
      <c r="C555" s="61" t="str">
        <f>IFERROR(__xludf.DUMMYFUNCTION("""COMPUTED_VALUE"""),"Yes")</f>
        <v>Yes</v>
      </c>
      <c r="D555" s="62" t="str">
        <f>IFERROR(__xludf.DUMMYFUNCTION("""COMPUTED_VALUE"""),"Upgrade to more than 2 cameras works")</f>
        <v>Upgrade to more than 2 cameras works</v>
      </c>
      <c r="E555" s="61" t="str">
        <f>IFERROR(__xludf.DUMMYFUNCTION("""COMPUTED_VALUE"""),"Hawkeye")</f>
        <v>Hawkeye</v>
      </c>
      <c r="F555" s="63">
        <f>IFERROR(__xludf.DUMMYFUNCTION("""COMPUTED_VALUE"""),40925.0)</f>
        <v>40925</v>
      </c>
    </row>
    <row r="556">
      <c r="A556" s="59" t="str">
        <f>IFERROR(__xludf.DUMMYFUNCTION("""COMPUTED_VALUE"""),"NetStat")</f>
        <v>NetStat</v>
      </c>
      <c r="B556" s="60"/>
      <c r="C556" s="61" t="str">
        <f>IFERROR(__xludf.DUMMYFUNCTION("""COMPUTED_VALUE"""),"Yes")</f>
        <v>Yes</v>
      </c>
      <c r="D556" s="62"/>
      <c r="E556" s="61" t="str">
        <f>IFERROR(__xludf.DUMMYFUNCTION("""COMPUTED_VALUE"""),"Kaydin")</f>
        <v>Kaydin</v>
      </c>
      <c r="F556" s="63">
        <f>IFERROR(__xludf.DUMMYFUNCTION("""COMPUTED_VALUE"""),40792.7847222222)</f>
        <v>40792.78472</v>
      </c>
    </row>
    <row r="557">
      <c r="A557" s="59" t="str">
        <f>IFERROR(__xludf.DUMMYFUNCTION("""COMPUTED_VALUE"""),"Neuroshima Hex")</f>
        <v>Neuroshima Hex</v>
      </c>
      <c r="B557" s="60"/>
      <c r="C557" s="61" t="str">
        <f>IFERROR(__xludf.DUMMYFUNCTION("""COMPUTED_VALUE"""),"Yes")</f>
        <v>Yes</v>
      </c>
      <c r="D557" s="62" t="str">
        <f>IFERROR(__xludf.DUMMYFUNCTION("""COMPUTED_VALUE"""),"All content")</f>
        <v>All content</v>
      </c>
      <c r="E557" s="61" t="str">
        <f>IFERROR(__xludf.DUMMYFUNCTION("""COMPUTED_VALUE"""),"vidolaem")</f>
        <v>vidolaem</v>
      </c>
      <c r="F557" s="63">
        <f>IFERROR(__xludf.DUMMYFUNCTION("""COMPUTED_VALUE"""),40939.0)</f>
        <v>40939</v>
      </c>
    </row>
    <row r="558">
      <c r="A558" s="59" t="str">
        <f>IFERROR(__xludf.DUMMYFUNCTION("""COMPUTED_VALUE"""),"NHL Game center")</f>
        <v>NHL Game center</v>
      </c>
      <c r="B558" s="60"/>
      <c r="C558" s="61" t="str">
        <f>IFERROR(__xludf.DUMMYFUNCTION("""COMPUTED_VALUE"""),"Yes")</f>
        <v>Yes</v>
      </c>
      <c r="D558" s="62" t="str">
        <f>IFERROR(__xludf.DUMMYFUNCTION("""COMPUTED_VALUE"""),"buys game center premium or game center live ")</f>
        <v>buys game center premium or game center live </v>
      </c>
      <c r="E558" s="61" t="str">
        <f>IFERROR(__xludf.DUMMYFUNCTION("""COMPUTED_VALUE"""),"GOGOME")</f>
        <v>GOGOME</v>
      </c>
      <c r="F558" s="63">
        <f>IFERROR(__xludf.DUMMYFUNCTION("""COMPUTED_VALUE"""),40910.0)</f>
        <v>40910</v>
      </c>
    </row>
    <row r="559">
      <c r="A559" s="59" t="str">
        <f>IFERROR(__xludf.DUMMYFUNCTION("""COMPUTED_VALUE"""),"NightHaven")</f>
        <v>NightHaven</v>
      </c>
      <c r="B559" s="60"/>
      <c r="C559" s="61" t="str">
        <f>IFERROR(__xludf.DUMMYFUNCTION("""COMPUTED_VALUE"""),"Yes")</f>
        <v>Yes</v>
      </c>
      <c r="D559" s="62" t="str">
        <f>IFERROR(__xludf.DUMMYFUNCTION("""COMPUTED_VALUE"""),"Works great!")</f>
        <v>Works great!</v>
      </c>
      <c r="E559" s="61" t="str">
        <f>IFERROR(__xludf.DUMMYFUNCTION("""COMPUTED_VALUE"""),"Greek-Immortal")</f>
        <v>Greek-Immortal</v>
      </c>
      <c r="F559" s="63">
        <f>IFERROR(__xludf.DUMMYFUNCTION("""COMPUTED_VALUE"""),40915.0)</f>
        <v>40915</v>
      </c>
    </row>
    <row r="560">
      <c r="A560" s="59" t="str">
        <f>IFERROR(__xludf.DUMMYFUNCTION("""COMPUTED_VALUE"""),"Niko")</f>
        <v>Niko</v>
      </c>
      <c r="B560" s="60"/>
      <c r="C560" s="61" t="str">
        <f>IFERROR(__xludf.DUMMYFUNCTION("""COMPUTED_VALUE"""),"Yes")</f>
        <v>Yes</v>
      </c>
      <c r="D560" s="62" t="str">
        <f>IFERROR(__xludf.DUMMYFUNCTION("""COMPUTED_VALUE"""),"Unlocks full game")</f>
        <v>Unlocks full game</v>
      </c>
      <c r="E560" s="61" t="str">
        <f>IFERROR(__xludf.DUMMYFUNCTION("""COMPUTED_VALUE"""),"James")</f>
        <v>James</v>
      </c>
      <c r="F560" s="63">
        <f>IFERROR(__xludf.DUMMYFUNCTION("""COMPUTED_VALUE"""),40927.0)</f>
        <v>40927</v>
      </c>
    </row>
    <row r="561">
      <c r="A561" s="59" t="str">
        <f>IFERROR(__xludf.DUMMYFUNCTION("""COMPUTED_VALUE"""),"Ninja Fishing")</f>
        <v>Ninja Fishing</v>
      </c>
      <c r="B561" s="60"/>
      <c r="C561" s="61" t="str">
        <f>IFERROR(__xludf.DUMMYFUNCTION("""COMPUTED_VALUE"""),"Yes")</f>
        <v>Yes</v>
      </c>
      <c r="D561" s="62" t="str">
        <f>IFERROR(__xludf.DUMMYFUNCTION("""COMPUTED_VALUE"""),"Works for buying all items and coins")</f>
        <v>Works for buying all items and coins</v>
      </c>
      <c r="E561" s="61" t="str">
        <f>IFERROR(__xludf.DUMMYFUNCTION("""COMPUTED_VALUE"""),"SpyKiIIer")</f>
        <v>SpyKiIIer</v>
      </c>
      <c r="F561" s="41"/>
    </row>
    <row r="562">
      <c r="A562" s="59" t="str">
        <f>IFERROR(__xludf.DUMMYFUNCTION("""COMPUTED_VALUE"""),"Ninja saga")</f>
        <v>Ninja saga</v>
      </c>
      <c r="B562" s="60" t="str">
        <f>IFERROR(__xludf.DUMMYFUNCTION("""COMPUTED_VALUE"""),"2.1.15")</f>
        <v>2.1.15</v>
      </c>
      <c r="C562" s="61" t="str">
        <f>IFERROR(__xludf.DUMMYFUNCTION("""COMPUTED_VALUE"""),"Yes")</f>
        <v>Yes</v>
      </c>
      <c r="D562" s="62" t="str">
        <f>IFERROR(__xludf.DUMMYFUNCTION("""COMPUTED_VALUE"""),"Buy tonkes ,coins purchase.
")</f>
        <v>Buy tonkes ,coins purchase.
</v>
      </c>
      <c r="E562" s="61" t="str">
        <f>IFERROR(__xludf.DUMMYFUNCTION("""COMPUTED_VALUE"""),"Jesus1000
")</f>
        <v>Jesus1000
</v>
      </c>
      <c r="F562" s="63">
        <f>IFERROR(__xludf.DUMMYFUNCTION("""COMPUTED_VALUE"""),41164.0)</f>
        <v>41164</v>
      </c>
    </row>
    <row r="563">
      <c r="A563" s="59" t="str">
        <f>IFERROR(__xludf.DUMMYFUNCTION("""COMPUTED_VALUE"""),"NinJump")</f>
        <v>NinJump</v>
      </c>
      <c r="B563" s="60"/>
      <c r="C563" s="61" t="str">
        <f>IFERROR(__xludf.DUMMYFUNCTION("""COMPUTED_VALUE"""),"Yes")</f>
        <v>Yes</v>
      </c>
      <c r="D563" s="62" t="str">
        <f>IFERROR(__xludf.DUMMYFUNCTION("""COMPUTED_VALUE"""),"Buy all shields for free.")</f>
        <v>Buy all shields for free.</v>
      </c>
      <c r="E563" s="61" t="str">
        <f>IFERROR(__xludf.DUMMYFUNCTION("""COMPUTED_VALUE"""),"Oshydaka")</f>
        <v>Oshydaka</v>
      </c>
      <c r="F563" s="63">
        <f>IFERROR(__xludf.DUMMYFUNCTION("""COMPUTED_VALUE"""),40953.0)</f>
        <v>40953</v>
      </c>
    </row>
    <row r="564">
      <c r="A564" s="59" t="str">
        <f>IFERROR(__xludf.DUMMYFUNCTION("""COMPUTED_VALUE"""),"NinJump Deluxe")</f>
        <v>NinJump Deluxe</v>
      </c>
      <c r="B564" s="60"/>
      <c r="C564" s="61" t="str">
        <f>IFERROR(__xludf.DUMMYFUNCTION("""COMPUTED_VALUE"""),"Yes")</f>
        <v>Yes</v>
      </c>
      <c r="D564" s="62"/>
      <c r="E564" s="61" t="str">
        <f>IFERROR(__xludf.DUMMYFUNCTION("""COMPUTED_VALUE"""),"Z1nC")</f>
        <v>Z1nC</v>
      </c>
      <c r="F564" s="63">
        <f>IFERROR(__xludf.DUMMYFUNCTION("""COMPUTED_VALUE"""),40891.0)</f>
        <v>40891</v>
      </c>
    </row>
    <row r="565">
      <c r="A565" s="59" t="str">
        <f>IFERROR(__xludf.DUMMYFUNCTION("""COMPUTED_VALUE"""),"Nitro Drag Racing")</f>
        <v>Nitro Drag Racing</v>
      </c>
      <c r="B565" s="60">
        <f>IFERROR(__xludf.DUMMYFUNCTION("""COMPUTED_VALUE"""),1.5)</f>
        <v>1.5</v>
      </c>
      <c r="C565" s="61" t="str">
        <f>IFERROR(__xludf.DUMMYFUNCTION("""COMPUTED_VALUE"""),"Yes")</f>
        <v>Yes</v>
      </c>
      <c r="D565" s="62" t="str">
        <f>IFERROR(__xludf.DUMMYFUNCTION("""COMPUTED_VALUE"""),"Can buy everything")</f>
        <v>Can buy everything</v>
      </c>
      <c r="E565" s="61" t="str">
        <f>IFERROR(__xludf.DUMMYFUNCTION("""COMPUTED_VALUE"""),"CruNkS")</f>
        <v>CruNkS</v>
      </c>
      <c r="F565" s="63">
        <f>IFERROR(__xludf.DUMMYFUNCTION("""COMPUTED_VALUE"""),41159.0)</f>
        <v>41159</v>
      </c>
    </row>
    <row r="566">
      <c r="A566" s="59" t="str">
        <f>IFERROR(__xludf.DUMMYFUNCTION("""COMPUTED_VALUE"""),"Nitro Nation: Drag Racing")</f>
        <v>Nitro Nation: Drag Racing</v>
      </c>
      <c r="B566" s="60" t="str">
        <f>IFERROR(__xludf.DUMMYFUNCTION("""COMPUTED_VALUE"""),"1.0.6")</f>
        <v>1.0.6</v>
      </c>
      <c r="C566" s="61" t="str">
        <f>IFERROR(__xludf.DUMMYFUNCTION("""COMPUTED_VALUE"""),"Yes")</f>
        <v>Yes</v>
      </c>
      <c r="D566" s="62" t="str">
        <f>IFERROR(__xludf.DUMMYFUNCTION("""COMPUTED_VALUE"""),"Respect Points")</f>
        <v>Respect Points</v>
      </c>
      <c r="E566" s="61" t="str">
        <f>IFERROR(__xludf.DUMMYFUNCTION("""COMPUTED_VALUE"""),"NakedFury")</f>
        <v>NakedFury</v>
      </c>
      <c r="F566" s="63">
        <f>IFERROR(__xludf.DUMMYFUNCTION("""COMPUTED_VALUE"""),41159.0)</f>
        <v>41159</v>
      </c>
    </row>
    <row r="567">
      <c r="A567" s="59" t="str">
        <f>IFERROR(__xludf.DUMMYFUNCTION("""COMPUTED_VALUE"""),"No Fear Shakespeare")</f>
        <v>No Fear Shakespeare</v>
      </c>
      <c r="B567" s="60"/>
      <c r="C567" s="61" t="str">
        <f>IFERROR(__xludf.DUMMYFUNCTION("""COMPUTED_VALUE"""),"Yes")</f>
        <v>Yes</v>
      </c>
      <c r="D567" s="62" t="str">
        <f>IFERROR(__xludf.DUMMYFUNCTION("""COMPUTED_VALUE"""),"Can purchase all 18 plays")</f>
        <v>Can purchase all 18 plays</v>
      </c>
      <c r="E567" s="61" t="str">
        <f>IFERROR(__xludf.DUMMYFUNCTION("""COMPUTED_VALUE"""),"Elyktron")</f>
        <v>Elyktron</v>
      </c>
      <c r="F567" s="63">
        <f>IFERROR(__xludf.DUMMYFUNCTION("""COMPUTED_VALUE"""),40947.0)</f>
        <v>40947</v>
      </c>
    </row>
    <row r="568">
      <c r="A568" s="59" t="str">
        <f>IFERROR(__xludf.DUMMYFUNCTION("""COMPUTED_VALUE"""),"Notes Plus")</f>
        <v>Notes Plus</v>
      </c>
      <c r="B568" s="60"/>
      <c r="C568" s="61" t="str">
        <f>IFERROR(__xludf.DUMMYFUNCTION("""COMPUTED_VALUE"""),"Yes")</f>
        <v>Yes</v>
      </c>
      <c r="D568" s="62" t="str">
        <f>IFERROR(__xludf.DUMMYFUNCTION("""COMPUTED_VALUE"""),"""Convert to text"" - Hand recognition")</f>
        <v>"Convert to text" - Hand recognition</v>
      </c>
      <c r="E568" s="61" t="str">
        <f>IFERROR(__xludf.DUMMYFUNCTION("""COMPUTED_VALUE"""),"-")</f>
        <v>-</v>
      </c>
      <c r="F568" s="63">
        <f>IFERROR(__xludf.DUMMYFUNCTION("""COMPUTED_VALUE"""),40926.0)</f>
        <v>40926</v>
      </c>
    </row>
    <row r="569">
      <c r="A569" s="59" t="str">
        <f>IFERROR(__xludf.DUMMYFUNCTION("""COMPUTED_VALUE"""),"Nuts!")</f>
        <v>Nuts!</v>
      </c>
      <c r="B569" s="60"/>
      <c r="C569" s="61" t="str">
        <f>IFERROR(__xludf.DUMMYFUNCTION("""COMPUTED_VALUE"""),"Yes")</f>
        <v>Yes</v>
      </c>
      <c r="D569" s="62"/>
      <c r="E569" s="61" t="str">
        <f>IFERROR(__xludf.DUMMYFUNCTION("""COMPUTED_VALUE"""),"Persephone")</f>
        <v>Persephone</v>
      </c>
      <c r="F569" s="63">
        <f>IFERROR(__xludf.DUMMYFUNCTION("""COMPUTED_VALUE"""),40816.0)</f>
        <v>40816</v>
      </c>
    </row>
    <row r="570">
      <c r="A570" s="59" t="str">
        <f>IFERROR(__xludf.DUMMYFUNCTION("""COMPUTED_VALUE"""),"Nyan cat: Lost in Space")</f>
        <v>Nyan cat: Lost in Space</v>
      </c>
      <c r="B570" s="60">
        <f>IFERROR(__xludf.DUMMYFUNCTION("""COMPUTED_VALUE"""),2.5)</f>
        <v>2.5</v>
      </c>
      <c r="C570" s="61" t="str">
        <f>IFERROR(__xludf.DUMMYFUNCTION("""COMPUTED_VALUE"""),"Yes")</f>
        <v>Yes</v>
      </c>
      <c r="D570" s="62" t="str">
        <f>IFERROR(__xludf.DUMMYFUNCTION("""COMPUTED_VALUE"""),"Works perfectly, can buy every skin!")</f>
        <v>Works perfectly, can buy every skin!</v>
      </c>
      <c r="E570" s="61" t="str">
        <f>IFERROR(__xludf.DUMMYFUNCTION("""COMPUTED_VALUE"""),"Rickjedebeste")</f>
        <v>Rickjedebeste</v>
      </c>
      <c r="F570" s="63">
        <f>IFERROR(__xludf.DUMMYFUNCTION("""COMPUTED_VALUE"""),40964.0)</f>
        <v>40964</v>
      </c>
    </row>
    <row r="571">
      <c r="A571" s="59" t="str">
        <f>IFERROR(__xludf.DUMMYFUNCTION("""COMPUTED_VALUE"""),"Nyan Cat: Lost in Space
")</f>
        <v>Nyan Cat: Lost in Space
</v>
      </c>
      <c r="B571" s="60"/>
      <c r="C571" s="61" t="str">
        <f>IFERROR(__xludf.DUMMYFUNCTION("""COMPUTED_VALUE"""),"Yes")</f>
        <v>Yes</v>
      </c>
      <c r="D571" s="62" t="str">
        <f>IFERROR(__xludf.DUMMYFUNCTION("""COMPUTED_VALUE"""),"Everything works.")</f>
        <v>Everything works.</v>
      </c>
      <c r="E571" s="61" t="str">
        <f>IFERROR(__xludf.DUMMYFUNCTION("""COMPUTED_VALUE"""),"58book")</f>
        <v>58book</v>
      </c>
      <c r="F571" s="63">
        <f>IFERROR(__xludf.DUMMYFUNCTION("""COMPUTED_VALUE"""),40891.0)</f>
        <v>40891</v>
      </c>
    </row>
    <row r="572">
      <c r="A572" s="59" t="str">
        <f>IFERROR(__xludf.DUMMYFUNCTION("""COMPUTED_VALUE"""),"Obchodní angličtina")</f>
        <v>Obchodní angličtina</v>
      </c>
      <c r="B572" s="60"/>
      <c r="C572" s="61" t="str">
        <f>IFERROR(__xludf.DUMMYFUNCTION("""COMPUTED_VALUE"""),"Yes")</f>
        <v>Yes</v>
      </c>
      <c r="D572" s="62" t="str">
        <f>IFERROR(__xludf.DUMMYFUNCTION("""COMPUTED_VALUE"""),"Can purchase all sessions")</f>
        <v>Can purchase all sessions</v>
      </c>
      <c r="E572" s="61" t="str">
        <f>IFERROR(__xludf.DUMMYFUNCTION("""COMPUTED_VALUE"""),"KeceRim")</f>
        <v>KeceRim</v>
      </c>
      <c r="F572" s="63">
        <f>IFERROR(__xludf.DUMMYFUNCTION("""COMPUTED_VALUE"""),40954.0)</f>
        <v>40954</v>
      </c>
    </row>
    <row r="573">
      <c r="A573" s="59" t="str">
        <f>IFERROR(__xludf.DUMMYFUNCTION("""COMPUTED_VALUE"""),"Office Jerk (series)")</f>
        <v>Office Jerk (series)</v>
      </c>
      <c r="B573" s="60"/>
      <c r="C573" s="61" t="str">
        <f>IFERROR(__xludf.DUMMYFUNCTION("""COMPUTED_VALUE"""),"Yes")</f>
        <v>Yes</v>
      </c>
      <c r="D573" s="62" t="str">
        <f>IFERROR(__xludf.DUMMYFUNCTION("""COMPUTED_VALUE"""),"You can buy all the fun things to throw.")</f>
        <v>You can buy all the fun things to throw.</v>
      </c>
      <c r="E573" s="61"/>
      <c r="F573" s="63">
        <f>IFERROR(__xludf.DUMMYFUNCTION("""COMPUTED_VALUE"""),40887.0)</f>
        <v>40887</v>
      </c>
    </row>
    <row r="574">
      <c r="A574" s="59" t="str">
        <f>IFERROR(__xludf.DUMMYFUNCTION("""COMPUTED_VALUE"""),"Office2 Plus")</f>
        <v>Office2 Plus</v>
      </c>
      <c r="B574" s="60"/>
      <c r="C574" s="61" t="str">
        <f>IFERROR(__xludf.DUMMYFUNCTION("""COMPUTED_VALUE"""),"Yes")</f>
        <v>Yes</v>
      </c>
      <c r="D574" s="62"/>
      <c r="E574" s="61" t="str">
        <f>IFERROR(__xludf.DUMMYFUNCTION("""COMPUTED_VALUE"""),"Dansco")</f>
        <v>Dansco</v>
      </c>
      <c r="F574" s="63">
        <f>IFERROR(__xludf.DUMMYFUNCTION("""COMPUTED_VALUE"""),40793.0)</f>
        <v>40793</v>
      </c>
    </row>
    <row r="575">
      <c r="A575" s="59" t="str">
        <f>IFERROR(__xludf.DUMMYFUNCTION("""COMPUTED_VALUE"""),"Official UEFA EURO 2012")</f>
        <v>Official UEFA EURO 2012</v>
      </c>
      <c r="B575" s="60">
        <f>IFERROR(__xludf.DUMMYFUNCTION("""COMPUTED_VALUE"""),1.1)</f>
        <v>1.1</v>
      </c>
      <c r="C575" s="61" t="str">
        <f>IFERROR(__xludf.DUMMYFUNCTION("""COMPUTED_VALUE"""),"Yes")</f>
        <v>Yes</v>
      </c>
      <c r="D575" s="62" t="str">
        <f>IFERROR(__xludf.DUMMYFUNCTION("""COMPUTED_VALUE"""),"You buy the season pass and you will get it")</f>
        <v>You buy the season pass and you will get it</v>
      </c>
      <c r="E575" s="61" t="str">
        <f>IFERROR(__xludf.DUMMYFUNCTION("""COMPUTED_VALUE"""),"Michael Joel")</f>
        <v>Michael Joel</v>
      </c>
      <c r="F575" s="63">
        <f>IFERROR(__xludf.DUMMYFUNCTION("""COMPUTED_VALUE"""),41043.0)</f>
        <v>41043</v>
      </c>
    </row>
    <row r="576">
      <c r="A576" s="59" t="str">
        <f>IFERROR(__xludf.DUMMYFUNCTION("""COMPUTED_VALUE"""),"OffMaps 2")</f>
        <v>OffMaps 2</v>
      </c>
      <c r="B576" s="60"/>
      <c r="C576" s="61" t="str">
        <f>IFERROR(__xludf.DUMMYFUNCTION("""COMPUTED_VALUE"""),"Yes")</f>
        <v>Yes</v>
      </c>
      <c r="D576" s="62" t="str">
        <f>IFERROR(__xludf.DUMMYFUNCTION("""COMPUTED_VALUE"""),"Can download all maps (Map flatrate active)")</f>
        <v>Can download all maps (Map flatrate active)</v>
      </c>
      <c r="E576" s="61" t="str">
        <f>IFERROR(__xludf.DUMMYFUNCTION("""COMPUTED_VALUE"""),"Testeriap")</f>
        <v>Testeriap</v>
      </c>
      <c r="F576" s="63">
        <f>IFERROR(__xludf.DUMMYFUNCTION("""COMPUTED_VALUE"""),40924.0)</f>
        <v>40924</v>
      </c>
    </row>
    <row r="577">
      <c r="A577" s="59" t="str">
        <f>IFERROR(__xludf.DUMMYFUNCTION("""COMPUTED_VALUE"""),"OH!BURGER")</f>
        <v>OH!BURGER</v>
      </c>
      <c r="B577" s="60"/>
      <c r="C577" s="61" t="str">
        <f>IFERROR(__xludf.DUMMYFUNCTION("""COMPUTED_VALUE"""),"Yes")</f>
        <v>Yes</v>
      </c>
      <c r="D577" s="62" t="str">
        <f>IFERROR(__xludf.DUMMYFUNCTION("""COMPUTED_VALUE"""),"**Workaround: disable iAP (SBS toggle), enter the game, until it gets the product price, re-enable iAP, and it should work.")</f>
        <v>**Workaround: disable iAP (SBS toggle), enter the game, until it gets the product price, re-enable iAP, and it should work.</v>
      </c>
      <c r="E577" s="61" t="str">
        <f>IFERROR(__xludf.DUMMYFUNCTION("""COMPUTED_VALUE"""),"fss003124")</f>
        <v>fss003124</v>
      </c>
      <c r="F577" s="63">
        <f>IFERROR(__xludf.DUMMYFUNCTION("""COMPUTED_VALUE"""),40955.0)</f>
        <v>40955</v>
      </c>
    </row>
    <row r="578">
      <c r="A578" s="59" t="str">
        <f>IFERROR(__xludf.DUMMYFUNCTION("""COMPUTED_VALUE"""),"OH!SUSHI")</f>
        <v>OH!SUSHI</v>
      </c>
      <c r="B578" s="60"/>
      <c r="C578" s="61" t="str">
        <f>IFERROR(__xludf.DUMMYFUNCTION("""COMPUTED_VALUE"""),"Yes")</f>
        <v>Yes</v>
      </c>
      <c r="D578" s="62" t="str">
        <f>IFERROR(__xludf.DUMMYFUNCTION("""COMPUTED_VALUE"""),"**Workaround: disable iAP (SBS toggle), enter the game, until it gets the product price, re-enable iAP, and it should work.")</f>
        <v>**Workaround: disable iAP (SBS toggle), enter the game, until it gets the product price, re-enable iAP, and it should work.</v>
      </c>
      <c r="E578" s="61" t="str">
        <f>IFERROR(__xludf.DUMMYFUNCTION("""COMPUTED_VALUE"""),"fss003124")</f>
        <v>fss003124</v>
      </c>
      <c r="F578" s="63">
        <f>IFERROR(__xludf.DUMMYFUNCTION("""COMPUTED_VALUE"""),40955.0)</f>
        <v>40955</v>
      </c>
    </row>
    <row r="579">
      <c r="A579" s="59" t="str">
        <f>IFERROR(__xludf.DUMMYFUNCTION("""COMPUTED_VALUE"""),"Old Booth+")</f>
        <v>Old Booth+</v>
      </c>
      <c r="B579" s="60" t="str">
        <f>IFERROR(__xludf.DUMMYFUNCTION("""COMPUTED_VALUE"""),"4.5.2")</f>
        <v>4.5.2</v>
      </c>
      <c r="C579" s="61" t="str">
        <f>IFERROR(__xludf.DUMMYFUNCTION("""COMPUTED_VALUE"""),"Yes")</f>
        <v>Yes</v>
      </c>
      <c r="D579" s="62" t="str">
        <f>IFERROR(__xludf.DUMMYFUNCTION("""COMPUTED_VALUE"""),"free extra's like 20s pack and 80s pack Program itself?")</f>
        <v>free extra's like 20s pack and 80s pack Program itself?</v>
      </c>
      <c r="E579" s="61" t="str">
        <f>IFERROR(__xludf.DUMMYFUNCTION("""COMPUTED_VALUE"""),"cockatoos")</f>
        <v>cockatoos</v>
      </c>
      <c r="F579" s="63">
        <f>IFERROR(__xludf.DUMMYFUNCTION("""COMPUTED_VALUE"""),40934.0)</f>
        <v>40934</v>
      </c>
    </row>
    <row r="580">
      <c r="A580" s="59" t="str">
        <f>IFERROR(__xludf.DUMMYFUNCTION("""COMPUTED_VALUE"""),"Omega Strikefleet")</f>
        <v>Omega Strikefleet</v>
      </c>
      <c r="B580" s="60" t="str">
        <f>IFERROR(__xludf.DUMMYFUNCTION("""COMPUTED_VALUE"""),"1.1.0")</f>
        <v>1.1.0</v>
      </c>
      <c r="C580" s="61" t="str">
        <f>IFERROR(__xludf.DUMMYFUNCTION("""COMPUTED_VALUE"""),"Yes")</f>
        <v>Yes</v>
      </c>
      <c r="D580" s="62" t="str">
        <f>IFERROR(__xludf.DUMMYFUNCTION("""COMPUTED_VALUE"""),"Can buy Alloys and Megacreds")</f>
        <v>Can buy Alloys and Megacreds</v>
      </c>
      <c r="E580" s="61" t="str">
        <f>IFERROR(__xludf.DUMMYFUNCTION("""COMPUTED_VALUE"""),"NakedFury")</f>
        <v>NakedFury</v>
      </c>
      <c r="F580" s="63">
        <f>IFERROR(__xludf.DUMMYFUNCTION("""COMPUTED_VALUE"""),41099.0)</f>
        <v>41099</v>
      </c>
    </row>
    <row r="581">
      <c r="A581" s="59" t="str">
        <f>IFERROR(__xludf.DUMMYFUNCTION("""COMPUTED_VALUE"""),"Online Sniper League")</f>
        <v>Online Sniper League</v>
      </c>
      <c r="B581" s="60">
        <f>IFERROR(__xludf.DUMMYFUNCTION("""COMPUTED_VALUE"""),1.6)</f>
        <v>1.6</v>
      </c>
      <c r="C581" s="61" t="str">
        <f>IFERROR(__xludf.DUMMYFUNCTION("""COMPUTED_VALUE"""),"Yes")</f>
        <v>Yes</v>
      </c>
      <c r="D581" s="62" t="str">
        <f>IFERROR(__xludf.DUMMYFUNCTION("""COMPUTED_VALUE"""),"Works for all options")</f>
        <v>Works for all options</v>
      </c>
      <c r="E581" s="61" t="str">
        <f>IFERROR(__xludf.DUMMYFUNCTION("""COMPUTED_VALUE"""),"BraveTitan22")</f>
        <v>BraveTitan22</v>
      </c>
      <c r="F581" s="63">
        <f>IFERROR(__xludf.DUMMYFUNCTION("""COMPUTED_VALUE"""),40967.0)</f>
        <v>40967</v>
      </c>
    </row>
    <row r="582">
      <c r="A582" s="59" t="str">
        <f>IFERROR(__xludf.DUMMYFUNCTION("""COMPUTED_VALUE"""),"Orc Vengeance ")</f>
        <v>Orc Vengeance </v>
      </c>
      <c r="B582" s="60" t="str">
        <f>IFERROR(__xludf.DUMMYFUNCTION("""COMPUTED_VALUE"""),"v1.1")</f>
        <v>v1.1</v>
      </c>
      <c r="C582" s="61" t="str">
        <f>IFERROR(__xludf.DUMMYFUNCTION("""COMPUTED_VALUE"""),"Yes")</f>
        <v>Yes</v>
      </c>
      <c r="D582" s="62" t="str">
        <f>IFERROR(__xludf.DUMMYFUNCTION("""COMPUTED_VALUE"""),"BUY ALL GOLD ")</f>
        <v>BUY ALL GOLD </v>
      </c>
      <c r="E582" s="61" t="str">
        <f>IFERROR(__xludf.DUMMYFUNCTION("""COMPUTED_VALUE"""),"AZh")</f>
        <v>AZh</v>
      </c>
      <c r="F582" s="63">
        <f>IFERROR(__xludf.DUMMYFUNCTION("""COMPUTED_VALUE"""),41178.0)</f>
        <v>41178</v>
      </c>
    </row>
    <row r="583">
      <c r="A583" s="59" t="str">
        <f>IFERROR(__xludf.DUMMYFUNCTION("""COMPUTED_VALUE"""),"Order Up!!")</f>
        <v>Order Up!!</v>
      </c>
      <c r="B583" s="60"/>
      <c r="C583" s="61" t="str">
        <f>IFERROR(__xludf.DUMMYFUNCTION("""COMPUTED_VALUE"""),"Yes")</f>
        <v>Yes</v>
      </c>
      <c r="D583" s="62" t="str">
        <f>IFERROR(__xludf.DUMMYFUNCTION("""COMPUTED_VALUE"""),"Get coins to unlock dishes and restaurants")</f>
        <v>Get coins to unlock dishes and restaurants</v>
      </c>
      <c r="E583" s="61" t="str">
        <f>IFERROR(__xludf.DUMMYFUNCTION("""COMPUTED_VALUE"""),"lewarner")</f>
        <v>lewarner</v>
      </c>
      <c r="F583" s="63">
        <f>IFERROR(__xludf.DUMMYFUNCTION("""COMPUTED_VALUE"""),40957.0)</f>
        <v>40957</v>
      </c>
    </row>
    <row r="584">
      <c r="A584" s="59" t="str">
        <f>IFERROR(__xludf.DUMMYFUNCTION("""COMPUTED_VALUE"""),"Origami Instructions - Easy Paper Folding Lessons")</f>
        <v>Origami Instructions - Easy Paper Folding Lessons</v>
      </c>
      <c r="B584" s="60">
        <f>IFERROR(__xludf.DUMMYFUNCTION("""COMPUTED_VALUE"""),1.4)</f>
        <v>1.4</v>
      </c>
      <c r="C584" s="61" t="str">
        <f>IFERROR(__xludf.DUMMYFUNCTION("""COMPUTED_VALUE"""),"Yes")</f>
        <v>Yes</v>
      </c>
      <c r="D584" s="62" t="str">
        <f>IFERROR(__xludf.DUMMYFUNCTION("""COMPUTED_VALUE"""),"Just get more instructions")</f>
        <v>Just get more instructions</v>
      </c>
      <c r="E584" s="61" t="str">
        <f>IFERROR(__xludf.DUMMYFUNCTION("""COMPUTED_VALUE"""),"Adriaanzonn")</f>
        <v>Adriaanzonn</v>
      </c>
      <c r="F584" s="63">
        <f>IFERROR(__xludf.DUMMYFUNCTION("""COMPUTED_VALUE"""),40964.0)</f>
        <v>40964</v>
      </c>
    </row>
    <row r="585">
      <c r="A585" s="59" t="str">
        <f>IFERROR(__xludf.DUMMYFUNCTION("""COMPUTED_VALUE"""),"Overkill")</f>
        <v>Overkill</v>
      </c>
      <c r="B585" s="60"/>
      <c r="C585" s="61" t="str">
        <f>IFERROR(__xludf.DUMMYFUNCTION("""COMPUTED_VALUE"""),"Yes")</f>
        <v>Yes</v>
      </c>
      <c r="D585" s="62"/>
      <c r="E585" s="61"/>
      <c r="F585" s="63">
        <f>IFERROR(__xludf.DUMMYFUNCTION("""COMPUTED_VALUE"""),40885.0)</f>
        <v>40885</v>
      </c>
    </row>
    <row r="586">
      <c r="A586" s="59" t="str">
        <f>IFERROR(__xludf.DUMMYFUNCTION("""COMPUTED_VALUE"""),"Overkill")</f>
        <v>Overkill</v>
      </c>
      <c r="B586" s="60" t="str">
        <f>IFERROR(__xludf.DUMMYFUNCTION("""COMPUTED_VALUE"""),"2.0.0")</f>
        <v>2.0.0</v>
      </c>
      <c r="C586" s="61" t="str">
        <f>IFERROR(__xludf.DUMMYFUNCTION("""COMPUTED_VALUE"""),"Yes")</f>
        <v>Yes</v>
      </c>
      <c r="D586" s="62" t="str">
        <f>IFERROR(__xludf.DUMMYFUNCTION("""COMPUTED_VALUE"""),"It works if you have not log in appstore yet.")</f>
        <v>It works if you have not log in appstore yet.</v>
      </c>
      <c r="E586" s="61" t="str">
        <f>IFERROR(__xludf.DUMMYFUNCTION("""COMPUTED_VALUE"""),"ShadowDArK")</f>
        <v>ShadowDArK</v>
      </c>
      <c r="F586" s="63">
        <f>IFERROR(__xludf.DUMMYFUNCTION("""COMPUTED_VALUE"""),40973.0)</f>
        <v>40973</v>
      </c>
    </row>
    <row r="587">
      <c r="A587" s="59" t="str">
        <f>IFERROR(__xludf.DUMMYFUNCTION("""COMPUTED_VALUE"""),"Paladog!")</f>
        <v>Paladog!</v>
      </c>
      <c r="B587" s="60" t="str">
        <f>IFERROR(__xludf.DUMMYFUNCTION("""COMPUTED_VALUE"""),"3.0.0")</f>
        <v>3.0.0</v>
      </c>
      <c r="C587" s="61" t="str">
        <f>IFERROR(__xludf.DUMMYFUNCTION("""COMPUTED_VALUE"""),"Yes")</f>
        <v>Yes</v>
      </c>
      <c r="D587" s="62" t="str">
        <f>IFERROR(__xludf.DUMMYFUNCTION("""COMPUTED_VALUE"""),"Tested on cracked v3.0.0. May load for quite awhile, but it'll go through eventually.")</f>
        <v>Tested on cracked v3.0.0. May load for quite awhile, but it'll go through eventually.</v>
      </c>
      <c r="E587" s="61" t="str">
        <f>IFERROR(__xludf.DUMMYFUNCTION("""COMPUTED_VALUE"""),"Z1nC")</f>
        <v>Z1nC</v>
      </c>
      <c r="F587" s="63">
        <f>IFERROR(__xludf.DUMMYFUNCTION("""COMPUTED_VALUE"""),40920.0)</f>
        <v>40920</v>
      </c>
    </row>
    <row r="588">
      <c r="A588" s="59" t="str">
        <f>IFERROR(__xludf.DUMMYFUNCTION("""COMPUTED_VALUE"""),"Palavraz")</f>
        <v>Palavraz</v>
      </c>
      <c r="B588" s="60"/>
      <c r="C588" s="61" t="str">
        <f>IFERROR(__xludf.DUMMYFUNCTION("""COMPUTED_VALUE"""),"Yes")</f>
        <v>Yes</v>
      </c>
      <c r="D588" s="62" t="str">
        <f>IFERROR(__xludf.DUMMYFUNCTION("""COMPUTED_VALUE"""),"Allows you to become a pro member and have more privileges")</f>
        <v>Allows you to become a pro member and have more privileges</v>
      </c>
      <c r="E588" s="61" t="str">
        <f>IFERROR(__xludf.DUMMYFUNCTION("""COMPUTED_VALUE"""),"Manuzes")</f>
        <v>Manuzes</v>
      </c>
      <c r="F588" s="63">
        <f>IFERROR(__xludf.DUMMYFUNCTION("""COMPUTED_VALUE"""),40926.0)</f>
        <v>40926</v>
      </c>
    </row>
    <row r="589">
      <c r="A589" s="59" t="str">
        <f>IFERROR(__xludf.DUMMYFUNCTION("""COMPUTED_VALUE"""),"Paleolithics")</f>
        <v>Paleolithics</v>
      </c>
      <c r="B589" s="60"/>
      <c r="C589" s="61" t="str">
        <f>IFERROR(__xludf.DUMMYFUNCTION("""COMPUTED_VALUE"""),"Yes")</f>
        <v>Yes</v>
      </c>
      <c r="D589" s="62" t="str">
        <f>IFERROR(__xludf.DUMMYFUNCTION("""COMPUTED_VALUE"""),"Able to Buy Anything from the Store.")</f>
        <v>Able to Buy Anything from the Store.</v>
      </c>
      <c r="E589" s="61" t="str">
        <f>IFERROR(__xludf.DUMMYFUNCTION("""COMPUTED_VALUE"""),"Satellizer29")</f>
        <v>Satellizer29</v>
      </c>
      <c r="F589" s="63">
        <f>IFERROR(__xludf.DUMMYFUNCTION("""COMPUTED_VALUE"""),40936.0)</f>
        <v>40936</v>
      </c>
    </row>
    <row r="590">
      <c r="A590" s="59" t="str">
        <f>IFERROR(__xludf.DUMMYFUNCTION("""COMPUTED_VALUE"""),"Panda vs. Zombies Free")</f>
        <v>Panda vs. Zombies Free</v>
      </c>
      <c r="B590" s="60" t="str">
        <f>IFERROR(__xludf.DUMMYFUNCTION("""COMPUTED_VALUE"""),"1.0.1")</f>
        <v>1.0.1</v>
      </c>
      <c r="C590" s="61" t="str">
        <f>IFERROR(__xludf.DUMMYFUNCTION("""COMPUTED_VALUE"""),"Yes")</f>
        <v>Yes</v>
      </c>
      <c r="D590" s="62" t="str">
        <f>IFERROR(__xludf.DUMMYFUNCTION("""COMPUTED_VALUE"""),"Works like a charm")</f>
        <v>Works like a charm</v>
      </c>
      <c r="E590" s="61" t="str">
        <f>IFERROR(__xludf.DUMMYFUNCTION("""COMPUTED_VALUE"""),"vidolaem")</f>
        <v>vidolaem</v>
      </c>
      <c r="F590" s="63">
        <f>IFERROR(__xludf.DUMMYFUNCTION("""COMPUTED_VALUE"""),40966.0)</f>
        <v>40966</v>
      </c>
    </row>
    <row r="591">
      <c r="A591" s="59" t="str">
        <f>IFERROR(__xludf.DUMMYFUNCTION("""COMPUTED_VALUE"""),"Paper Glider")</f>
        <v>Paper Glider</v>
      </c>
      <c r="B591" s="60"/>
      <c r="C591" s="61" t="str">
        <f>IFERROR(__xludf.DUMMYFUNCTION("""COMPUTED_VALUE"""),"Yes")</f>
        <v>Yes</v>
      </c>
      <c r="D591" s="62" t="str">
        <f>IFERROR(__xludf.DUMMYFUNCTION("""COMPUTED_VALUE"""),"Purchase everything")</f>
        <v>Purchase everything</v>
      </c>
      <c r="E591" s="61"/>
      <c r="F591" s="41"/>
    </row>
    <row r="592">
      <c r="A592" s="59" t="str">
        <f>IFERROR(__xludf.DUMMYFUNCTION("""COMPUTED_VALUE"""),"Paper Glider vs. Gnomes")</f>
        <v>Paper Glider vs. Gnomes</v>
      </c>
      <c r="B592" s="60"/>
      <c r="C592" s="61" t="str">
        <f>IFERROR(__xludf.DUMMYFUNCTION("""COMPUTED_VALUE"""),"Yes")</f>
        <v>Yes</v>
      </c>
      <c r="D592" s="62" t="str">
        <f>IFERROR(__xludf.DUMMYFUNCTION("""COMPUTED_VALUE"""),"Purchase everything")</f>
        <v>Purchase everything</v>
      </c>
      <c r="E592" s="61" t="str">
        <f>IFERROR(__xludf.DUMMYFUNCTION("""COMPUTED_VALUE"""),"luudaigiang")</f>
        <v>luudaigiang</v>
      </c>
      <c r="F592" s="63">
        <f>IFERROR(__xludf.DUMMYFUNCTION("""COMPUTED_VALUE"""),40922.0)</f>
        <v>40922</v>
      </c>
    </row>
    <row r="593">
      <c r="A593" s="59" t="str">
        <f>IFERROR(__xludf.DUMMYFUNCTION("""COMPUTED_VALUE"""),"Paper Monsters")</f>
        <v>Paper Monsters</v>
      </c>
      <c r="B593" s="60"/>
      <c r="C593" s="61" t="str">
        <f>IFERROR(__xludf.DUMMYFUNCTION("""COMPUTED_VALUE"""),"Yes")</f>
        <v>Yes</v>
      </c>
      <c r="D593" s="62" t="str">
        <f>IFERROR(__xludf.DUMMYFUNCTION("""COMPUTED_VALUE"""),"1.1 Can purchase buttons")</f>
        <v>1.1 Can purchase buttons</v>
      </c>
      <c r="E593" s="61" t="str">
        <f>IFERROR(__xludf.DUMMYFUNCTION("""COMPUTED_VALUE"""),"Keigo@ZA")</f>
        <v>Keigo@ZA</v>
      </c>
      <c r="F593" s="63">
        <f>IFERROR(__xludf.DUMMYFUNCTION("""COMPUTED_VALUE"""),40950.0)</f>
        <v>40950</v>
      </c>
    </row>
    <row r="594">
      <c r="A594" s="59" t="str">
        <f>IFERROR(__xludf.DUMMYFUNCTION("""COMPUTED_VALUE"""),"Paper Toss")</f>
        <v>Paper Toss</v>
      </c>
      <c r="B594" s="60"/>
      <c r="C594" s="61" t="str">
        <f>IFERROR(__xludf.DUMMYFUNCTION("""COMPUTED_VALUE"""),"Yes")</f>
        <v>Yes</v>
      </c>
      <c r="D594" s="62"/>
      <c r="E594" s="61" t="str">
        <f>IFERROR(__xludf.DUMMYFUNCTION("""COMPUTED_VALUE"""),"Dansco")</f>
        <v>Dansco</v>
      </c>
      <c r="F594" s="63">
        <f>IFERROR(__xludf.DUMMYFUNCTION("""COMPUTED_VALUE"""),40793.9138888889)</f>
        <v>40793.91389</v>
      </c>
    </row>
    <row r="595">
      <c r="A595" s="59" t="str">
        <f>IFERROR(__xludf.DUMMYFUNCTION("""COMPUTED_VALUE"""),"Paper Toss v2.0")</f>
        <v>Paper Toss v2.0</v>
      </c>
      <c r="B595" s="60"/>
      <c r="C595" s="61" t="str">
        <f>IFERROR(__xludf.DUMMYFUNCTION("""COMPUTED_VALUE"""),"Yes")</f>
        <v>Yes</v>
      </c>
      <c r="D595" s="62" t="str">
        <f>IFERROR(__xludf.DUMMYFUNCTION("""COMPUTED_VALUE"""),"Works on all the coin purchases ((12/9/11 - as does remove ads))")</f>
        <v>Works on all the coin purchases ((12/9/11 - as does remove ads))</v>
      </c>
      <c r="E595" s="61" t="str">
        <f>IFERROR(__xludf.DUMMYFUNCTION("""COMPUTED_VALUE"""),"Mav")</f>
        <v>Mav</v>
      </c>
      <c r="F595" s="63">
        <f>IFERROR(__xludf.DUMMYFUNCTION("""COMPUTED_VALUE"""),40886.0)</f>
        <v>40886</v>
      </c>
    </row>
    <row r="596">
      <c r="A596" s="59" t="str">
        <f>IFERROR(__xludf.DUMMYFUNCTION("""COMPUTED_VALUE"""),"Parachute Ninja")</f>
        <v>Parachute Ninja</v>
      </c>
      <c r="B596" s="60"/>
      <c r="C596" s="61" t="str">
        <f>IFERROR(__xludf.DUMMYFUNCTION("""COMPUTED_VALUE"""),"Yes")</f>
        <v>Yes</v>
      </c>
      <c r="D596" s="62" t="str">
        <f>IFERROR(__xludf.DUMMYFUNCTION("""COMPUTED_VALUE"""),"Perfect! You can buy all the characters!")</f>
        <v>Perfect! You can buy all the characters!</v>
      </c>
      <c r="E596" s="61" t="str">
        <f>IFERROR(__xludf.DUMMYFUNCTION("""COMPUTED_VALUE"""),"Mazzacane")</f>
        <v>Mazzacane</v>
      </c>
      <c r="F596" s="63">
        <f>IFERROR(__xludf.DUMMYFUNCTION("""COMPUTED_VALUE"""),40931.0)</f>
        <v>40931</v>
      </c>
    </row>
    <row r="597">
      <c r="A597" s="59" t="str">
        <f>IFERROR(__xludf.DUMMYFUNCTION("""COMPUTED_VALUE"""),"Paradise Island : Exotic")</f>
        <v>Paradise Island : Exotic</v>
      </c>
      <c r="B597" s="60"/>
      <c r="C597" s="61" t="str">
        <f>IFERROR(__xludf.DUMMYFUNCTION("""COMPUTED_VALUE"""),"Yes")</f>
        <v>Yes</v>
      </c>
      <c r="D597" s="62" t="str">
        <f>IFERROR(__xludf.DUMMYFUNCTION("""COMPUTED_VALUE"""),"Everything Works")</f>
        <v>Everything Works</v>
      </c>
      <c r="E597" s="61">
        <f>IFERROR(__xludf.DUMMYFUNCTION("""COMPUTED_VALUE"""),6102.0)</f>
        <v>6102</v>
      </c>
      <c r="F597" s="63">
        <f>IFERROR(__xludf.DUMMYFUNCTION("""COMPUTED_VALUE"""),40883.0)</f>
        <v>40883</v>
      </c>
    </row>
    <row r="598">
      <c r="A598" s="59" t="str">
        <f>IFERROR(__xludf.DUMMYFUNCTION("""COMPUTED_VALUE"""),"Paranormal Agency")</f>
        <v>Paranormal Agency</v>
      </c>
      <c r="B598" s="60"/>
      <c r="C598" s="61" t="str">
        <f>IFERROR(__xludf.DUMMYFUNCTION("""COMPUTED_VALUE"""),"Yes")</f>
        <v>Yes</v>
      </c>
      <c r="D598" s="62" t="str">
        <f>IFERROR(__xludf.DUMMYFUNCTION("""COMPUTED_VALUE"""),"Free ---&gt; Full")</f>
        <v>Free ---&gt; Full</v>
      </c>
      <c r="E598" s="61" t="str">
        <f>IFERROR(__xludf.DUMMYFUNCTION("""COMPUTED_VALUE"""),"phatpham")</f>
        <v>phatpham</v>
      </c>
      <c r="F598" s="63">
        <f>IFERROR(__xludf.DUMMYFUNCTION("""COMPUTED_VALUE"""),40902.0)</f>
        <v>40902</v>
      </c>
    </row>
    <row r="599">
      <c r="A599" s="59" t="str">
        <f>IFERROR(__xludf.DUMMYFUNCTION("""COMPUTED_VALUE"""),"Parking Mania Free")</f>
        <v>Parking Mania Free</v>
      </c>
      <c r="B599" s="60"/>
      <c r="C599" s="61" t="str">
        <f>IFERROR(__xludf.DUMMYFUNCTION("""COMPUTED_VALUE"""),"Yes")</f>
        <v>Yes</v>
      </c>
      <c r="D599" s="62" t="str">
        <f>IFERROR(__xludf.DUMMYFUNCTION("""COMPUTED_VALUE"""),"it may not work at first (no response), but eventually works ")</f>
        <v>it may not work at first (no response), but eventually works </v>
      </c>
      <c r="E599" s="61" t="str">
        <f>IFERROR(__xludf.DUMMYFUNCTION("""COMPUTED_VALUE"""),"fss003124")</f>
        <v>fss003124</v>
      </c>
      <c r="F599" s="63">
        <f>IFERROR(__xludf.DUMMYFUNCTION("""COMPUTED_VALUE"""),40954.0)</f>
        <v>40954</v>
      </c>
    </row>
    <row r="600">
      <c r="A600" s="59" t="str">
        <f>IFERROR(__xludf.DUMMYFUNCTION("""COMPUTED_VALUE"""),"Path")</f>
        <v>Path</v>
      </c>
      <c r="B600" s="60" t="str">
        <f>IFERROR(__xludf.DUMMYFUNCTION("""COMPUTED_VALUE"""),"      2.0.7")</f>
        <v>      2.0.7</v>
      </c>
      <c r="C600" s="61" t="str">
        <f>IFERROR(__xludf.DUMMYFUNCTION("""COMPUTED_VALUE"""),"Yes")</f>
        <v>Yes</v>
      </c>
      <c r="D600" s="62" t="str">
        <f>IFERROR(__xludf.DUMMYFUNCTION("""COMPUTED_VALUE"""),"Filters for photos and videos")</f>
        <v>Filters for photos and videos</v>
      </c>
      <c r="E600" s="61" t="str">
        <f>IFERROR(__xludf.DUMMYFUNCTION("""COMPUTED_VALUE"""),"arteem")</f>
        <v>arteem</v>
      </c>
      <c r="F600" s="63">
        <f>IFERROR(__xludf.DUMMYFUNCTION("""COMPUTED_VALUE"""),40961.0)</f>
        <v>40961</v>
      </c>
    </row>
    <row r="601">
      <c r="A601" s="59" t="str">
        <f>IFERROR(__xludf.DUMMYFUNCTION("""COMPUTED_VALUE"""),"Penguin Airborne")</f>
        <v>Penguin Airborne</v>
      </c>
      <c r="B601" s="60"/>
      <c r="C601" s="61" t="str">
        <f>IFERROR(__xludf.DUMMYFUNCTION("""COMPUTED_VALUE"""),"Yes")</f>
        <v>Yes</v>
      </c>
      <c r="D601" s="62"/>
      <c r="E601" s="61"/>
      <c r="F601" s="41"/>
    </row>
    <row r="602">
      <c r="A602" s="59" t="str">
        <f>IFERROR(__xludf.DUMMYFUNCTION("""COMPUTED_VALUE"""),"Penultimate")</f>
        <v>Penultimate</v>
      </c>
      <c r="B602" s="60"/>
      <c r="C602" s="61" t="str">
        <f>IFERROR(__xludf.DUMMYFUNCTION("""COMPUTED_VALUE"""),"Yes")</f>
        <v>Yes</v>
      </c>
      <c r="D602" s="62"/>
      <c r="E602" s="61" t="str">
        <f>IFERROR(__xludf.DUMMYFUNCTION("""COMPUTED_VALUE"""),"cynxian")</f>
        <v>cynxian</v>
      </c>
      <c r="F602" s="63">
        <f>IFERROR(__xludf.DUMMYFUNCTION("""COMPUTED_VALUE"""),40883.0)</f>
        <v>40883</v>
      </c>
    </row>
    <row r="603">
      <c r="A603" s="59" t="str">
        <f>IFERROR(__xludf.DUMMYFUNCTION("""COMPUTED_VALUE"""),"Pet Fair")</f>
        <v>Pet Fair</v>
      </c>
      <c r="B603" s="60"/>
      <c r="C603" s="61" t="str">
        <f>IFERROR(__xludf.DUMMYFUNCTION("""COMPUTED_VALUE"""),"Yes")</f>
        <v>Yes</v>
      </c>
      <c r="D603" s="62" t="str">
        <f>IFERROR(__xludf.DUMMYFUNCTION("""COMPUTED_VALUE"""),"You can purchase all")</f>
        <v>You can purchase all</v>
      </c>
      <c r="E603" s="61" t="str">
        <f>IFERROR(__xludf.DUMMYFUNCTION("""COMPUTED_VALUE"""),"Gambit")</f>
        <v>Gambit</v>
      </c>
      <c r="F603" s="63">
        <f>IFERROR(__xludf.DUMMYFUNCTION("""COMPUTED_VALUE"""),40920.0)</f>
        <v>40920</v>
      </c>
    </row>
    <row r="604">
      <c r="A604" s="59" t="str">
        <f>IFERROR(__xludf.DUMMYFUNCTION("""COMPUTED_VALUE"""),"Pet Pony")</f>
        <v>Pet Pony</v>
      </c>
      <c r="B604" s="60"/>
      <c r="C604" s="61" t="str">
        <f>IFERROR(__xludf.DUMMYFUNCTION("""COMPUTED_VALUE"""),"Yes")</f>
        <v>Yes</v>
      </c>
      <c r="D604" s="62"/>
      <c r="E604" s="61" t="str">
        <f>IFERROR(__xludf.DUMMYFUNCTION("""COMPUTED_VALUE"""),"ADRL")</f>
        <v>ADRL</v>
      </c>
      <c r="F604" s="63">
        <f>IFERROR(__xludf.DUMMYFUNCTION("""COMPUTED_VALUE"""),40907.0)</f>
        <v>40907</v>
      </c>
    </row>
    <row r="605">
      <c r="A605" s="59" t="str">
        <f>IFERROR(__xludf.DUMMYFUNCTION("""COMPUTED_VALUE"""),"Phoenix HD")</f>
        <v>Phoenix HD</v>
      </c>
      <c r="B605" s="60"/>
      <c r="C605" s="61" t="str">
        <f>IFERROR(__xludf.DUMMYFUNCTION("""COMPUTED_VALUE"""),"Yes")</f>
        <v>Yes</v>
      </c>
      <c r="D605" s="62" t="str">
        <f>IFERROR(__xludf.DUMMYFUNCTION("""COMPUTED_VALUE"""),"Just works.")</f>
        <v>Just works.</v>
      </c>
      <c r="E605" s="61"/>
      <c r="F605" s="63">
        <f>IFERROR(__xludf.DUMMYFUNCTION("""COMPUTED_VALUE"""),40925.0)</f>
        <v>40925</v>
      </c>
    </row>
    <row r="606">
      <c r="A606" s="59" t="str">
        <f>IFERROR(__xludf.DUMMYFUNCTION("""COMPUTED_VALUE"""),"Photo Privacy")</f>
        <v>Photo Privacy</v>
      </c>
      <c r="B606" s="60"/>
      <c r="C606" s="61" t="str">
        <f>IFERROR(__xludf.DUMMYFUNCTION("""COMPUTED_VALUE"""),"Yes")</f>
        <v>Yes</v>
      </c>
      <c r="D606" s="62"/>
      <c r="E606" s="61" t="str">
        <f>IFERROR(__xludf.DUMMYFUNCTION("""COMPUTED_VALUE"""),"Guk")</f>
        <v>Guk</v>
      </c>
      <c r="F606" s="63">
        <f>IFERROR(__xludf.DUMMYFUNCTION("""COMPUTED_VALUE"""),40883.0)</f>
        <v>40883</v>
      </c>
    </row>
    <row r="607">
      <c r="A607" s="59" t="str">
        <f>IFERROR(__xludf.DUMMYFUNCTION("""COMPUTED_VALUE"""),"Photo Share")</f>
        <v>Photo Share</v>
      </c>
      <c r="B607" s="60"/>
      <c r="C607" s="61" t="str">
        <f>IFERROR(__xludf.DUMMYFUNCTION("""COMPUTED_VALUE"""),"Yes")</f>
        <v>Yes</v>
      </c>
      <c r="D607" s="62" t="str">
        <f>IFERROR(__xludf.DUMMYFUNCTION("""COMPUTED_VALUE"""),"Go Pro")</f>
        <v>Go Pro</v>
      </c>
      <c r="E607" s="61" t="str">
        <f>IFERROR(__xludf.DUMMYFUNCTION("""COMPUTED_VALUE"""),"Lightwalker")</f>
        <v>Lightwalker</v>
      </c>
      <c r="F607" s="63">
        <f>IFERROR(__xludf.DUMMYFUNCTION("""COMPUTED_VALUE"""),40903.0)</f>
        <v>40903</v>
      </c>
    </row>
    <row r="608">
      <c r="A608" s="59" t="str">
        <f>IFERROR(__xludf.DUMMYFUNCTION("""COMPUTED_VALUE"""),"Photo Wall")</f>
        <v>Photo Wall</v>
      </c>
      <c r="B608" s="60"/>
      <c r="C608" s="61" t="str">
        <f>IFERROR(__xludf.DUMMYFUNCTION("""COMPUTED_VALUE"""),"Yes")</f>
        <v>Yes</v>
      </c>
      <c r="D608" s="62"/>
      <c r="E608" s="61" t="str">
        <f>IFERROR(__xludf.DUMMYFUNCTION("""COMPUTED_VALUE"""),"Greek-Immortal")</f>
        <v>Greek-Immortal</v>
      </c>
      <c r="F608" s="63">
        <f>IFERROR(__xludf.DUMMYFUNCTION("""COMPUTED_VALUE"""),40905.0)</f>
        <v>40905</v>
      </c>
    </row>
    <row r="609">
      <c r="A609" s="59" t="str">
        <f>IFERROR(__xludf.DUMMYFUNCTION("""COMPUTED_VALUE"""),"PhotoForge2")</f>
        <v>PhotoForge2</v>
      </c>
      <c r="B609" s="60"/>
      <c r="C609" s="61" t="str">
        <f>IFERROR(__xludf.DUMMYFUNCTION("""COMPUTED_VALUE"""),"Yes")</f>
        <v>Yes</v>
      </c>
      <c r="D609" s="62" t="str">
        <f>IFERROR(__xludf.DUMMYFUNCTION("""COMPUTED_VALUE"""),"Unlocks Pop! Cam")</f>
        <v>Unlocks Pop! Cam</v>
      </c>
      <c r="E609" s="61" t="str">
        <f>IFERROR(__xludf.DUMMYFUNCTION("""COMPUTED_VALUE"""),"MasterBates50")</f>
        <v>MasterBates50</v>
      </c>
      <c r="F609" s="63">
        <f>IFERROR(__xludf.DUMMYFUNCTION("""COMPUTED_VALUE"""),40925.0)</f>
        <v>40925</v>
      </c>
    </row>
    <row r="610">
      <c r="A610" s="59" t="str">
        <f>IFERROR(__xludf.DUMMYFUNCTION("""COMPUTED_VALUE"""),"PhotoFrame")</f>
        <v>PhotoFrame</v>
      </c>
      <c r="B610" s="60"/>
      <c r="C610" s="61" t="str">
        <f>IFERROR(__xludf.DUMMYFUNCTION("""COMPUTED_VALUE"""),"Yes")</f>
        <v>Yes</v>
      </c>
      <c r="D610" s="62" t="str">
        <f>IFERROR(__xludf.DUMMYFUNCTION("""COMPUTED_VALUE"""),"Yes.  you can buy all frames")</f>
        <v>Yes.  you can buy all frames</v>
      </c>
      <c r="E610" s="61"/>
      <c r="F610" s="41"/>
    </row>
    <row r="611">
      <c r="A611" s="59" t="str">
        <f>IFERROR(__xludf.DUMMYFUNCTION("""COMPUTED_VALUE"""),"Photogene² for iPhone v1.20")</f>
        <v>Photogene² for iPhone v1.20</v>
      </c>
      <c r="B611" s="60"/>
      <c r="C611" s="61" t="str">
        <f>IFERROR(__xludf.DUMMYFUNCTION("""COMPUTED_VALUE"""),"Yes")</f>
        <v>Yes</v>
      </c>
      <c r="D611" s="62" t="str">
        <f>IFERROR(__xludf.DUMMYFUNCTION("""COMPUTED_VALUE"""),"Collage templates, Frames Bundle 1, Go PRO")</f>
        <v>Collage templates, Frames Bundle 1, Go PRO</v>
      </c>
      <c r="E611" s="61" t="str">
        <f>IFERROR(__xludf.DUMMYFUNCTION("""COMPUTED_VALUE"""),"DarkSkies")</f>
        <v>DarkSkies</v>
      </c>
      <c r="F611" s="63">
        <f>IFERROR(__xludf.DUMMYFUNCTION("""COMPUTED_VALUE"""),40947.0)</f>
        <v>40947</v>
      </c>
    </row>
    <row r="612">
      <c r="A612" s="59" t="str">
        <f>IFERROR(__xludf.DUMMYFUNCTION("""COMPUTED_VALUE"""),"Photoshop Express")</f>
        <v>Photoshop Express</v>
      </c>
      <c r="B612" s="60"/>
      <c r="C612" s="61" t="str">
        <f>IFERROR(__xludf.DUMMYFUNCTION("""COMPUTED_VALUE"""),"Yes")</f>
        <v>Yes</v>
      </c>
      <c r="D612" s="62"/>
      <c r="E612" s="61" t="str">
        <f>IFERROR(__xludf.DUMMYFUNCTION("""COMPUTED_VALUE"""),"fbloise")</f>
        <v>fbloise</v>
      </c>
      <c r="F612" s="63">
        <f>IFERROR(__xludf.DUMMYFUNCTION("""COMPUTED_VALUE"""),40793.7888888889)</f>
        <v>40793.78889</v>
      </c>
    </row>
    <row r="613">
      <c r="A613" s="59" t="str">
        <f>IFERROR(__xludf.DUMMYFUNCTION("""COMPUTED_VALUE"""),"Pickpawcket")</f>
        <v>Pickpawcket</v>
      </c>
      <c r="B613" s="60"/>
      <c r="C613" s="61" t="str">
        <f>IFERROR(__xludf.DUMMYFUNCTION("""COMPUTED_VALUE"""),"Yes")</f>
        <v>Yes</v>
      </c>
      <c r="D613" s="62"/>
      <c r="E613" s="61" t="str">
        <f>IFERROR(__xludf.DUMMYFUNCTION("""COMPUTED_VALUE"""),"Z1nC")</f>
        <v>Z1nC</v>
      </c>
      <c r="F613" s="63">
        <f>IFERROR(__xludf.DUMMYFUNCTION("""COMPUTED_VALUE"""),40891.0)</f>
        <v>40891</v>
      </c>
    </row>
    <row r="614">
      <c r="A614" s="59" t="str">
        <f>IFERROR(__xludf.DUMMYFUNCTION("""COMPUTED_VALUE"""),"Pig Rockets")</f>
        <v>Pig Rockets</v>
      </c>
      <c r="B614" s="60"/>
      <c r="C614" s="61" t="str">
        <f>IFERROR(__xludf.DUMMYFUNCTION("""COMPUTED_VALUE"""),"Yes")</f>
        <v>Yes</v>
      </c>
      <c r="D614" s="62"/>
      <c r="E614" s="61" t="str">
        <f>IFERROR(__xludf.DUMMYFUNCTION("""COMPUTED_VALUE"""),"luudaigiang")</f>
        <v>luudaigiang</v>
      </c>
      <c r="F614" s="63">
        <f>IFERROR(__xludf.DUMMYFUNCTION("""COMPUTED_VALUE"""),40918.0)</f>
        <v>40918</v>
      </c>
    </row>
    <row r="615">
      <c r="A615" s="59" t="str">
        <f>IFERROR(__xludf.DUMMYFUNCTION("""COMPUTED_VALUE"""),"Pinball HD Collection")</f>
        <v>Pinball HD Collection</v>
      </c>
      <c r="B615" s="60"/>
      <c r="C615" s="61" t="str">
        <f>IFERROR(__xludf.DUMMYFUNCTION("""COMPUTED_VALUE"""),"Yes")</f>
        <v>Yes</v>
      </c>
      <c r="D615" s="62" t="str">
        <f>IFERROR(__xludf.DUMMYFUNCTION("""COMPUTED_VALUE"""),"All tables unlocked")</f>
        <v>All tables unlocked</v>
      </c>
      <c r="E615" s="61" t="str">
        <f>IFERROR(__xludf.DUMMYFUNCTION("""COMPUTED_VALUE"""),"ThePreserver")</f>
        <v>ThePreserver</v>
      </c>
      <c r="F615" s="63">
        <f>IFERROR(__xludf.DUMMYFUNCTION("""COMPUTED_VALUE"""),40894.0)</f>
        <v>40894</v>
      </c>
    </row>
    <row r="616">
      <c r="A616" s="59" t="str">
        <f>IFERROR(__xludf.DUMMYFUNCTION("""COMPUTED_VALUE"""),"Pinball HD Collection for iPhone")</f>
        <v>Pinball HD Collection for iPhone</v>
      </c>
      <c r="B616" s="60" t="str">
        <f>IFERROR(__xludf.DUMMYFUNCTION("""COMPUTED_VALUE"""),"'1.0")</f>
        <v>'1.0</v>
      </c>
      <c r="C616" s="61" t="str">
        <f>IFERROR(__xludf.DUMMYFUNCTION("""COMPUTED_VALUE"""),"Yes")</f>
        <v>Yes</v>
      </c>
      <c r="D616" s="62" t="str">
        <f>IFERROR(__xludf.DUMMYFUNCTION("""COMPUTED_VALUE"""),"All tables unlocked")</f>
        <v>All tables unlocked</v>
      </c>
      <c r="E616" s="61" t="str">
        <f>IFERROR(__xludf.DUMMYFUNCTION("""COMPUTED_VALUE"""),"Kev63")</f>
        <v>Kev63</v>
      </c>
      <c r="F616" s="63">
        <f>IFERROR(__xludf.DUMMYFUNCTION("""COMPUTED_VALUE"""),40971.0)</f>
        <v>40971</v>
      </c>
    </row>
    <row r="617">
      <c r="A617" s="59" t="str">
        <f>IFERROR(__xludf.DUMMYFUNCTION("""COMPUTED_VALUE"""),"Pinball HUB")</f>
        <v>Pinball HUB</v>
      </c>
      <c r="B617" s="60"/>
      <c r="C617" s="61" t="str">
        <f>IFERROR(__xludf.DUMMYFUNCTION("""COMPUTED_VALUE"""),"Yes")</f>
        <v>Yes</v>
      </c>
      <c r="D617" s="62" t="str">
        <f>IFERROR(__xludf.DUMMYFUNCTION("""COMPUTED_VALUE"""),"To purchase Slayer table you need to change in Installous/Setings/Remove metadata to off")</f>
        <v>To purchase Slayer table you need to change in Installous/Setings/Remove metadata to off</v>
      </c>
      <c r="E617" s="61" t="str">
        <f>IFERROR(__xludf.DUMMYFUNCTION("""COMPUTED_VALUE"""),"^eNeRGy^")</f>
        <v>^eNeRGy^</v>
      </c>
      <c r="F617" s="63">
        <f>IFERROR(__xludf.DUMMYFUNCTION("""COMPUTED_VALUE"""),40891.0)</f>
        <v>40891</v>
      </c>
    </row>
    <row r="618">
      <c r="A618" s="59" t="str">
        <f>IFERROR(__xludf.DUMMYFUNCTION("""COMPUTED_VALUE"""),"Pixel Mall")</f>
        <v>Pixel Mall</v>
      </c>
      <c r="B618" s="60"/>
      <c r="C618" s="61" t="str">
        <f>IFERROR(__xludf.DUMMYFUNCTION("""COMPUTED_VALUE"""),"Yes")</f>
        <v>Yes</v>
      </c>
      <c r="D618" s="62"/>
      <c r="E618" s="61" t="str">
        <f>IFERROR(__xludf.DUMMYFUNCTION("""COMPUTED_VALUE"""),"antidust")</f>
        <v>antidust</v>
      </c>
      <c r="F618" s="63">
        <f>IFERROR(__xludf.DUMMYFUNCTION("""COMPUTED_VALUE"""),40875.0)</f>
        <v>40875</v>
      </c>
    </row>
    <row r="619">
      <c r="A619" s="59" t="str">
        <f>IFERROR(__xludf.DUMMYFUNCTION("""COMPUTED_VALUE"""),"Pixelgarde")</f>
        <v>Pixelgarde</v>
      </c>
      <c r="B619" s="60"/>
      <c r="C619" s="61" t="str">
        <f>IFERROR(__xludf.DUMMYFUNCTION("""COMPUTED_VALUE"""),"Yes")</f>
        <v>Yes</v>
      </c>
      <c r="D619" s="62"/>
      <c r="E619" s="61" t="str">
        <f>IFERROR(__xludf.DUMMYFUNCTION("""COMPUTED_VALUE"""),"Dansco")</f>
        <v>Dansco</v>
      </c>
      <c r="F619" s="63">
        <f>IFERROR(__xludf.DUMMYFUNCTION("""COMPUTED_VALUE"""),40793.9138888889)</f>
        <v>40793.91389</v>
      </c>
    </row>
    <row r="620">
      <c r="A620" s="59" t="str">
        <f>IFERROR(__xludf.DUMMYFUNCTION("""COMPUTED_VALUE"""),"Pixlr-o-Matic")</f>
        <v>Pixlr-o-Matic</v>
      </c>
      <c r="B620" s="60"/>
      <c r="C620" s="61" t="str">
        <f>IFERROR(__xludf.DUMMYFUNCTION("""COMPUTED_VALUE"""),"Yes")</f>
        <v>Yes</v>
      </c>
      <c r="D620" s="62" t="str">
        <f>IFERROR(__xludf.DUMMYFUNCTION("""COMPUTED_VALUE"""),"To purchase ALL filters. ")</f>
        <v>To purchase ALL filters. </v>
      </c>
      <c r="E620" s="61"/>
      <c r="F620" s="63">
        <f>IFERROR(__xludf.DUMMYFUNCTION("""COMPUTED_VALUE"""),40906.0)</f>
        <v>40906</v>
      </c>
    </row>
    <row r="621">
      <c r="A621" s="59" t="str">
        <f>IFERROR(__xludf.DUMMYFUNCTION("""COMPUTED_VALUE"""),"Plague Inc.")</f>
        <v>Plague Inc.</v>
      </c>
      <c r="B621" s="60" t="str">
        <f>IFERROR(__xludf.DUMMYFUNCTION("""COMPUTED_VALUE"""),"All Versions")</f>
        <v>All Versions</v>
      </c>
      <c r="C621" s="61" t="str">
        <f>IFERROR(__xludf.DUMMYFUNCTION("""COMPUTED_VALUE"""),"Yes")</f>
        <v>Yes</v>
      </c>
      <c r="D621" s="62" t="str">
        <f>IFERROR(__xludf.DUMMYFUNCTION("""COMPUTED_VALUE"""),"Purchase Succesful")</f>
        <v>Purchase Succesful</v>
      </c>
      <c r="E621" s="61" t="str">
        <f>IFERROR(__xludf.DUMMYFUNCTION("""COMPUTED_VALUE"""),"X--LeThaLzz")</f>
        <v>X--LeThaLzz</v>
      </c>
      <c r="F621" s="63">
        <f>IFERROR(__xludf.DUMMYFUNCTION("""COMPUTED_VALUE"""),41096.0)</f>
        <v>41096</v>
      </c>
    </row>
    <row r="622">
      <c r="A622" s="59" t="str">
        <f>IFERROR(__xludf.DUMMYFUNCTION("""COMPUTED_VALUE"""),"PLANET WORK")</f>
        <v>PLANET WORK</v>
      </c>
      <c r="B622" s="60"/>
      <c r="C622" s="61" t="str">
        <f>IFERROR(__xludf.DUMMYFUNCTION("""COMPUTED_VALUE"""),"Yes")</f>
        <v>Yes</v>
      </c>
      <c r="D622" s="62" t="str">
        <f>IFERROR(__xludf.DUMMYFUNCTION("""COMPUTED_VALUE"""),"Works perfectly for all purchases")</f>
        <v>Works perfectly for all purchases</v>
      </c>
      <c r="E622" s="61" t="str">
        <f>IFERROR(__xludf.DUMMYFUNCTION("""COMPUTED_VALUE"""),"Craigeyboyz")</f>
        <v>Craigeyboyz</v>
      </c>
      <c r="F622" s="63">
        <f>IFERROR(__xludf.DUMMYFUNCTION("""COMPUTED_VALUE"""),40946.0)</f>
        <v>40946</v>
      </c>
    </row>
    <row r="623">
      <c r="A623" s="59" t="str">
        <f>IFERROR(__xludf.DUMMYFUNCTION("""COMPUTED_VALUE"""),"Planner")</f>
        <v>Planner</v>
      </c>
      <c r="B623" s="60"/>
      <c r="C623" s="61" t="str">
        <f>IFERROR(__xludf.DUMMYFUNCTION("""COMPUTED_VALUE"""),"Yes")</f>
        <v>Yes</v>
      </c>
      <c r="D623" s="62" t="str">
        <f>IFERROR(__xludf.DUMMYFUNCTION("""COMPUTED_VALUE"""),"download the free version then upgrade to pro.")</f>
        <v>download the free version then upgrade to pro.</v>
      </c>
      <c r="E623" s="61" t="str">
        <f>IFERROR(__xludf.DUMMYFUNCTION("""COMPUTED_VALUE"""),"remastered")</f>
        <v>remastered</v>
      </c>
      <c r="F623" s="41"/>
    </row>
    <row r="624">
      <c r="A624" s="59" t="str">
        <f>IFERROR(__xludf.DUMMYFUNCTION("""COMPUTED_VALUE"""),"Plants vs Zombies")</f>
        <v>Plants vs Zombies</v>
      </c>
      <c r="B624" s="60"/>
      <c r="C624" s="61" t="str">
        <f>IFERROR(__xludf.DUMMYFUNCTION("""COMPUTED_VALUE"""),"Yes")</f>
        <v>Yes</v>
      </c>
      <c r="D624" s="62" t="str">
        <f>IFERROR(__xludf.DUMMYFUNCTION("""COMPUTED_VALUE"""),"Able to buy credits")</f>
        <v>Able to buy credits</v>
      </c>
      <c r="E624" s="61" t="str">
        <f>IFERROR(__xludf.DUMMYFUNCTION("""COMPUTED_VALUE"""),"AXL")</f>
        <v>AXL</v>
      </c>
      <c r="F624" s="63">
        <f>IFERROR(__xludf.DUMMYFUNCTION("""COMPUTED_VALUE"""),40900.0)</f>
        <v>40900</v>
      </c>
    </row>
    <row r="625">
      <c r="A625" s="59" t="str">
        <f>IFERROR(__xludf.DUMMYFUNCTION("""COMPUTED_VALUE"""),"Plants Vs. Zombies V. 1.9")</f>
        <v>Plants Vs. Zombies V. 1.9</v>
      </c>
      <c r="B625" s="60"/>
      <c r="C625" s="61" t="str">
        <f>IFERROR(__xludf.DUMMYFUNCTION("""COMPUTED_VALUE"""),"Yes")</f>
        <v>Yes</v>
      </c>
      <c r="D625" s="62" t="str">
        <f>IFERROR(__xludf.DUMMYFUNCTION("""COMPUTED_VALUE"""),"Unable to connect to server / can't buy coins
***Redownloading a better crack fixes this***")</f>
        <v>Unable to connect to server / can't buy coins
***Redownloading a better crack fixes this***</v>
      </c>
      <c r="E625" s="61" t="str">
        <f>IFERROR(__xludf.DUMMYFUNCTION("""COMPUTED_VALUE"""),"Joaker")</f>
        <v>Joaker</v>
      </c>
      <c r="F625" s="63">
        <f>IFERROR(__xludf.DUMMYFUNCTION("""COMPUTED_VALUE"""),40945.0)</f>
        <v>40945</v>
      </c>
    </row>
    <row r="626">
      <c r="A626" s="59" t="str">
        <f>IFERROR(__xludf.DUMMYFUNCTION("""COMPUTED_VALUE"""),"Playboy")</f>
        <v>Playboy</v>
      </c>
      <c r="B626" s="60"/>
      <c r="C626" s="61" t="str">
        <f>IFERROR(__xludf.DUMMYFUNCTION("""COMPUTED_VALUE"""),"Yes")</f>
        <v>Yes</v>
      </c>
      <c r="D626" s="62" t="str">
        <f>IFERROR(__xludf.DUMMYFUNCTION("""COMPUTED_VALUE"""),"Buying issues works 100%")</f>
        <v>Buying issues works 100%</v>
      </c>
      <c r="E626" s="61" t="str">
        <f>IFERROR(__xludf.DUMMYFUNCTION("""COMPUTED_VALUE"""),"macgregorm")</f>
        <v>macgregorm</v>
      </c>
      <c r="F626" s="63">
        <f>IFERROR(__xludf.DUMMYFUNCTION("""COMPUTED_VALUE"""),40904.0)</f>
        <v>40904</v>
      </c>
    </row>
    <row r="627">
      <c r="A627" s="59" t="str">
        <f>IFERROR(__xludf.DUMMYFUNCTION("""COMPUTED_VALUE"""),"Pocket Frogs")</f>
        <v>Pocket Frogs</v>
      </c>
      <c r="B627" s="60"/>
      <c r="C627" s="61" t="str">
        <f>IFERROR(__xludf.DUMMYFUNCTION("""COMPUTED_VALUE"""),"Yes")</f>
        <v>Yes</v>
      </c>
      <c r="D627" s="62"/>
      <c r="E627" s="61"/>
      <c r="F627" s="63">
        <f>IFERROR(__xludf.DUMMYFUNCTION("""COMPUTED_VALUE"""),40877.0)</f>
        <v>40877</v>
      </c>
    </row>
    <row r="628">
      <c r="A628" s="59" t="str">
        <f>IFERROR(__xludf.DUMMYFUNCTION("""COMPUTED_VALUE"""),"Pocket Frogs")</f>
        <v>Pocket Frogs</v>
      </c>
      <c r="B628" s="60"/>
      <c r="C628" s="61" t="str">
        <f>IFERROR(__xludf.DUMMYFUNCTION("""COMPUTED_VALUE"""),"Yes")</f>
        <v>Yes</v>
      </c>
      <c r="D628" s="62"/>
      <c r="E628" s="61"/>
      <c r="F628" s="41"/>
    </row>
    <row r="629">
      <c r="A629" s="59" t="str">
        <f>IFERROR(__xludf.DUMMYFUNCTION("""COMPUTED_VALUE"""),"Pocket God")</f>
        <v>Pocket God</v>
      </c>
      <c r="B629" s="60"/>
      <c r="C629" s="61" t="str">
        <f>IFERROR(__xludf.DUMMYFUNCTION("""COMPUTED_VALUE"""),"Yes")</f>
        <v>Yes</v>
      </c>
      <c r="D629" s="62" t="str">
        <f>IFERROR(__xludf.DUMMYFUNCTION("""COMPUTED_VALUE"""),"worked great!")</f>
        <v>worked great!</v>
      </c>
      <c r="E629" s="61" t="str">
        <f>IFERROR(__xludf.DUMMYFUNCTION("""COMPUTED_VALUE"""),"Burnout915
&amp; shock2provide")</f>
        <v>Burnout915
&amp; shock2provide</v>
      </c>
      <c r="F629" s="63">
        <f>IFERROR(__xludf.DUMMYFUNCTION("""COMPUTED_VALUE"""),40885.0)</f>
        <v>40885</v>
      </c>
    </row>
    <row r="630">
      <c r="A630" s="59" t="str">
        <f>IFERROR(__xludf.DUMMYFUNCTION("""COMPUTED_VALUE"""),"Pocket Planes")</f>
        <v>Pocket Planes</v>
      </c>
      <c r="B630" s="60" t="str">
        <f>IFERROR(__xludf.DUMMYFUNCTION("""COMPUTED_VALUE"""),"All versions")</f>
        <v>All versions</v>
      </c>
      <c r="C630" s="61" t="str">
        <f>IFERROR(__xludf.DUMMYFUNCTION("""COMPUTED_VALUE"""),"Yes")</f>
        <v>Yes</v>
      </c>
      <c r="D630" s="62" t="str">
        <f>IFERROR(__xludf.DUMMYFUNCTION("""COMPUTED_VALUE"""),"All ""Bux"" Purchases immediately go thtough + stack!")</f>
        <v>All "Bux" Purchases immediately go thtough + stack!</v>
      </c>
      <c r="E630" s="61" t="str">
        <f>IFERROR(__xludf.DUMMYFUNCTION("""COMPUTED_VALUE"""),"Andy:)")</f>
        <v>Andy:)</v>
      </c>
      <c r="F630" s="63">
        <f>IFERROR(__xludf.DUMMYFUNCTION("""COMPUTED_VALUE"""),41097.0)</f>
        <v>41097</v>
      </c>
    </row>
    <row r="631">
      <c r="A631" s="59" t="str">
        <f>IFERROR(__xludf.DUMMYFUNCTION("""COMPUTED_VALUE"""),"Pocket Tanks Del")</f>
        <v>Pocket Tanks Del</v>
      </c>
      <c r="B631" s="60" t="str">
        <f>IFERROR(__xludf.DUMMYFUNCTION("""COMPUTED_VALUE"""),"v1.5")</f>
        <v>v1.5</v>
      </c>
      <c r="C631" s="61" t="str">
        <f>IFERROR(__xludf.DUMMYFUNCTION("""COMPUTED_VALUE"""),"Yes")</f>
        <v>Yes</v>
      </c>
      <c r="D631" s="62" t="str">
        <f>IFERROR(__xludf.DUMMYFUNCTION("""COMPUTED_VALUE"""),"Can purchase all weapon packs")</f>
        <v>Can purchase all weapon packs</v>
      </c>
      <c r="E631" s="61" t="str">
        <f>IFERROR(__xludf.DUMMYFUNCTION("""COMPUTED_VALUE"""),"sandertrieu1995")</f>
        <v>sandertrieu1995</v>
      </c>
      <c r="F631" s="41" t="str">
        <f>IFERROR(__xludf.DUMMYFUNCTION("""COMPUTED_VALUE"""),"26-06-2012")</f>
        <v>26-06-2012</v>
      </c>
    </row>
    <row r="632">
      <c r="A632" s="59" t="str">
        <f>IFERROR(__xludf.DUMMYFUNCTION("""COMPUTED_VALUE"""),"Pocket Warriors")</f>
        <v>Pocket Warriors</v>
      </c>
      <c r="B632" s="60"/>
      <c r="C632" s="61" t="str">
        <f>IFERROR(__xludf.DUMMYFUNCTION("""COMPUTED_VALUE"""),"Yes")</f>
        <v>Yes</v>
      </c>
      <c r="D632" s="62" t="str">
        <f>IFERROR(__xludf.DUMMYFUNCTION("""COMPUTED_VALUE"""),"You can buy anything. Works fine at least for me it did.")</f>
        <v>You can buy anything. Works fine at least for me it did.</v>
      </c>
      <c r="E632" s="61" t="str">
        <f>IFERROR(__xludf.DUMMYFUNCTION("""COMPUTED_VALUE"""),"Cloud")</f>
        <v>Cloud</v>
      </c>
      <c r="F632" s="63">
        <f>IFERROR(__xludf.DUMMYFUNCTION("""COMPUTED_VALUE"""),40930.0)</f>
        <v>40930</v>
      </c>
    </row>
    <row r="633">
      <c r="A633" s="59" t="str">
        <f>IFERROR(__xludf.DUMMYFUNCTION("""COMPUTED_VALUE"""),"Pokerist")</f>
        <v>Pokerist</v>
      </c>
      <c r="B633" s="60"/>
      <c r="C633" s="61" t="str">
        <f>IFERROR(__xludf.DUMMYFUNCTION("""COMPUTED_VALUE"""),"Yes")</f>
        <v>Yes</v>
      </c>
      <c r="D633" s="62"/>
      <c r="E633" s="61"/>
      <c r="F633" s="41"/>
    </row>
    <row r="634">
      <c r="A634" s="59" t="str">
        <f>IFERROR(__xludf.DUMMYFUNCTION("""COMPUTED_VALUE"""),"PolyMagic Lite")</f>
        <v>PolyMagic Lite</v>
      </c>
      <c r="B634" s="60"/>
      <c r="C634" s="61" t="str">
        <f>IFERROR(__xludf.DUMMYFUNCTION("""COMPUTED_VALUE"""),"Yes")</f>
        <v>Yes</v>
      </c>
      <c r="D634" s="62" t="str">
        <f>IFERROR(__xludf.DUMMYFUNCTION("""COMPUTED_VALUE"""),"Upgrade to full")</f>
        <v>Upgrade to full</v>
      </c>
      <c r="E634" s="61" t="str">
        <f>IFERROR(__xludf.DUMMYFUNCTION("""COMPUTED_VALUE"""),"Vista2k7")</f>
        <v>Vista2k7</v>
      </c>
      <c r="F634" s="63">
        <f>IFERROR(__xludf.DUMMYFUNCTION("""COMPUTED_VALUE"""),40926.0)</f>
        <v>40926</v>
      </c>
    </row>
    <row r="635">
      <c r="A635" s="59" t="str">
        <f>IFERROR(__xludf.DUMMYFUNCTION("""COMPUTED_VALUE"""),"PonPon DLX")</f>
        <v>PonPon DLX</v>
      </c>
      <c r="B635" s="60"/>
      <c r="C635" s="61" t="str">
        <f>IFERROR(__xludf.DUMMYFUNCTION("""COMPUTED_VALUE"""),"Yes")</f>
        <v>Yes</v>
      </c>
      <c r="D635" s="62" t="str">
        <f>IFERROR(__xludf.DUMMYFUNCTION("""COMPUTED_VALUE"""),"Store purchases work")</f>
        <v>Store purchases work</v>
      </c>
      <c r="E635" s="61" t="str">
        <f>IFERROR(__xludf.DUMMYFUNCTION("""COMPUTED_VALUE"""),"Persephone")</f>
        <v>Persephone</v>
      </c>
      <c r="F635" s="41"/>
    </row>
    <row r="636">
      <c r="A636" s="59" t="str">
        <f>IFERROR(__xludf.DUMMYFUNCTION("""COMPUTED_VALUE"""),"Pottery HD")</f>
        <v>Pottery HD</v>
      </c>
      <c r="B636" s="60"/>
      <c r="C636" s="61" t="str">
        <f>IFERROR(__xludf.DUMMYFUNCTION("""COMPUTED_VALUE"""),"Yes")</f>
        <v>Yes</v>
      </c>
      <c r="D636" s="62" t="str">
        <f>IFERROR(__xludf.DUMMYFUNCTION("""COMPUTED_VALUE"""),"Cam buy extra brushes ")</f>
        <v>Cam buy extra brushes </v>
      </c>
      <c r="E636" s="61" t="str">
        <f>IFERROR(__xludf.DUMMYFUNCTION("""COMPUTED_VALUE"""),"Laola")</f>
        <v>Laola</v>
      </c>
      <c r="F636" s="63">
        <f>IFERROR(__xludf.DUMMYFUNCTION("""COMPUTED_VALUE"""),40946.0)</f>
        <v>40946</v>
      </c>
    </row>
    <row r="637">
      <c r="A637" s="59" t="str">
        <f>IFERROR(__xludf.DUMMYFUNCTION("""COMPUTED_VALUE"""),"Powder Monkeys")</f>
        <v>Powder Monkeys</v>
      </c>
      <c r="B637" s="60"/>
      <c r="C637" s="61" t="str">
        <f>IFERROR(__xludf.DUMMYFUNCTION("""COMPUTED_VALUE"""),"Yes")</f>
        <v>Yes</v>
      </c>
      <c r="D637" s="62"/>
      <c r="E637" s="61"/>
      <c r="F637" s="41"/>
    </row>
    <row r="638">
      <c r="A638" s="59" t="str">
        <f>IFERROR(__xludf.DUMMYFUNCTION("""COMPUTED_VALUE"""),"Power of Coin")</f>
        <v>Power of Coin</v>
      </c>
      <c r="B638" s="60"/>
      <c r="C638" s="61" t="str">
        <f>IFERROR(__xludf.DUMMYFUNCTION("""COMPUTED_VALUE"""),"Yes")</f>
        <v>Yes</v>
      </c>
      <c r="D638" s="62"/>
      <c r="E638" s="61" t="str">
        <f>IFERROR(__xludf.DUMMYFUNCTION("""COMPUTED_VALUE"""),"Guk")</f>
        <v>Guk</v>
      </c>
      <c r="F638" s="63">
        <f>IFERROR(__xludf.DUMMYFUNCTION("""COMPUTED_VALUE"""),40881.0)</f>
        <v>40881</v>
      </c>
    </row>
    <row r="639">
      <c r="A639" s="59" t="str">
        <f>IFERROR(__xludf.DUMMYFUNCTION("""COMPUTED_VALUE"""),"PowerCam")</f>
        <v>PowerCam</v>
      </c>
      <c r="B639" s="60" t="str">
        <f>IFERROR(__xludf.DUMMYFUNCTION("""COMPUTED_VALUE"""),"2.0.3.0")</f>
        <v>2.0.3.0</v>
      </c>
      <c r="C639" s="61" t="str">
        <f>IFERROR(__xludf.DUMMYFUNCTION("""COMPUTED_VALUE"""),"Yes")</f>
        <v>Yes</v>
      </c>
      <c r="D639" s="62" t="str">
        <f>IFERROR(__xludf.DUMMYFUNCTION("""COMPUTED_VALUE"""),"Was able to unlock full version")</f>
        <v>Was able to unlock full version</v>
      </c>
      <c r="E639" s="61" t="str">
        <f>IFERROR(__xludf.DUMMYFUNCTION("""COMPUTED_VALUE"""),"Jim
")</f>
        <v>Jim
</v>
      </c>
      <c r="F639" s="63">
        <f>IFERROR(__xludf.DUMMYFUNCTION("""COMPUTED_VALUE"""),41165.0)</f>
        <v>41165</v>
      </c>
    </row>
    <row r="640">
      <c r="A640" s="59" t="str">
        <f>IFERROR(__xludf.DUMMYFUNCTION("""COMPUTED_VALUE"""),"Prince of Persia Classic HD")</f>
        <v>Prince of Persia Classic HD</v>
      </c>
      <c r="B640" s="60" t="str">
        <f>IFERROR(__xludf.DUMMYFUNCTION("""COMPUTED_VALUE"""),"2.0.1")</f>
        <v>2.0.1</v>
      </c>
      <c r="C640" s="61" t="str">
        <f>IFERROR(__xludf.DUMMYFUNCTION("""COMPUTED_VALUE"""),"Yes")</f>
        <v>Yes</v>
      </c>
      <c r="D640" s="62" t="str">
        <f>IFERROR(__xludf.DUMMYFUNCTION("""COMPUTED_VALUE"""),"Can buy lifes")</f>
        <v>Can buy lifes</v>
      </c>
      <c r="E640" s="61"/>
      <c r="F640" s="63">
        <f>IFERROR(__xludf.DUMMYFUNCTION("""COMPUTED_VALUE"""),41104.0)</f>
        <v>41104</v>
      </c>
    </row>
    <row r="641">
      <c r="A641" s="59" t="str">
        <f>IFERROR(__xludf.DUMMYFUNCTION("""COMPUTED_VALUE"""),"Princess punt")</f>
        <v>Princess punt</v>
      </c>
      <c r="B641" s="60"/>
      <c r="C641" s="61" t="str">
        <f>IFERROR(__xludf.DUMMYFUNCTION("""COMPUTED_VALUE"""),"Yes")</f>
        <v>Yes</v>
      </c>
      <c r="D641" s="62" t="str">
        <f>IFERROR(__xludf.DUMMYFUNCTION("""COMPUTED_VALUE"""),"Works when purchase level5")</f>
        <v>Works when purchase level5</v>
      </c>
      <c r="E641" s="61" t="str">
        <f>IFERROR(__xludf.DUMMYFUNCTION("""COMPUTED_VALUE"""),"Manson")</f>
        <v>Manson</v>
      </c>
      <c r="F641" s="63">
        <f>IFERROR(__xludf.DUMMYFUNCTION("""COMPUTED_VALUE"""),40912.0)</f>
        <v>40912</v>
      </c>
    </row>
    <row r="642">
      <c r="A642" s="59" t="str">
        <f>IFERROR(__xludf.DUMMYFUNCTION("""COMPUTED_VALUE"""),"Prize Claw HD")</f>
        <v>Prize Claw HD</v>
      </c>
      <c r="B642" s="60"/>
      <c r="C642" s="61" t="str">
        <f>IFERROR(__xludf.DUMMYFUNCTION("""COMPUTED_VALUE"""),"Yes")</f>
        <v>Yes</v>
      </c>
      <c r="D642" s="62"/>
      <c r="E642" s="61" t="str">
        <f>IFERROR(__xludf.DUMMYFUNCTION("""COMPUTED_VALUE"""),"Guk")</f>
        <v>Guk</v>
      </c>
      <c r="F642" s="63">
        <f>IFERROR(__xludf.DUMMYFUNCTION("""COMPUTED_VALUE"""),40883.0)</f>
        <v>40883</v>
      </c>
    </row>
    <row r="643">
      <c r="A643" s="59" t="str">
        <f>IFERROR(__xludf.DUMMYFUNCTION("""COMPUTED_VALUE"""),"Project MOS")</f>
        <v>Project MOS</v>
      </c>
      <c r="B643" s="60"/>
      <c r="C643" s="61" t="str">
        <f>IFERROR(__xludf.DUMMYFUNCTION("""COMPUTED_VALUE"""),"Yes")</f>
        <v>Yes</v>
      </c>
      <c r="D643" s="62" t="str">
        <f>IFERROR(__xludf.DUMMYFUNCTION("""COMPUTED_VALUE"""),"Works fine no errors")</f>
        <v>Works fine no errors</v>
      </c>
      <c r="E643" s="61" t="str">
        <f>IFERROR(__xludf.DUMMYFUNCTION("""COMPUTED_VALUE"""),"Signe")</f>
        <v>Signe</v>
      </c>
      <c r="F643" s="63">
        <f>IFERROR(__xludf.DUMMYFUNCTION("""COMPUTED_VALUE"""),40908.0)</f>
        <v>40908</v>
      </c>
    </row>
    <row r="644">
      <c r="A644" s="59" t="str">
        <f>IFERROR(__xludf.DUMMYFUNCTION("""COMPUTED_VALUE"""),"PS Express -- second dupe!!")</f>
        <v>PS Express -- second dupe!!</v>
      </c>
      <c r="B644" s="60"/>
      <c r="C644" s="61" t="str">
        <f>IFERROR(__xludf.DUMMYFUNCTION("""COMPUTED_VALUE"""),"Yes")</f>
        <v>Yes</v>
      </c>
      <c r="D644" s="62" t="str">
        <f>IFERROR(__xludf.DUMMYFUNCTION("""COMPUTED_VALUE"""),"Able to buy packages")</f>
        <v>Able to buy packages</v>
      </c>
      <c r="E644" s="61" t="str">
        <f>IFERROR(__xludf.DUMMYFUNCTION("""COMPUTED_VALUE"""),"Aarian")</f>
        <v>Aarian</v>
      </c>
      <c r="F644" s="63">
        <f>IFERROR(__xludf.DUMMYFUNCTION("""COMPUTED_VALUE"""),40896.0)</f>
        <v>40896</v>
      </c>
    </row>
    <row r="645">
      <c r="A645" s="59" t="str">
        <f>IFERROR(__xludf.DUMMYFUNCTION("""COMPUTED_VALUE"""),"PS3 Trophy")</f>
        <v>PS3 Trophy</v>
      </c>
      <c r="B645" s="60"/>
      <c r="C645" s="61" t="str">
        <f>IFERROR(__xludf.DUMMYFUNCTION("""COMPUTED_VALUE"""),"Yes")</f>
        <v>Yes</v>
      </c>
      <c r="D645" s="62"/>
      <c r="E645" s="61"/>
      <c r="F645" s="41"/>
    </row>
    <row r="646">
      <c r="A646" s="59" t="str">
        <f>IFERROR(__xludf.DUMMYFUNCTION("""COMPUTED_VALUE"""),"Pucca's Restaurant")</f>
        <v>Pucca's Restaurant</v>
      </c>
      <c r="B646" s="60" t="str">
        <f>IFERROR(__xludf.DUMMYFUNCTION("""COMPUTED_VALUE"""),"3.0.0")</f>
        <v>3.0.0</v>
      </c>
      <c r="C646" s="61" t="str">
        <f>IFERROR(__xludf.DUMMYFUNCTION("""COMPUTED_VALUE"""),"Yes")</f>
        <v>Yes</v>
      </c>
      <c r="D646" s="62" t="str">
        <f>IFERROR(__xludf.DUMMYFUNCTION("""COMPUTED_VALUE"""),"just turn on airplane mode then purchase")</f>
        <v>just turn on airplane mode then purchase</v>
      </c>
      <c r="E646" s="61" t="str">
        <f>IFERROR(__xludf.DUMMYFUNCTION("""COMPUTED_VALUE"""),"Chaos")</f>
        <v>Chaos</v>
      </c>
      <c r="F646" s="41"/>
    </row>
    <row r="647">
      <c r="A647" s="59" t="str">
        <f>IFERROR(__xludf.DUMMYFUNCTION("""COMPUTED_VALUE"""),"Puzzle Quest Chapters 1 &amp; 2")</f>
        <v>Puzzle Quest Chapters 1 &amp; 2</v>
      </c>
      <c r="B647" s="60"/>
      <c r="C647" s="61" t="str">
        <f>IFERROR(__xludf.DUMMYFUNCTION("""COMPUTED_VALUE"""),"Yes")</f>
        <v>Yes</v>
      </c>
      <c r="D647" s="62"/>
      <c r="E647" s="61" t="str">
        <f>IFERROR(__xludf.DUMMYFUNCTION("""COMPUTED_VALUE"""),"KimsunZ")</f>
        <v>KimsunZ</v>
      </c>
      <c r="F647" s="41"/>
    </row>
    <row r="648">
      <c r="A648" s="59" t="str">
        <f>IFERROR(__xludf.DUMMYFUNCTION("""COMPUTED_VALUE"""),"Q Pang")</f>
        <v>Q Pang</v>
      </c>
      <c r="B648" s="60"/>
      <c r="C648" s="61" t="str">
        <f>IFERROR(__xludf.DUMMYFUNCTION("""COMPUTED_VALUE"""),"Yes")</f>
        <v>Yes</v>
      </c>
      <c r="D648" s="62" t="str">
        <f>IFERROR(__xludf.DUMMYFUNCTION("""COMPUTED_VALUE"""),"purchase extra coins infinitely to upgrade abilities")</f>
        <v>purchase extra coins infinitely to upgrade abilities</v>
      </c>
      <c r="E648" s="61" t="str">
        <f>IFERROR(__xludf.DUMMYFUNCTION("""COMPUTED_VALUE"""),"gustao")</f>
        <v>gustao</v>
      </c>
      <c r="F648" s="41"/>
    </row>
    <row r="649">
      <c r="A649" s="59" t="str">
        <f>IFERROR(__xludf.DUMMYFUNCTION("""COMPUTED_VALUE"""),"QRReader (TapMedia)")</f>
        <v>QRReader (TapMedia)</v>
      </c>
      <c r="B649" s="60"/>
      <c r="C649" s="61" t="str">
        <f>IFERROR(__xludf.DUMMYFUNCTION("""COMPUTED_VALUE"""),"Yes")</f>
        <v>Yes</v>
      </c>
      <c r="D649" s="62"/>
      <c r="E649" s="61" t="str">
        <f>IFERROR(__xludf.DUMMYFUNCTION("""COMPUTED_VALUE"""),"rctgamer3")</f>
        <v>rctgamer3</v>
      </c>
      <c r="F649" s="63">
        <f>IFERROR(__xludf.DUMMYFUNCTION("""COMPUTED_VALUE"""),40876.0)</f>
        <v>40876</v>
      </c>
    </row>
    <row r="650">
      <c r="A650" s="59" t="str">
        <f>IFERROR(__xludf.DUMMYFUNCTION("""COMPUTED_VALUE"""),"Queen's Crown")</f>
        <v>Queen's Crown</v>
      </c>
      <c r="B650" s="60" t="str">
        <f>IFERROR(__xludf.DUMMYFUNCTION("""COMPUTED_VALUE"""),"1.1.3")</f>
        <v>1.1.3</v>
      </c>
      <c r="C650" s="61" t="str">
        <f>IFERROR(__xludf.DUMMYFUNCTION("""COMPUTED_VALUE"""),"Yes")</f>
        <v>Yes</v>
      </c>
      <c r="D650" s="62" t="str">
        <f>IFERROR(__xludf.DUMMYFUNCTION("""COMPUTED_VALUE"""),"Tested with genuine app v1.1.3. All IAP purchasable.")</f>
        <v>Tested with genuine app v1.1.3. All IAP purchasable.</v>
      </c>
      <c r="E650" s="61" t="str">
        <f>IFERROR(__xludf.DUMMYFUNCTION("""COMPUTED_VALUE"""),"zugzug")</f>
        <v>zugzug</v>
      </c>
      <c r="F650" s="63">
        <f>IFERROR(__xludf.DUMMYFUNCTION("""COMPUTED_VALUE"""),40937.0)</f>
        <v>40937</v>
      </c>
    </row>
    <row r="651">
      <c r="A651" s="59" t="str">
        <f>IFERROR(__xludf.DUMMYFUNCTION("""COMPUTED_VALUE"""),"Qui veut gagner des millions? (series)")</f>
        <v>Qui veut gagner des millions? (series)</v>
      </c>
      <c r="B651" s="60"/>
      <c r="C651" s="61" t="str">
        <f>IFERROR(__xludf.DUMMYFUNCTION("""COMPUTED_VALUE"""),"Yes")</f>
        <v>Yes</v>
      </c>
      <c r="D651" s="62" t="str">
        <f>IFERROR(__xludf.DUMMYFUNCTION("""COMPUTED_VALUE"""),"Buy new questions free")</f>
        <v>Buy new questions free</v>
      </c>
      <c r="E651" s="61" t="str">
        <f>IFERROR(__xludf.DUMMYFUNCTION("""COMPUTED_VALUE"""),"micorp")</f>
        <v>micorp</v>
      </c>
      <c r="F651" s="63">
        <f>IFERROR(__xludf.DUMMYFUNCTION("""COMPUTED_VALUE"""),40891.0)</f>
        <v>40891</v>
      </c>
    </row>
    <row r="652">
      <c r="A652" s="59" t="str">
        <f>IFERROR(__xludf.DUMMYFUNCTION("""COMPUTED_VALUE"""),"QuickOffice Lite")</f>
        <v>QuickOffice Lite</v>
      </c>
      <c r="B652" s="60"/>
      <c r="C652" s="61" t="str">
        <f>IFERROR(__xludf.DUMMYFUNCTION("""COMPUTED_VALUE"""),"Yes")</f>
        <v>Yes</v>
      </c>
      <c r="D652" s="62"/>
      <c r="E652" s="61" t="str">
        <f>IFERROR(__xludf.DUMMYFUNCTION("""COMPUTED_VALUE"""),"Dansco")</f>
        <v>Dansco</v>
      </c>
      <c r="F652" s="63">
        <f>IFERROR(__xludf.DUMMYFUNCTION("""COMPUTED_VALUE"""),40793.9138888889)</f>
        <v>40793.91389</v>
      </c>
    </row>
    <row r="653">
      <c r="A653" s="59" t="str">
        <f>IFERROR(__xludf.DUMMYFUNCTION("""COMPUTED_VALUE"""),"Race Penguin")</f>
        <v>Race Penguin</v>
      </c>
      <c r="B653" s="60"/>
      <c r="C653" s="61" t="str">
        <f>IFERROR(__xludf.DUMMYFUNCTION("""COMPUTED_VALUE"""),"Yes")</f>
        <v>Yes</v>
      </c>
      <c r="D653" s="62" t="str">
        <f>IFERROR(__xludf.DUMMYFUNCTION("""COMPUTED_VALUE"""),"InApp purchases work")</f>
        <v>InApp purchases work</v>
      </c>
      <c r="E653" s="61"/>
      <c r="F653" s="41"/>
    </row>
    <row r="654">
      <c r="A654" s="59" t="str">
        <f>IFERROR(__xludf.DUMMYFUNCTION("""COMPUTED_VALUE"""),"Racing Cookie Adventure")</f>
        <v>Racing Cookie Adventure</v>
      </c>
      <c r="B654" s="60"/>
      <c r="C654" s="61" t="str">
        <f>IFERROR(__xludf.DUMMYFUNCTION("""COMPUTED_VALUE"""),"Yes")</f>
        <v>Yes</v>
      </c>
      <c r="D654" s="62"/>
      <c r="E654" s="61" t="str">
        <f>IFERROR(__xludf.DUMMYFUNCTION("""COMPUTED_VALUE"""),"mytich")</f>
        <v>mytich</v>
      </c>
      <c r="F654" s="63">
        <f>IFERROR(__xludf.DUMMYFUNCTION("""COMPUTED_VALUE"""),40794.0368055556)</f>
        <v>40794.03681</v>
      </c>
    </row>
    <row r="655">
      <c r="A655" s="59" t="str">
        <f>IFERROR(__xludf.DUMMYFUNCTION("""COMPUTED_VALUE"""),"Rack Stare")</f>
        <v>Rack Stare</v>
      </c>
      <c r="B655" s="60"/>
      <c r="C655" s="61" t="str">
        <f>IFERROR(__xludf.DUMMYFUNCTION("""COMPUTED_VALUE"""),"Yes")</f>
        <v>Yes</v>
      </c>
      <c r="D655" s="62" t="str">
        <f>IFERROR(__xludf.DUMMYFUNCTION("""COMPUTED_VALUE"""),"Unlock levels work")</f>
        <v>Unlock levels work</v>
      </c>
      <c r="E655" s="61" t="str">
        <f>IFERROR(__xludf.DUMMYFUNCTION("""COMPUTED_VALUE"""),"Persephone")</f>
        <v>Persephone</v>
      </c>
      <c r="F655" s="41"/>
    </row>
    <row r="656">
      <c r="A656" s="59" t="str">
        <f>IFERROR(__xludf.DUMMYFUNCTION("""COMPUTED_VALUE"""),"Ragdoll Blaster 3")</f>
        <v>Ragdoll Blaster 3</v>
      </c>
      <c r="B656" s="60"/>
      <c r="C656" s="61" t="str">
        <f>IFERROR(__xludf.DUMMYFUNCTION("""COMPUTED_VALUE"""),"Yes")</f>
        <v>Yes</v>
      </c>
      <c r="D656" s="62" t="str">
        <f>IFERROR(__xludf.DUMMYFUNCTION("""COMPUTED_VALUE"""),"To purchase buttons and Rocket Doll you must have ""Remove Metadata"" on Installous turned off otherwise you will get iTunes error.")</f>
        <v>To purchase buttons and Rocket Doll you must have "Remove Metadata" on Installous turned off otherwise you will get iTunes error.</v>
      </c>
      <c r="E656" s="61" t="str">
        <f>IFERROR(__xludf.DUMMYFUNCTION("""COMPUTED_VALUE"""),"Nakediguana, Zaraf")</f>
        <v>Nakediguana, Zaraf</v>
      </c>
      <c r="F656" s="63">
        <f>IFERROR(__xludf.DUMMYFUNCTION("""COMPUTED_VALUE"""),40949.0)</f>
        <v>40949</v>
      </c>
    </row>
    <row r="657">
      <c r="A657" s="59" t="str">
        <f>IFERROR(__xludf.DUMMYFUNCTION("""COMPUTED_VALUE"""),"Ragnarok Violet")</f>
        <v>Ragnarok Violet</v>
      </c>
      <c r="B657" s="60"/>
      <c r="C657" s="61" t="str">
        <f>IFERROR(__xludf.DUMMYFUNCTION("""COMPUTED_VALUE"""),"Yes")</f>
        <v>Yes</v>
      </c>
      <c r="D657" s="62" t="str">
        <f>IFERROR(__xludf.DUMMYFUNCTION("""COMPUTED_VALUE"""),"Able to buy from the shop.")</f>
        <v>Able to buy from the shop.</v>
      </c>
      <c r="E657" s="61" t="str">
        <f>IFERROR(__xludf.DUMMYFUNCTION("""COMPUTED_VALUE"""),"Aarian")</f>
        <v>Aarian</v>
      </c>
      <c r="F657" s="63">
        <f>IFERROR(__xludf.DUMMYFUNCTION("""COMPUTED_VALUE"""),40896.0)</f>
        <v>40896</v>
      </c>
    </row>
    <row r="658">
      <c r="A658" s="59" t="str">
        <f>IFERROR(__xludf.DUMMYFUNCTION("""COMPUTED_VALUE"""),"Raid Leader")</f>
        <v>Raid Leader</v>
      </c>
      <c r="B658" s="60"/>
      <c r="C658" s="61" t="str">
        <f>IFERROR(__xludf.DUMMYFUNCTION("""COMPUTED_VALUE"""),"Yes")</f>
        <v>Yes</v>
      </c>
      <c r="D658" s="62" t="str">
        <f>IFERROR(__xludf.DUMMYFUNCTION("""COMPUTED_VALUE"""),"You can buy coins.")</f>
        <v>You can buy coins.</v>
      </c>
      <c r="E658" s="61" t="str">
        <f>IFERROR(__xludf.DUMMYFUNCTION("""COMPUTED_VALUE"""),"Zaraf")</f>
        <v>Zaraf</v>
      </c>
      <c r="F658" s="63">
        <f>IFERROR(__xludf.DUMMYFUNCTION("""COMPUTED_VALUE"""),40948.0)</f>
        <v>40948</v>
      </c>
    </row>
    <row r="659">
      <c r="A659" s="59" t="str">
        <f>IFERROR(__xludf.DUMMYFUNCTION("""COMPUTED_VALUE"""),"Rail Maze Pro / HD")</f>
        <v>Rail Maze Pro / HD</v>
      </c>
      <c r="B659" s="60"/>
      <c r="C659" s="61" t="str">
        <f>IFERROR(__xludf.DUMMYFUNCTION("""COMPUTED_VALUE"""),"Yes")</f>
        <v>Yes</v>
      </c>
      <c r="D659" s="62"/>
      <c r="E659" s="61" t="str">
        <f>IFERROR(__xludf.DUMMYFUNCTION("""COMPUTED_VALUE"""),"Dizzy")</f>
        <v>Dizzy</v>
      </c>
      <c r="F659" s="63">
        <f>IFERROR(__xludf.DUMMYFUNCTION("""COMPUTED_VALUE"""),40910.0)</f>
        <v>40910</v>
      </c>
    </row>
    <row r="660">
      <c r="A660" s="59" t="str">
        <f>IFERROR(__xludf.DUMMYFUNCTION("""COMPUTED_VALUE"""),"RaOne")</f>
        <v>RaOne</v>
      </c>
      <c r="B660" s="60"/>
      <c r="C660" s="61" t="str">
        <f>IFERROR(__xludf.DUMMYFUNCTION("""COMPUTED_VALUE"""),"Yes")</f>
        <v>Yes</v>
      </c>
      <c r="D660" s="62" t="str">
        <f>IFERROR(__xludf.DUMMYFUNCTION("""COMPUTED_VALUE"""),"Connect to wifi before open the game")</f>
        <v>Connect to wifi before open the game</v>
      </c>
      <c r="E660" s="61" t="str">
        <f>IFERROR(__xludf.DUMMYFUNCTION("""COMPUTED_VALUE"""),"luudaigiang")</f>
        <v>luudaigiang</v>
      </c>
      <c r="F660" s="63">
        <f>IFERROR(__xludf.DUMMYFUNCTION("""COMPUTED_VALUE"""),40922.0)</f>
        <v>40922</v>
      </c>
    </row>
    <row r="661">
      <c r="A661" s="59" t="str">
        <f>IFERROR(__xludf.DUMMYFUNCTION("""COMPUTED_VALUE"""),"RC Plane 2")</f>
        <v>RC Plane 2</v>
      </c>
      <c r="B661" s="60"/>
      <c r="C661" s="61" t="str">
        <f>IFERROR(__xludf.DUMMYFUNCTION("""COMPUTED_VALUE"""),"Yes")</f>
        <v>Yes</v>
      </c>
      <c r="D661" s="62" t="str">
        <f>IFERROR(__xludf.DUMMYFUNCTION("""COMPUTED_VALUE"""),"Purchase the plane, kill the app and relaunch the game.")</f>
        <v>Purchase the plane, kill the app and relaunch the game.</v>
      </c>
      <c r="E661" s="61" t="str">
        <f>IFERROR(__xludf.DUMMYFUNCTION("""COMPUTED_VALUE"""),"Maloon, mohseen")</f>
        <v>Maloon, mohseen</v>
      </c>
      <c r="F661" s="63">
        <f>IFERROR(__xludf.DUMMYFUNCTION("""COMPUTED_VALUE"""),40955.0)</f>
        <v>40955</v>
      </c>
    </row>
    <row r="662">
      <c r="A662" s="59" t="str">
        <f>IFERROR(__xludf.DUMMYFUNCTION("""COMPUTED_VALUE"""),"Receipts")</f>
        <v>Receipts</v>
      </c>
      <c r="B662" s="60"/>
      <c r="C662" s="61" t="str">
        <f>IFERROR(__xludf.DUMMYFUNCTION("""COMPUTED_VALUE"""),"Yes")</f>
        <v>Yes</v>
      </c>
      <c r="D662" s="62"/>
      <c r="E662" s="61" t="str">
        <f>IFERROR(__xludf.DUMMYFUNCTION("""COMPUTED_VALUE"""),"rctgamer3")</f>
        <v>rctgamer3</v>
      </c>
      <c r="F662" s="63">
        <f>IFERROR(__xludf.DUMMYFUNCTION("""COMPUTED_VALUE"""),40903.0)</f>
        <v>40903</v>
      </c>
    </row>
    <row r="663">
      <c r="A663" s="59" t="str">
        <f>IFERROR(__xludf.DUMMYFUNCTION("""COMPUTED_VALUE"""),"Recess™")</f>
        <v>Recess™</v>
      </c>
      <c r="B663" s="60"/>
      <c r="C663" s="61" t="str">
        <f>IFERROR(__xludf.DUMMYFUNCTION("""COMPUTED_VALUE"""),"Yes")</f>
        <v>Yes</v>
      </c>
      <c r="D663" s="62"/>
      <c r="E663" s="61"/>
      <c r="F663" s="41"/>
    </row>
    <row r="664">
      <c r="A664" s="59" t="str">
        <f>IFERROR(__xludf.DUMMYFUNCTION("""COMPUTED_VALUE"""),"Reckless Racing 2")</f>
        <v>Reckless Racing 2</v>
      </c>
      <c r="B664" s="60"/>
      <c r="C664" s="61" t="str">
        <f>IFERROR(__xludf.DUMMYFUNCTION("""COMPUTED_VALUE"""),"Yes")</f>
        <v>Yes</v>
      </c>
      <c r="D664" s="62"/>
      <c r="E664" s="61" t="str">
        <f>IFERROR(__xludf.DUMMYFUNCTION("""COMPUTED_VALUE"""),"Ryan7w")</f>
        <v>Ryan7w</v>
      </c>
      <c r="F664" s="63">
        <f>IFERROR(__xludf.DUMMYFUNCTION("""COMPUTED_VALUE"""),40944.0)</f>
        <v>40944</v>
      </c>
    </row>
    <row r="665">
      <c r="A665" s="59" t="str">
        <f>IFERROR(__xludf.DUMMYFUNCTION("""COMPUTED_VALUE"""),"Reflec Beat Plus")</f>
        <v>Reflec Beat Plus</v>
      </c>
      <c r="B665" s="60"/>
      <c r="C665" s="61" t="str">
        <f>IFERROR(__xludf.DUMMYFUNCTION("""COMPUTED_VALUE"""),"Yes")</f>
        <v>Yes</v>
      </c>
      <c r="D665" s="62" t="str">
        <f>IFERROR(__xludf.DUMMYFUNCTION("""COMPUTED_VALUE"""),"Able to purchase additional song packs")</f>
        <v>Able to purchase additional song packs</v>
      </c>
      <c r="E665" s="61" t="str">
        <f>IFERROR(__xludf.DUMMYFUNCTION("""COMPUTED_VALUE"""),"kahox")</f>
        <v>kahox</v>
      </c>
      <c r="F665" s="63">
        <f>IFERROR(__xludf.DUMMYFUNCTION("""COMPUTED_VALUE"""),40897.0)</f>
        <v>40897</v>
      </c>
    </row>
    <row r="666">
      <c r="A666" s="59" t="str">
        <f>IFERROR(__xludf.DUMMYFUNCTION("""COMPUTED_VALUE"""),"Reiner Knizia's ClusterMaster")</f>
        <v>Reiner Knizia's ClusterMaster</v>
      </c>
      <c r="B666" s="60"/>
      <c r="C666" s="61" t="str">
        <f>IFERROR(__xludf.DUMMYFUNCTION("""COMPUTED_VALUE"""),"Yes")</f>
        <v>Yes</v>
      </c>
      <c r="D666" s="62"/>
      <c r="E666" s="61" t="str">
        <f>IFERROR(__xludf.DUMMYFUNCTION("""COMPUTED_VALUE"""),"TheJuice")</f>
        <v>TheJuice</v>
      </c>
      <c r="F666" s="63">
        <f>IFERROR(__xludf.DUMMYFUNCTION("""COMPUTED_VALUE"""),40905.0)</f>
        <v>40905</v>
      </c>
    </row>
    <row r="667">
      <c r="A667" s="59" t="str">
        <f>IFERROR(__xludf.DUMMYFUNCTION("""COMPUTED_VALUE"""),"Reiner Knizia's Labyrinth HD Lite")</f>
        <v>Reiner Knizia's Labyrinth HD Lite</v>
      </c>
      <c r="B667" s="60"/>
      <c r="C667" s="61" t="str">
        <f>IFERROR(__xludf.DUMMYFUNCTION("""COMPUTED_VALUE"""),"Yes")</f>
        <v>Yes</v>
      </c>
      <c r="D667" s="62"/>
      <c r="E667" s="61" t="str">
        <f>IFERROR(__xludf.DUMMYFUNCTION("""COMPUTED_VALUE"""),"TheJuice")</f>
        <v>TheJuice</v>
      </c>
      <c r="F667" s="63">
        <f>IFERROR(__xludf.DUMMYFUNCTION("""COMPUTED_VALUE"""),40905.0)</f>
        <v>40905</v>
      </c>
    </row>
    <row r="668">
      <c r="A668" s="59" t="str">
        <f>IFERROR(__xludf.DUMMYFUNCTION("""COMPUTED_VALUE"""),"Remoter VNC")</f>
        <v>Remoter VNC</v>
      </c>
      <c r="B668" s="60"/>
      <c r="C668" s="61" t="str">
        <f>IFERROR(__xludf.DUMMYFUNCTION("""COMPUTED_VALUE"""),"Yes")</f>
        <v>Yes</v>
      </c>
      <c r="D668" s="62" t="str">
        <f>IFERROR(__xludf.DUMMYFUNCTION("""COMPUTED_VALUE"""),"works completly :)")</f>
        <v>works completly :)</v>
      </c>
      <c r="E668" s="61" t="str">
        <f>IFERROR(__xludf.DUMMYFUNCTION("""COMPUTED_VALUE"""),"LogiTexX")</f>
        <v>LogiTexX</v>
      </c>
      <c r="F668" s="63">
        <f>IFERROR(__xludf.DUMMYFUNCTION("""COMPUTED_VALUE"""),40952.0)</f>
        <v>40952</v>
      </c>
    </row>
    <row r="669">
      <c r="A669" s="59" t="str">
        <f>IFERROR(__xludf.DUMMYFUNCTION("""COMPUTED_VALUE"""),"RemoteX PowerManager")</f>
        <v>RemoteX PowerManager</v>
      </c>
      <c r="B669" s="60"/>
      <c r="C669" s="61" t="str">
        <f>IFERROR(__xludf.DUMMYFUNCTION("""COMPUTED_VALUE"""),"Yes")</f>
        <v>Yes</v>
      </c>
      <c r="D669" s="62"/>
      <c r="E669" s="61"/>
      <c r="F669" s="41"/>
    </row>
    <row r="670">
      <c r="A670" s="59" t="str">
        <f>IFERROR(__xludf.DUMMYFUNCTION("""COMPUTED_VALUE"""),"RemoteX Premium")</f>
        <v>RemoteX Premium</v>
      </c>
      <c r="B670" s="60"/>
      <c r="C670" s="61" t="str">
        <f>IFERROR(__xludf.DUMMYFUNCTION("""COMPUTED_VALUE"""),"Yes")</f>
        <v>Yes</v>
      </c>
      <c r="D670" s="62"/>
      <c r="E670" s="61" t="str">
        <f>IFERROR(__xludf.DUMMYFUNCTION("""COMPUTED_VALUE"""),"fi6e")</f>
        <v>fi6e</v>
      </c>
      <c r="F670" s="63">
        <f>IFERROR(__xludf.DUMMYFUNCTION("""COMPUTED_VALUE"""),40923.0)</f>
        <v>40923</v>
      </c>
    </row>
    <row r="671">
      <c r="A671" s="59" t="str">
        <f>IFERROR(__xludf.DUMMYFUNCTION("""COMPUTED_VALUE"""),"Rerave")</f>
        <v>Rerave</v>
      </c>
      <c r="B671" s="60"/>
      <c r="C671" s="61" t="str">
        <f>IFERROR(__xludf.DUMMYFUNCTION("""COMPUTED_VALUE"""),"Yes")</f>
        <v>Yes</v>
      </c>
      <c r="D671" s="62" t="str">
        <f>IFERROR(__xludf.DUMMYFUNCTION("""COMPUTED_VALUE"""),"Can buy premium songs")</f>
        <v>Can buy premium songs</v>
      </c>
      <c r="E671" s="61" t="str">
        <f>IFERROR(__xludf.DUMMYFUNCTION("""COMPUTED_VALUE"""),"Calviin")</f>
        <v>Calviin</v>
      </c>
      <c r="F671" s="63">
        <f>IFERROR(__xludf.DUMMYFUNCTION("""COMPUTED_VALUE"""),40937.0)</f>
        <v>40937</v>
      </c>
    </row>
    <row r="672">
      <c r="A672" s="59" t="str">
        <f>IFERROR(__xludf.DUMMYFUNCTION("""COMPUTED_VALUE"""),"Retina HD")</f>
        <v>Retina HD</v>
      </c>
      <c r="B672" s="60"/>
      <c r="C672" s="61" t="str">
        <f>IFERROR(__xludf.DUMMYFUNCTION("""COMPUTED_VALUE"""),"Yes")</f>
        <v>Yes</v>
      </c>
      <c r="D672" s="62" t="str">
        <f>IFERROR(__xludf.DUMMYFUNCTION("""COMPUTED_VALUE"""),"Store purchases work")</f>
        <v>Store purchases work</v>
      </c>
      <c r="E672" s="61" t="str">
        <f>IFERROR(__xludf.DUMMYFUNCTION("""COMPUTED_VALUE"""),"Persephone")</f>
        <v>Persephone</v>
      </c>
      <c r="F672" s="41"/>
    </row>
    <row r="673">
      <c r="A673" s="59" t="str">
        <f>IFERROR(__xludf.DUMMYFUNCTION("""COMPUTED_VALUE"""),"Ridge Racer Accelerated HD")</f>
        <v>Ridge Racer Accelerated HD</v>
      </c>
      <c r="B673" s="60"/>
      <c r="C673" s="61" t="str">
        <f>IFERROR(__xludf.DUMMYFUNCTION("""COMPUTED_VALUE"""),"Yes")</f>
        <v>Yes</v>
      </c>
      <c r="D673" s="62" t="str">
        <f>IFERROR(__xludf.DUMMYFUNCTION("""COMPUTED_VALUE"""),"Unlock Full version")</f>
        <v>Unlock Full version</v>
      </c>
      <c r="E673" s="61" t="str">
        <f>IFERROR(__xludf.DUMMYFUNCTION("""COMPUTED_VALUE"""),"Guk")</f>
        <v>Guk</v>
      </c>
      <c r="F673" s="63">
        <f>IFERROR(__xludf.DUMMYFUNCTION("""COMPUTED_VALUE"""),40885.0)</f>
        <v>40885</v>
      </c>
    </row>
    <row r="674">
      <c r="A674" s="59" t="str">
        <f>IFERROR(__xludf.DUMMYFUNCTION("""COMPUTED_VALUE"""),"Ringtones")</f>
        <v>Ringtones</v>
      </c>
      <c r="B674" s="60"/>
      <c r="C674" s="61" t="str">
        <f>IFERROR(__xludf.DUMMYFUNCTION("""COMPUTED_VALUE"""),"Yes")</f>
        <v>Yes</v>
      </c>
      <c r="D674" s="62" t="str">
        <f>IFERROR(__xludf.DUMMYFUNCTION("""COMPUTED_VALUE"""),"Works great!")</f>
        <v>Works great!</v>
      </c>
      <c r="E674" s="61" t="str">
        <f>IFERROR(__xludf.DUMMYFUNCTION("""COMPUTED_VALUE"""),"Greek-Immortal")</f>
        <v>Greek-Immortal</v>
      </c>
      <c r="F674" s="63">
        <f>IFERROR(__xludf.DUMMYFUNCTION("""COMPUTED_VALUE"""),40915.0)</f>
        <v>40915</v>
      </c>
    </row>
    <row r="675">
      <c r="A675" s="59" t="str">
        <f>IFERROR(__xludf.DUMMYFUNCTION("""COMPUTED_VALUE"""),"Rise of Heroes / HD")</f>
        <v>Rise of Heroes / HD</v>
      </c>
      <c r="B675" s="60"/>
      <c r="C675" s="61" t="str">
        <f>IFERROR(__xludf.DUMMYFUNCTION("""COMPUTED_VALUE"""),"Yes")</f>
        <v>Yes</v>
      </c>
      <c r="D675" s="62" t="str">
        <f>IFERROR(__xludf.DUMMYFUNCTION("""COMPUTED_VALUE"""),"Buy everything")</f>
        <v>Buy everything</v>
      </c>
      <c r="E675" s="61" t="str">
        <f>IFERROR(__xludf.DUMMYFUNCTION("""COMPUTED_VALUE"""),"phatpham")</f>
        <v>phatpham</v>
      </c>
      <c r="F675" s="63">
        <f>IFERROR(__xludf.DUMMYFUNCTION("""COMPUTED_VALUE"""),40901.0)</f>
        <v>40901</v>
      </c>
    </row>
    <row r="676">
      <c r="A676" s="59" t="str">
        <f>IFERROR(__xludf.DUMMYFUNCTION("""COMPUTED_VALUE"""),"Road Trip")</f>
        <v>Road Trip</v>
      </c>
      <c r="B676" s="60"/>
      <c r="C676" s="61" t="str">
        <f>IFERROR(__xludf.DUMMYFUNCTION("""COMPUTED_VALUE"""),"Yes")</f>
        <v>Yes</v>
      </c>
      <c r="D676" s="62" t="str">
        <f>IFERROR(__xludf.DUMMYFUNCTION("""COMPUTED_VALUE"""),"Unlock All Cars")</f>
        <v>Unlock All Cars</v>
      </c>
      <c r="E676" s="61" t="str">
        <f>IFERROR(__xludf.DUMMYFUNCTION("""COMPUTED_VALUE"""),"squeaky369")</f>
        <v>squeaky369</v>
      </c>
      <c r="F676" s="63">
        <f>IFERROR(__xludf.DUMMYFUNCTION("""COMPUTED_VALUE"""),40887.0)</f>
        <v>40887</v>
      </c>
    </row>
    <row r="677">
      <c r="A677" s="59" t="str">
        <f>IFERROR(__xludf.DUMMYFUNCTION("""COMPUTED_VALUE"""),"Road Warrior")</f>
        <v>Road Warrior</v>
      </c>
      <c r="B677" s="60"/>
      <c r="C677" s="61" t="str">
        <f>IFERROR(__xludf.DUMMYFUNCTION("""COMPUTED_VALUE"""),"Yes")</f>
        <v>Yes</v>
      </c>
      <c r="D677" s="62" t="str">
        <f>IFERROR(__xludf.DUMMYFUNCTION("""COMPUTED_VALUE"""),"Purchase more cash")</f>
        <v>Purchase more cash</v>
      </c>
      <c r="E677" s="61" t="str">
        <f>IFERROR(__xludf.DUMMYFUNCTION("""COMPUTED_VALUE"""),"Jaaaaaaaaaam")</f>
        <v>Jaaaaaaaaaam</v>
      </c>
      <c r="F677" s="63">
        <f>IFERROR(__xludf.DUMMYFUNCTION("""COMPUTED_VALUE"""),40887.0)</f>
        <v>40887</v>
      </c>
    </row>
    <row r="678">
      <c r="A678" s="59" t="str">
        <f>IFERROR(__xludf.DUMMYFUNCTION("""COMPUTED_VALUE"""),"RoadAndTrack")</f>
        <v>RoadAndTrack</v>
      </c>
      <c r="B678" s="60"/>
      <c r="C678" s="61" t="str">
        <f>IFERROR(__xludf.DUMMYFUNCTION("""COMPUTED_VALUE"""),"Yes")</f>
        <v>Yes</v>
      </c>
      <c r="D678" s="62"/>
      <c r="E678" s="61"/>
      <c r="F678" s="41"/>
    </row>
    <row r="679">
      <c r="A679" s="59" t="str">
        <f>IFERROR(__xludf.DUMMYFUNCTION("""COMPUTED_VALUE"""),"Robber Rabbits")</f>
        <v>Robber Rabbits</v>
      </c>
      <c r="B679" s="60">
        <f>IFERROR(__xludf.DUMMYFUNCTION("""COMPUTED_VALUE"""),1.2)</f>
        <v>1.2</v>
      </c>
      <c r="C679" s="61" t="str">
        <f>IFERROR(__xludf.DUMMYFUNCTION("""COMPUTED_VALUE"""),"Yes")</f>
        <v>Yes</v>
      </c>
      <c r="D679" s="62" t="str">
        <f>IFERROR(__xludf.DUMMYFUNCTION("""COMPUTED_VALUE"""),"Able to purchase bullets for all guns")</f>
        <v>Able to purchase bullets for all guns</v>
      </c>
      <c r="E679" s="61" t="str">
        <f>IFERROR(__xludf.DUMMYFUNCTION("""COMPUTED_VALUE"""),"chowlala")</f>
        <v>chowlala</v>
      </c>
      <c r="F679" s="63">
        <f>IFERROR(__xludf.DUMMYFUNCTION("""COMPUTED_VALUE"""),40933.0)</f>
        <v>40933</v>
      </c>
    </row>
    <row r="680">
      <c r="A680" s="59" t="str">
        <f>IFERROR(__xludf.DUMMYFUNCTION("""COMPUTED_VALUE"""),"Robbery Bob")</f>
        <v>Robbery Bob</v>
      </c>
      <c r="B680" s="60"/>
      <c r="C680" s="61" t="str">
        <f>IFERROR(__xludf.DUMMYFUNCTION("""COMPUTED_VALUE"""),"Yes")</f>
        <v>Yes</v>
      </c>
      <c r="D680" s="62" t="str">
        <f>IFERROR(__xludf.DUMMYFUNCTION("""COMPUTED_VALUE"""),"Buy Coin Easily")</f>
        <v>Buy Coin Easily</v>
      </c>
      <c r="E680" s="61" t="str">
        <f>IFERROR(__xludf.DUMMYFUNCTION("""COMPUTED_VALUE"""),"Ace9311")</f>
        <v>Ace9311</v>
      </c>
      <c r="F680" s="63">
        <f>IFERROR(__xludf.DUMMYFUNCTION("""COMPUTED_VALUE"""),41157.0)</f>
        <v>41157</v>
      </c>
    </row>
    <row r="681">
      <c r="A681" s="59" t="str">
        <f>IFERROR(__xludf.DUMMYFUNCTION("""COMPUTED_VALUE"""),"Robo Hero")</f>
        <v>Robo Hero</v>
      </c>
      <c r="B681" s="60"/>
      <c r="C681" s="61" t="str">
        <f>IFERROR(__xludf.DUMMYFUNCTION("""COMPUTED_VALUE"""),"Yes")</f>
        <v>Yes</v>
      </c>
      <c r="D681" s="62" t="str">
        <f>IFERROR(__xludf.DUMMYFUNCTION("""COMPUTED_VALUE"""),"Unlocks full game")</f>
        <v>Unlocks full game</v>
      </c>
      <c r="E681" s="61" t="str">
        <f>IFERROR(__xludf.DUMMYFUNCTION("""COMPUTED_VALUE"""),"James")</f>
        <v>James</v>
      </c>
      <c r="F681" s="63">
        <f>IFERROR(__xludf.DUMMYFUNCTION("""COMPUTED_VALUE"""),40927.0)</f>
        <v>40927</v>
      </c>
    </row>
    <row r="682">
      <c r="A682" s="59" t="str">
        <f>IFERROR(__xludf.DUMMYFUNCTION("""COMPUTED_VALUE"""),"Robot Wants Kitty")</f>
        <v>Robot Wants Kitty</v>
      </c>
      <c r="B682" s="60"/>
      <c r="C682" s="61" t="str">
        <f>IFERROR(__xludf.DUMMYFUNCTION("""COMPUTED_VALUE"""),"Yes")</f>
        <v>Yes</v>
      </c>
      <c r="D682" s="62"/>
      <c r="E682" s="61" t="str">
        <f>IFERROR(__xludf.DUMMYFUNCTION("""COMPUTED_VALUE"""),"Kals")</f>
        <v>Kals</v>
      </c>
      <c r="F682" s="63">
        <f>IFERROR(__xludf.DUMMYFUNCTION("""COMPUTED_VALUE"""),40947.0)</f>
        <v>40947</v>
      </c>
    </row>
    <row r="683">
      <c r="A683" s="59" t="str">
        <f>IFERROR(__xludf.DUMMYFUNCTION("""COMPUTED_VALUE"""),"Rock Band")</f>
        <v>Rock Band</v>
      </c>
      <c r="B683" s="60"/>
      <c r="C683" s="61" t="str">
        <f>IFERROR(__xludf.DUMMYFUNCTION("""COMPUTED_VALUE"""),"Yes")</f>
        <v>Yes</v>
      </c>
      <c r="D683" s="62" t="str">
        <f>IFERROR(__xludf.DUMMYFUNCTION("""COMPUTED_VALUE"""),"Works on all songs")</f>
        <v>Works on all songs</v>
      </c>
      <c r="E683" s="61" t="str">
        <f>IFERROR(__xludf.DUMMYFUNCTION("""COMPUTED_VALUE"""),"Jinxhackwear")</f>
        <v>Jinxhackwear</v>
      </c>
      <c r="F683" s="63">
        <f>IFERROR(__xludf.DUMMYFUNCTION("""COMPUTED_VALUE"""),40892.0)</f>
        <v>40892</v>
      </c>
    </row>
    <row r="684">
      <c r="A684" s="59" t="str">
        <f>IFERROR(__xludf.DUMMYFUNCTION("""COMPUTED_VALUE"""),"Rock Band Reloaded")</f>
        <v>Rock Band Reloaded</v>
      </c>
      <c r="B684" s="60"/>
      <c r="C684" s="61" t="str">
        <f>IFERROR(__xludf.DUMMYFUNCTION("""COMPUTED_VALUE"""),"Yes")</f>
        <v>Yes</v>
      </c>
      <c r="D684" s="62" t="str">
        <f>IFERROR(__xludf.DUMMYFUNCTION("""COMPUTED_VALUE"""),"go to the Music Store and purchase whatever you want!")</f>
        <v>go to the Music Store and purchase whatever you want!</v>
      </c>
      <c r="E684" s="61" t="str">
        <f>IFERROR(__xludf.DUMMYFUNCTION("""COMPUTED_VALUE"""),"MegaHack")</f>
        <v>MegaHack</v>
      </c>
      <c r="F684" s="63">
        <f>IFERROR(__xludf.DUMMYFUNCTION("""COMPUTED_VALUE"""),40877.0)</f>
        <v>40877</v>
      </c>
    </row>
    <row r="685">
      <c r="A685" s="59" t="str">
        <f>IFERROR(__xludf.DUMMYFUNCTION("""COMPUTED_VALUE"""),"Rock Vegas")</f>
        <v>Rock Vegas</v>
      </c>
      <c r="B685" s="60"/>
      <c r="C685" s="61" t="str">
        <f>IFERROR(__xludf.DUMMYFUNCTION("""COMPUTED_VALUE"""),"Yes")</f>
        <v>Yes</v>
      </c>
      <c r="D685" s="62" t="str">
        <f>IFERROR(__xludf.DUMMYFUNCTION("""COMPUTED_VALUE"""),"All works")</f>
        <v>All works</v>
      </c>
      <c r="E685" s="61" t="str">
        <f>IFERROR(__xludf.DUMMYFUNCTION("""COMPUTED_VALUE"""),"Guk")</f>
        <v>Guk</v>
      </c>
      <c r="F685" s="63">
        <f>IFERROR(__xludf.DUMMYFUNCTION("""COMPUTED_VALUE"""),40897.0)</f>
        <v>40897</v>
      </c>
    </row>
    <row r="686">
      <c r="A686" s="59" t="str">
        <f>IFERROR(__xludf.DUMMYFUNCTION("""COMPUTED_VALUE"""),"Rope'n'fly From Dusk Till Dawn")</f>
        <v>Rope'n'fly From Dusk Till Dawn</v>
      </c>
      <c r="B686" s="60"/>
      <c r="C686" s="61" t="str">
        <f>IFERROR(__xludf.DUMMYFUNCTION("""COMPUTED_VALUE"""),"Yes")</f>
        <v>Yes</v>
      </c>
      <c r="D686" s="62" t="str">
        <f>IFERROR(__xludf.DUMMYFUNCTION("""COMPUTED_VALUE"""),"Unlock all characters and items")</f>
        <v>Unlock all characters and items</v>
      </c>
      <c r="E686" s="61" t="str">
        <f>IFERROR(__xludf.DUMMYFUNCTION("""COMPUTED_VALUE"""),"Prespawn")</f>
        <v>Prespawn</v>
      </c>
      <c r="F686" s="63">
        <f>IFERROR(__xludf.DUMMYFUNCTION("""COMPUTED_VALUE"""),40907.0)</f>
        <v>40907</v>
      </c>
    </row>
    <row r="687">
      <c r="A687" s="59" t="str">
        <f>IFERROR(__xludf.DUMMYFUNCTION("""COMPUTED_VALUE"""),"Rugby Kicks")</f>
        <v>Rugby Kicks</v>
      </c>
      <c r="B687" s="60"/>
      <c r="C687" s="61" t="str">
        <f>IFERROR(__xludf.DUMMYFUNCTION("""COMPUTED_VALUE"""),"Yes")</f>
        <v>Yes</v>
      </c>
      <c r="D687" s="62"/>
      <c r="E687" s="61"/>
      <c r="F687" s="41"/>
    </row>
    <row r="688">
      <c r="A688" s="59" t="str">
        <f>IFERROR(__xludf.DUMMYFUNCTION("""COMPUTED_VALUE"""),"Run Like Hell! (Series)")</f>
        <v>Run Like Hell! (Series)</v>
      </c>
      <c r="B688" s="60"/>
      <c r="C688" s="61" t="str">
        <f>IFERROR(__xludf.DUMMYFUNCTION("""COMPUTED_VALUE"""),"Yes")</f>
        <v>Yes</v>
      </c>
      <c r="D688" s="62" t="str">
        <f>IFERROR(__xludf.DUMMYFUNCTION("""COMPUTED_VALUE"""),"Everything can be purchased (ex: Story Mode, Adrenaline Doses, etc.).")</f>
        <v>Everything can be purchased (ex: Story Mode, Adrenaline Doses, etc.).</v>
      </c>
      <c r="E688" s="61" t="str">
        <f>IFERROR(__xludf.DUMMYFUNCTION("""COMPUTED_VALUE"""),"Kev63")</f>
        <v>Kev63</v>
      </c>
      <c r="F688" s="63">
        <f>IFERROR(__xludf.DUMMYFUNCTION("""COMPUTED_VALUE"""),40928.0)</f>
        <v>40928</v>
      </c>
    </row>
    <row r="689">
      <c r="A689" s="59" t="str">
        <f>IFERROR(__xludf.DUMMYFUNCTION("""COMPUTED_VALUE"""),"Run Roo Run")</f>
        <v>Run Roo Run</v>
      </c>
      <c r="B689" s="60"/>
      <c r="C689" s="61" t="str">
        <f>IFERROR(__xludf.DUMMYFUNCTION("""COMPUTED_VALUE"""),"Yes")</f>
        <v>Yes</v>
      </c>
      <c r="D689" s="62" t="str">
        <f>IFERROR(__xludf.DUMMYFUNCTION("""COMPUTED_VALUE"""),"Works like a charm, for cracked version, you need to change in Installous/Setings/Remove metadata to off")</f>
        <v>Works like a charm, for cracked version, you need to change in Installous/Setings/Remove metadata to off</v>
      </c>
      <c r="E689" s="61" t="str">
        <f>IFERROR(__xludf.DUMMYFUNCTION("""COMPUTED_VALUE"""),"luudaigiang")</f>
        <v>luudaigiang</v>
      </c>
      <c r="F689" s="63">
        <f>IFERROR(__xludf.DUMMYFUNCTION("""COMPUTED_VALUE"""),40918.0)</f>
        <v>40918</v>
      </c>
    </row>
    <row r="690">
      <c r="A690" s="59" t="str">
        <f>IFERROR(__xludf.DUMMYFUNCTION("""COMPUTED_VALUE"""),"RuneMaster")</f>
        <v>RuneMaster</v>
      </c>
      <c r="B690" s="60"/>
      <c r="C690" s="61" t="str">
        <f>IFERROR(__xludf.DUMMYFUNCTION("""COMPUTED_VALUE"""),"Yes")</f>
        <v>Yes</v>
      </c>
      <c r="D690" s="62" t="str">
        <f>IFERROR(__xludf.DUMMYFUNCTION("""COMPUTED_VALUE"""),"Buy all Gold")</f>
        <v>Buy all Gold</v>
      </c>
      <c r="E690" s="61" t="str">
        <f>IFERROR(__xludf.DUMMYFUNCTION("""COMPUTED_VALUE"""),"IceMeh")</f>
        <v>IceMeh</v>
      </c>
      <c r="F690" s="63">
        <f>IFERROR(__xludf.DUMMYFUNCTION("""COMPUTED_VALUE"""),40926.0)</f>
        <v>40926</v>
      </c>
    </row>
    <row r="691">
      <c r="A691" s="59" t="str">
        <f>IFERROR(__xludf.DUMMYFUNCTION("""COMPUTED_VALUE"""),"RunRunRiot")</f>
        <v>RunRunRiot</v>
      </c>
      <c r="B691" s="60"/>
      <c r="C691" s="61" t="str">
        <f>IFERROR(__xludf.DUMMYFUNCTION("""COMPUTED_VALUE"""),"Yes")</f>
        <v>Yes</v>
      </c>
      <c r="D691" s="62" t="str">
        <f>IFERROR(__xludf.DUMMYFUNCTION("""COMPUTED_VALUE"""),"Works great")</f>
        <v>Works great</v>
      </c>
      <c r="E691" s="61" t="str">
        <f>IFERROR(__xludf.DUMMYFUNCTION("""COMPUTED_VALUE"""),"Duces")</f>
        <v>Duces</v>
      </c>
      <c r="F691" s="63">
        <f>IFERROR(__xludf.DUMMYFUNCTION("""COMPUTED_VALUE"""),40898.0)</f>
        <v>40898</v>
      </c>
    </row>
    <row r="692">
      <c r="A692" s="59" t="str">
        <f>IFERROR(__xludf.DUMMYFUNCTION("""COMPUTED_VALUE"""),"Safari Zoo")</f>
        <v>Safari Zoo</v>
      </c>
      <c r="B692" s="60"/>
      <c r="C692" s="61" t="str">
        <f>IFERROR(__xludf.DUMMYFUNCTION("""COMPUTED_VALUE"""),"Yes")</f>
        <v>Yes</v>
      </c>
      <c r="D692" s="62"/>
      <c r="E692" s="61" t="str">
        <f>IFERROR(__xludf.DUMMYFUNCTION("""COMPUTED_VALUE"""),"Gambit")</f>
        <v>Gambit</v>
      </c>
      <c r="F692" s="63">
        <f>IFERROR(__xludf.DUMMYFUNCTION("""COMPUTED_VALUE"""),40920.0)</f>
        <v>40920</v>
      </c>
    </row>
    <row r="693">
      <c r="A693" s="59" t="str">
        <f>IFERROR(__xludf.DUMMYFUNCTION("""COMPUTED_VALUE"""),"Sample Tank/Free")</f>
        <v>Sample Tank/Free</v>
      </c>
      <c r="B693" s="60"/>
      <c r="C693" s="61" t="str">
        <f>IFERROR(__xludf.DUMMYFUNCTION("""COMPUTED_VALUE"""),"Yes")</f>
        <v>Yes</v>
      </c>
      <c r="D693" s="62" t="str">
        <f>IFERROR(__xludf.DUMMYFUNCTION("""COMPUTED_VALUE"""),"Could not get ""purchases"" to restore to another device (nonJB)  (lol ofc you cant restore purchases... because you didnt rly buy anything!)")</f>
        <v>Could not get "purchases" to restore to another device (nonJB)  (lol ofc you cant restore purchases... because you didnt rly buy anything!)</v>
      </c>
      <c r="E693" s="61" t="str">
        <f>IFERROR(__xludf.DUMMYFUNCTION("""COMPUTED_VALUE"""),"Moose")</f>
        <v>Moose</v>
      </c>
      <c r="F693" s="63">
        <f>IFERROR(__xludf.DUMMYFUNCTION("""COMPUTED_VALUE"""),40913.0)</f>
        <v>40913</v>
      </c>
    </row>
    <row r="694">
      <c r="A694" s="59" t="str">
        <f>IFERROR(__xludf.DUMMYFUNCTION("""COMPUTED_VALUE"""),"Samurai BloodShow2")</f>
        <v>Samurai BloodShow2</v>
      </c>
      <c r="B694" s="60"/>
      <c r="C694" s="61" t="str">
        <f>IFERROR(__xludf.DUMMYFUNCTION("""COMPUTED_VALUE"""),"Yes")</f>
        <v>Yes</v>
      </c>
      <c r="D694" s="62" t="str">
        <f>IFERROR(__xludf.DUMMYFUNCTION("""COMPUTED_VALUE"""),"Able to purchase all cards/packages")</f>
        <v>Able to purchase all cards/packages</v>
      </c>
      <c r="E694" s="61" t="str">
        <f>IFERROR(__xludf.DUMMYFUNCTION("""COMPUTED_VALUE"""),"Guest")</f>
        <v>Guest</v>
      </c>
      <c r="F694" s="63">
        <f>IFERROR(__xludf.DUMMYFUNCTION("""COMPUTED_VALUE"""),40882.0)</f>
        <v>40882</v>
      </c>
    </row>
    <row r="695">
      <c r="A695" s="59" t="str">
        <f>IFERROR(__xludf.DUMMYFUNCTION("""COMPUTED_VALUE"""),"Sand box!!")</f>
        <v>Sand box!!</v>
      </c>
      <c r="B695" s="60"/>
      <c r="C695" s="61" t="str">
        <f>IFERROR(__xludf.DUMMYFUNCTION("""COMPUTED_VALUE"""),"Yes")</f>
        <v>Yes</v>
      </c>
      <c r="D695" s="62"/>
      <c r="E695" s="61" t="str">
        <f>IFERROR(__xludf.DUMMYFUNCTION("""COMPUTED_VALUE"""),"Guk")</f>
        <v>Guk</v>
      </c>
      <c r="F695" s="63">
        <f>IFERROR(__xludf.DUMMYFUNCTION("""COMPUTED_VALUE"""),40905.0)</f>
        <v>40905</v>
      </c>
    </row>
    <row r="696">
      <c r="A696" s="59" t="str">
        <f>IFERROR(__xludf.DUMMYFUNCTION("""COMPUTED_VALUE"""),"Sango Millionaire")</f>
        <v>Sango Millionaire</v>
      </c>
      <c r="B696" s="60"/>
      <c r="C696" s="61" t="str">
        <f>IFERROR(__xludf.DUMMYFUNCTION("""COMPUTED_VALUE"""),"Yes")</f>
        <v>Yes</v>
      </c>
      <c r="D696" s="62" t="str">
        <f>IFERROR(__xludf.DUMMYFUNCTION("""COMPUTED_VALUE"""),"Works for everything, can buy ""Yuan Bao""")</f>
        <v>Works for everything, can buy "Yuan Bao"</v>
      </c>
      <c r="E696" s="61" t="str">
        <f>IFERROR(__xludf.DUMMYFUNCTION("""COMPUTED_VALUE"""),"IceMeh")</f>
        <v>IceMeh</v>
      </c>
      <c r="F696" s="63">
        <f>IFERROR(__xludf.DUMMYFUNCTION("""COMPUTED_VALUE"""),40926.0)</f>
        <v>40926</v>
      </c>
    </row>
    <row r="697">
      <c r="A697" s="59" t="str">
        <f>IFERROR(__xludf.DUMMYFUNCTION("""COMPUTED_VALUE"""),"SAS: Zombie Assault 3 HD")</f>
        <v>SAS: Zombie Assault 3 HD</v>
      </c>
      <c r="B697" s="60"/>
      <c r="C697" s="61" t="str">
        <f>IFERROR(__xludf.DUMMYFUNCTION("""COMPUTED_VALUE"""),"Yes")</f>
        <v>Yes</v>
      </c>
      <c r="D697" s="62"/>
      <c r="E697" s="61" t="str">
        <f>IFERROR(__xludf.DUMMYFUNCTION("""COMPUTED_VALUE"""),"drugduck")</f>
        <v>drugduck</v>
      </c>
      <c r="F697" s="63">
        <f>IFERROR(__xludf.DUMMYFUNCTION("""COMPUTED_VALUE"""),40938.0)</f>
        <v>40938</v>
      </c>
    </row>
    <row r="698">
      <c r="A698" s="59" t="str">
        <f>IFERROR(__xludf.DUMMYFUNCTION("""COMPUTED_VALUE"""),"ScrapPad - Scrapbook for iPad")</f>
        <v>ScrapPad - Scrapbook for iPad</v>
      </c>
      <c r="B698" s="60"/>
      <c r="C698" s="61" t="str">
        <f>IFERROR(__xludf.DUMMYFUNCTION("""COMPUTED_VALUE"""),"Yes")</f>
        <v>Yes</v>
      </c>
      <c r="D698" s="62" t="str">
        <f>IFERROR(__xludf.DUMMYFUNCTION("""COMPUTED_VALUE"""),"Tested on v1.2.5, v1.2.95 untested")</f>
        <v>Tested on v1.2.5, v1.2.95 untested</v>
      </c>
      <c r="E698" s="61" t="str">
        <f>IFERROR(__xludf.DUMMYFUNCTION("""COMPUTED_VALUE"""),"Guk")</f>
        <v>Guk</v>
      </c>
      <c r="F698" s="63">
        <f>IFERROR(__xludf.DUMMYFUNCTION("""COMPUTED_VALUE"""),40884.0)</f>
        <v>40884</v>
      </c>
    </row>
    <row r="699">
      <c r="A699" s="59" t="str">
        <f>IFERROR(__xludf.DUMMYFUNCTION("""COMPUTED_VALUE"""),"SDK Today")</f>
        <v>SDK Today</v>
      </c>
      <c r="B699" s="60"/>
      <c r="C699" s="61" t="str">
        <f>IFERROR(__xludf.DUMMYFUNCTION("""COMPUTED_VALUE"""),"Yes")</f>
        <v>Yes</v>
      </c>
      <c r="D699" s="62" t="str">
        <f>IFERROR(__xludf.DUMMYFUNCTION("""COMPUTED_VALUE"""),"Store works great")</f>
        <v>Store works great</v>
      </c>
      <c r="E699" s="61" t="str">
        <f>IFERROR(__xludf.DUMMYFUNCTION("""COMPUTED_VALUE"""),"d0nh3art")</f>
        <v>d0nh3art</v>
      </c>
      <c r="F699" s="63">
        <f>IFERROR(__xludf.DUMMYFUNCTION("""COMPUTED_VALUE"""),40945.0)</f>
        <v>40945</v>
      </c>
    </row>
    <row r="700">
      <c r="A700" s="59" t="str">
        <f>IFERROR(__xludf.DUMMYFUNCTION("""COMPUTED_VALUE"""),"Sea Life HD")</f>
        <v>Sea Life HD</v>
      </c>
      <c r="B700" s="60"/>
      <c r="C700" s="61" t="str">
        <f>IFERROR(__xludf.DUMMYFUNCTION("""COMPUTED_VALUE"""),"Yes")</f>
        <v>Yes</v>
      </c>
      <c r="D700" s="62" t="str">
        <f>IFERROR(__xludf.DUMMYFUNCTION("""COMPUTED_VALUE"""),"unlock all ")</f>
        <v>unlock all </v>
      </c>
      <c r="E700" s="61" t="str">
        <f>IFERROR(__xludf.DUMMYFUNCTION("""COMPUTED_VALUE"""),"Vista2k7")</f>
        <v>Vista2k7</v>
      </c>
      <c r="F700" s="63">
        <f>IFERROR(__xludf.DUMMYFUNCTION("""COMPUTED_VALUE"""),40926.0)</f>
        <v>40926</v>
      </c>
    </row>
    <row r="701">
      <c r="A701" s="59" t="str">
        <f>IFERROR(__xludf.DUMMYFUNCTION("""COMPUTED_VALUE"""),"SEED 2")</f>
        <v>SEED 2</v>
      </c>
      <c r="B701" s="60"/>
      <c r="C701" s="61" t="str">
        <f>IFERROR(__xludf.DUMMYFUNCTION("""COMPUTED_VALUE"""),"Yes")</f>
        <v>Yes</v>
      </c>
      <c r="D701" s="62" t="str">
        <f>IFERROR(__xludf.DUMMYFUNCTION("""COMPUTED_VALUE"""),"It takes a while; just kill app with SBSettings and rerun, and the points will be there")</f>
        <v>It takes a while; just kill app with SBSettings and rerun, and the points will be there</v>
      </c>
      <c r="E701" s="61" t="str">
        <f>IFERROR(__xludf.DUMMYFUNCTION("""COMPUTED_VALUE"""),"rdtx")</f>
        <v>rdtx</v>
      </c>
      <c r="F701" s="63">
        <f>IFERROR(__xludf.DUMMYFUNCTION("""COMPUTED_VALUE"""),40923.0)</f>
        <v>40923</v>
      </c>
    </row>
    <row r="702">
      <c r="A702" s="59" t="str">
        <f>IFERROR(__xludf.DUMMYFUNCTION("""COMPUTED_VALUE"""),"Seesmic")</f>
        <v>Seesmic</v>
      </c>
      <c r="B702" s="60" t="str">
        <f>IFERROR(__xludf.DUMMYFUNCTION("""COMPUTED_VALUE"""),"1.4.2")</f>
        <v>1.4.2</v>
      </c>
      <c r="C702" s="61" t="str">
        <f>IFERROR(__xludf.DUMMYFUNCTION("""COMPUTED_VALUE"""),"Yes")</f>
        <v>Yes</v>
      </c>
      <c r="D702" s="62" t="str">
        <f>IFERROR(__xludf.DUMMYFUNCTION("""COMPUTED_VALUE"""),"Removes Advertisements")</f>
        <v>Removes Advertisements</v>
      </c>
      <c r="E702" s="61" t="str">
        <f>IFERROR(__xludf.DUMMYFUNCTION("""COMPUTED_VALUE"""),"Qixx")</f>
        <v>Qixx</v>
      </c>
      <c r="F702" s="63">
        <f>IFERROR(__xludf.DUMMYFUNCTION("""COMPUTED_VALUE"""),40960.0)</f>
        <v>40960</v>
      </c>
    </row>
    <row r="703">
      <c r="A703" s="59" t="str">
        <f>IFERROR(__xludf.DUMMYFUNCTION("""COMPUTED_VALUE"""),"SettleUp")</f>
        <v>SettleUp</v>
      </c>
      <c r="B703" s="60" t="str">
        <f>IFERROR(__xludf.DUMMYFUNCTION("""COMPUTED_VALUE"""),"1.2.2.1")</f>
        <v>1.2.2.1</v>
      </c>
      <c r="C703" s="61" t="str">
        <f>IFERROR(__xludf.DUMMYFUNCTION("""COMPUTED_VALUE"""),"yes")</f>
        <v>yes</v>
      </c>
      <c r="D703" s="62" t="str">
        <f>IFERROR(__xludf.DUMMYFUNCTION("""COMPUTED_VALUE"""),"Removes the Iphone limitation of just 1 Group. It asks you that it is going to the store to buy for $$ money.. just go ahead and App will be cracked")</f>
        <v>Removes the Iphone limitation of just 1 Group. It asks you that it is going to the store to buy for $$ money.. just go ahead and App will be cracked</v>
      </c>
      <c r="E703" s="61" t="str">
        <f>IFERROR(__xludf.DUMMYFUNCTION("""COMPUTED_VALUE"""),"charly007")</f>
        <v>charly007</v>
      </c>
      <c r="F703" s="63">
        <f>IFERROR(__xludf.DUMMYFUNCTION("""COMPUTED_VALUE"""),40963.0)</f>
        <v>40963</v>
      </c>
    </row>
    <row r="704">
      <c r="A704" s="59" t="str">
        <f>IFERROR(__xludf.DUMMYFUNCTION("""COMPUTED_VALUE"""),"Seventeen Magazine")</f>
        <v>Seventeen Magazine</v>
      </c>
      <c r="B704" s="60"/>
      <c r="C704" s="61" t="str">
        <f>IFERROR(__xludf.DUMMYFUNCTION("""COMPUTED_VALUE"""),"Yes")</f>
        <v>Yes</v>
      </c>
      <c r="D704" s="62" t="str">
        <f>IFERROR(__xludf.DUMMYFUNCTION("""COMPUTED_VALUE"""),"Can purchase magazines")</f>
        <v>Can purchase magazines</v>
      </c>
      <c r="E704" s="61" t="str">
        <f>IFERROR(__xludf.DUMMYFUNCTION("""COMPUTED_VALUE"""),"least_uniQue")</f>
        <v>least_uniQue</v>
      </c>
      <c r="F704" s="63">
        <f>IFERROR(__xludf.DUMMYFUNCTION("""COMPUTED_VALUE"""),40944.0)</f>
        <v>40944</v>
      </c>
    </row>
    <row r="705">
      <c r="A705" s="59" t="str">
        <f>IFERROR(__xludf.DUMMYFUNCTION("""COMPUTED_VALUE"""),"Sfera")</f>
        <v>Sfera</v>
      </c>
      <c r="B705" s="60"/>
      <c r="C705" s="61" t="str">
        <f>IFERROR(__xludf.DUMMYFUNCTION("""COMPUTED_VALUE"""),"Yes")</f>
        <v>Yes</v>
      </c>
      <c r="D705" s="62" t="str">
        <f>IFERROR(__xludf.DUMMYFUNCTION("""COMPUTED_VALUE"""),"Works perfectly for all purchases")</f>
        <v>Works perfectly for all purchases</v>
      </c>
      <c r="E705" s="61" t="str">
        <f>IFERROR(__xludf.DUMMYFUNCTION("""COMPUTED_VALUE"""),"Arayel")</f>
        <v>Arayel</v>
      </c>
      <c r="F705" s="63">
        <f>IFERROR(__xludf.DUMMYFUNCTION("""COMPUTED_VALUE"""),40909.0)</f>
        <v>40909</v>
      </c>
    </row>
    <row r="706">
      <c r="A706" s="59" t="str">
        <f>IFERROR(__xludf.DUMMYFUNCTION("""COMPUTED_VALUE"""),"Shake Spears")</f>
        <v>Shake Spears</v>
      </c>
      <c r="B706" s="60"/>
      <c r="C706" s="61" t="str">
        <f>IFERROR(__xludf.DUMMYFUNCTION("""COMPUTED_VALUE"""),"Yes")</f>
        <v>Yes</v>
      </c>
      <c r="D706" s="62" t="str">
        <f>IFERROR(__xludf.DUMMYFUNCTION("""COMPUTED_VALUE"""),"Works perfectly!")</f>
        <v>Works perfectly!</v>
      </c>
      <c r="E706" s="61" t="str">
        <f>IFERROR(__xludf.DUMMYFUNCTION("""COMPUTED_VALUE"""),"migui.aguilar")</f>
        <v>migui.aguilar</v>
      </c>
      <c r="F706" s="63">
        <f>IFERROR(__xludf.DUMMYFUNCTION("""COMPUTED_VALUE"""),40956.0)</f>
        <v>40956</v>
      </c>
    </row>
    <row r="707">
      <c r="A707" s="59" t="str">
        <f>IFERROR(__xludf.DUMMYFUNCTION("""COMPUTED_VALUE"""),"Shall we date? (series)")</f>
        <v>Shall we date? (series)</v>
      </c>
      <c r="B707" s="60"/>
      <c r="C707" s="61" t="str">
        <f>IFERROR(__xludf.DUMMYFUNCTION("""COMPUTED_VALUE"""),"Yes")</f>
        <v>Yes</v>
      </c>
      <c r="D707" s="62" t="str">
        <f>IFERROR(__xludf.DUMMYFUNCTION("""COMPUTED_VALUE"""),"Heian Love, Konkatsu Love,  Ninja Love reported working.")</f>
        <v>Heian Love, Konkatsu Love,  Ninja Love reported working.</v>
      </c>
      <c r="E707" s="61" t="str">
        <f>IFERROR(__xludf.DUMMYFUNCTION("""COMPUTED_VALUE"""),"Shunn")</f>
        <v>Shunn</v>
      </c>
      <c r="F707" s="63">
        <f>IFERROR(__xludf.DUMMYFUNCTION("""COMPUTED_VALUE"""),40872.0)</f>
        <v>40872</v>
      </c>
    </row>
    <row r="708">
      <c r="A708" s="59" t="str">
        <f>IFERROR(__xludf.DUMMYFUNCTION("""COMPUTED_VALUE"""),"Shantae: Risky's Revenge")</f>
        <v>Shantae: Risky's Revenge</v>
      </c>
      <c r="B708" s="60"/>
      <c r="C708" s="61" t="str">
        <f>IFERROR(__xludf.DUMMYFUNCTION("""COMPUTED_VALUE"""),"Yes")</f>
        <v>Yes</v>
      </c>
      <c r="D708" s="62" t="str">
        <f>IFERROR(__xludf.DUMMYFUNCTION("""COMPUTED_VALUE"""),"Purchase full version works!")</f>
        <v>Purchase full version works!</v>
      </c>
      <c r="E708" s="61" t="str">
        <f>IFERROR(__xludf.DUMMYFUNCTION("""COMPUTED_VALUE"""),"Keigo@ZA")</f>
        <v>Keigo@ZA</v>
      </c>
      <c r="F708" s="63">
        <f>IFERROR(__xludf.DUMMYFUNCTION("""COMPUTED_VALUE"""),40953.0)</f>
        <v>40953</v>
      </c>
    </row>
    <row r="709">
      <c r="A709" s="59" t="str">
        <f>IFERROR(__xludf.DUMMYFUNCTION("""COMPUTED_VALUE"""),"SHIFT 2 Unleashed (World)")</f>
        <v>SHIFT 2 Unleashed (World)</v>
      </c>
      <c r="B709" s="60"/>
      <c r="C709" s="61" t="str">
        <f>IFERROR(__xludf.DUMMYFUNCTION("""COMPUTED_VALUE"""),"Yes")</f>
        <v>Yes</v>
      </c>
      <c r="D709" s="62" t="str">
        <f>IFERROR(__xludf.DUMMYFUNCTION("""COMPUTED_VALUE"""),"Tested on genuine v1.0.6")</f>
        <v>Tested on genuine v1.0.6</v>
      </c>
      <c r="E709" s="61" t="str">
        <f>IFERROR(__xludf.DUMMYFUNCTION("""COMPUTED_VALUE"""),"Z1nC")</f>
        <v>Z1nC</v>
      </c>
      <c r="F709" s="63">
        <f>IFERROR(__xludf.DUMMYFUNCTION("""COMPUTED_VALUE"""),40920.0)</f>
        <v>40920</v>
      </c>
    </row>
    <row r="710">
      <c r="A710" s="59" t="str">
        <f>IFERROR(__xludf.DUMMYFUNCTION("""COMPUTED_VALUE"""),"Shopping Cart Hero 3")</f>
        <v>Shopping Cart Hero 3</v>
      </c>
      <c r="B710" s="60"/>
      <c r="C710" s="61" t="str">
        <f>IFERROR(__xludf.DUMMYFUNCTION("""COMPUTED_VALUE"""),"Yes")</f>
        <v>Yes</v>
      </c>
      <c r="D710" s="62" t="str">
        <f>IFERROR(__xludf.DUMMYFUNCTION("""COMPUTED_VALUE"""),"Works fine - can purchase money")</f>
        <v>Works fine - can purchase money</v>
      </c>
      <c r="E710" s="61" t="str">
        <f>IFERROR(__xludf.DUMMYFUNCTION("""COMPUTED_VALUE"""),"Coreninja")</f>
        <v>Coreninja</v>
      </c>
      <c r="F710" s="63">
        <f>IFERROR(__xludf.DUMMYFUNCTION("""COMPUTED_VALUE"""),40917.0)</f>
        <v>40917</v>
      </c>
    </row>
    <row r="711">
      <c r="A711" s="59" t="str">
        <f>IFERROR(__xludf.DUMMYFUNCTION("""COMPUTED_VALUE"""),"Siege Hero")</f>
        <v>Siege Hero</v>
      </c>
      <c r="B711" s="60" t="str">
        <f>IFERROR(__xludf.DUMMYFUNCTION("""COMPUTED_VALUE"""),"1.2.1")</f>
        <v>1.2.1</v>
      </c>
      <c r="C711" s="61" t="str">
        <f>IFERROR(__xludf.DUMMYFUNCTION("""COMPUTED_VALUE"""),"Yes")</f>
        <v>Yes</v>
      </c>
      <c r="D711" s="62" t="str">
        <f>IFERROR(__xludf.DUMMYFUNCTION("""COMPUTED_VALUE"""),"You can purchase buster bombs in the siege lab")</f>
        <v>You can purchase buster bombs in the siege lab</v>
      </c>
      <c r="E711" s="61" t="str">
        <f>IFERROR(__xludf.DUMMYFUNCTION("""COMPUTED_VALUE"""),"Prometeo17")</f>
        <v>Prometeo17</v>
      </c>
      <c r="F711" s="63">
        <f>IFERROR(__xludf.DUMMYFUNCTION("""COMPUTED_VALUE"""),40959.0)</f>
        <v>40959</v>
      </c>
    </row>
    <row r="712">
      <c r="A712" s="59" t="str">
        <f>IFERROR(__xludf.DUMMYFUNCTION("""COMPUTED_VALUE"""),"Siegecraft")</f>
        <v>Siegecraft</v>
      </c>
      <c r="B712" s="60"/>
      <c r="C712" s="61" t="str">
        <f>IFERROR(__xludf.DUMMYFUNCTION("""COMPUTED_VALUE"""),"Yes")</f>
        <v>Yes</v>
      </c>
      <c r="D712" s="62"/>
      <c r="E712" s="61"/>
      <c r="F712" s="41"/>
    </row>
    <row r="713">
      <c r="A713" s="59" t="str">
        <f>IFERROR(__xludf.DUMMYFUNCTION("""COMPUTED_VALUE"""),"Silent Film Director")</f>
        <v>Silent Film Director</v>
      </c>
      <c r="B713" s="60"/>
      <c r="C713" s="61" t="str">
        <f>IFERROR(__xludf.DUMMYFUNCTION("""COMPUTED_VALUE"""),"Yes")</f>
        <v>Yes</v>
      </c>
      <c r="D713" s="62"/>
      <c r="E713" s="61"/>
      <c r="F713" s="41"/>
    </row>
    <row r="714">
      <c r="A714" s="59" t="str">
        <f>IFERROR(__xludf.DUMMYFUNCTION("""COMPUTED_VALUE"""),"Skee-Ball (Freeverse)")</f>
        <v>Skee-Ball (Freeverse)</v>
      </c>
      <c r="B714" s="60"/>
      <c r="C714" s="61" t="str">
        <f>IFERROR(__xludf.DUMMYFUNCTION("""COMPUTED_VALUE"""),"Yes")</f>
        <v>Yes</v>
      </c>
      <c r="D714" s="62" t="str">
        <f>IFERROR(__xludf.DUMMYFUNCTION("""COMPUTED_VALUE"""),"Works great!  Can now buy all those cool skee ball lanes!")</f>
        <v>Works great!  Can now buy all those cool skee ball lanes!</v>
      </c>
      <c r="E714" s="61"/>
      <c r="F714" s="63">
        <f>IFERROR(__xludf.DUMMYFUNCTION("""COMPUTED_VALUE"""),40885.0)</f>
        <v>40885</v>
      </c>
    </row>
    <row r="715">
      <c r="A715" s="59" t="str">
        <f>IFERROR(__xludf.DUMMYFUNCTION("""COMPUTED_VALUE"""),"Sky Gamblers: Rise Of Glory")</f>
        <v>Sky Gamblers: Rise Of Glory</v>
      </c>
      <c r="B715" s="60"/>
      <c r="C715" s="61" t="str">
        <f>IFERROR(__xludf.DUMMYFUNCTION("""COMPUTED_VALUE"""),"Yes")</f>
        <v>Yes</v>
      </c>
      <c r="D715" s="62" t="str">
        <f>IFERROR(__xludf.DUMMYFUNCTION("""COMPUTED_VALUE"""),"Simple, just tap, and you get")</f>
        <v>Simple, just tap, and you get</v>
      </c>
      <c r="E715" s="61" t="str">
        <f>IFERROR(__xludf.DUMMYFUNCTION("""COMPUTED_VALUE"""),"EdgarDrake")</f>
        <v>EdgarDrake</v>
      </c>
      <c r="F715" s="63">
        <f>IFERROR(__xludf.DUMMYFUNCTION("""COMPUTED_VALUE"""),40927.0)</f>
        <v>40927</v>
      </c>
    </row>
    <row r="716">
      <c r="A716" s="59" t="str">
        <f>IFERROR(__xludf.DUMMYFUNCTION("""COMPUTED_VALUE"""),"Sky Gamblers:Air Supremacy")</f>
        <v>Sky Gamblers:Air Supremacy</v>
      </c>
      <c r="B716" s="60"/>
      <c r="C716" s="61" t="str">
        <f>IFERROR(__xludf.DUMMYFUNCTION("""COMPUTED_VALUE"""),"Yes")</f>
        <v>Yes</v>
      </c>
      <c r="D716" s="62" t="str">
        <f>IFERROR(__xludf.DUMMYFUNCTION("""COMPUTED_VALUE"""),"Can Purchase Planes")</f>
        <v>Can Purchase Planes</v>
      </c>
      <c r="E716" s="61" t="str">
        <f>IFERROR(__xludf.DUMMYFUNCTION("""COMPUTED_VALUE"""),"uk0512")</f>
        <v>uk0512</v>
      </c>
      <c r="F716" s="63">
        <f>IFERROR(__xludf.DUMMYFUNCTION("""COMPUTED_VALUE"""),41157.0)</f>
        <v>41157</v>
      </c>
    </row>
    <row r="717">
      <c r="A717" s="59" t="str">
        <f>IFERROR(__xludf.DUMMYFUNCTION("""COMPUTED_VALUE"""),"Slam Dunk King")</f>
        <v>Slam Dunk King</v>
      </c>
      <c r="B717" s="60"/>
      <c r="C717" s="61" t="str">
        <f>IFERROR(__xludf.DUMMYFUNCTION("""COMPUTED_VALUE"""),"Yes")</f>
        <v>Yes</v>
      </c>
      <c r="D717" s="62" t="str">
        <f>IFERROR(__xludf.DUMMYFUNCTION("""COMPUTED_VALUE"""),"Works just fine.")</f>
        <v>Works just fine.</v>
      </c>
      <c r="E717" s="61" t="str">
        <f>IFERROR(__xludf.DUMMYFUNCTION("""COMPUTED_VALUE"""),"RealMcKoy")</f>
        <v>RealMcKoy</v>
      </c>
      <c r="F717" s="63">
        <f>IFERROR(__xludf.DUMMYFUNCTION("""COMPUTED_VALUE"""),40904.0)</f>
        <v>40904</v>
      </c>
    </row>
    <row r="718">
      <c r="A718" s="59" t="str">
        <f>IFERROR(__xludf.DUMMYFUNCTION("""COMPUTED_VALUE"""),"Slide Soccer")</f>
        <v>Slide Soccer</v>
      </c>
      <c r="B718" s="60"/>
      <c r="C718" s="61" t="str">
        <f>IFERROR(__xludf.DUMMYFUNCTION("""COMPUTED_VALUE"""),"Yes")</f>
        <v>Yes</v>
      </c>
      <c r="D718" s="62"/>
      <c r="E718" s="61" t="str">
        <f>IFERROR(__xludf.DUMMYFUNCTION("""COMPUTED_VALUE"""),"Guk")</f>
        <v>Guk</v>
      </c>
      <c r="F718" s="63">
        <f>IFERROR(__xludf.DUMMYFUNCTION("""COMPUTED_VALUE"""),40881.0)</f>
        <v>40881</v>
      </c>
    </row>
    <row r="719">
      <c r="A719" s="59" t="str">
        <f>IFERROR(__xludf.DUMMYFUNCTION("""COMPUTED_VALUE"""),"Small Street")</f>
        <v>Small Street</v>
      </c>
      <c r="B719" s="60">
        <f>IFERROR(__xludf.DUMMYFUNCTION("""COMPUTED_VALUE"""),1.0)</f>
        <v>1</v>
      </c>
      <c r="C719" s="61" t="str">
        <f>IFERROR(__xludf.DUMMYFUNCTION("""COMPUTED_VALUE"""),"Yes")</f>
        <v>Yes</v>
      </c>
      <c r="D719" s="62" t="str">
        <f>IFERROR(__xludf.DUMMYFUNCTION("""COMPUTED_VALUE"""),"Unlimited coins cash hack.")</f>
        <v>Unlimited coins cash hack.</v>
      </c>
      <c r="E719" s="61" t="str">
        <f>IFERROR(__xludf.DUMMYFUNCTION("""COMPUTED_VALUE"""),"mercia")</f>
        <v>mercia</v>
      </c>
      <c r="F719" s="63">
        <f>IFERROR(__xludf.DUMMYFUNCTION("""COMPUTED_VALUE"""),40964.0)</f>
        <v>40964</v>
      </c>
    </row>
    <row r="720">
      <c r="A720" s="59" t="str">
        <f>IFERROR(__xludf.DUMMYFUNCTION("""COMPUTED_VALUE"""),"Smash Cops")</f>
        <v>Smash Cops</v>
      </c>
      <c r="B720" s="60"/>
      <c r="C720" s="61" t="str">
        <f>IFERROR(__xludf.DUMMYFUNCTION("""COMPUTED_VALUE"""),"Yes")</f>
        <v>Yes</v>
      </c>
      <c r="D720" s="62" t="str">
        <f>IFERROR(__xludf.DUMMYFUNCTION("""COMPUTED_VALUE"""),"Works great")</f>
        <v>Works great</v>
      </c>
      <c r="E720" s="61" t="str">
        <f>IFERROR(__xludf.DUMMYFUNCTION("""COMPUTED_VALUE"""),"Greek-Immortal")</f>
        <v>Greek-Immortal</v>
      </c>
      <c r="F720" s="63">
        <f>IFERROR(__xludf.DUMMYFUNCTION("""COMPUTED_VALUE"""),40920.0)</f>
        <v>40920</v>
      </c>
    </row>
    <row r="721">
      <c r="A721" s="59" t="str">
        <f>IFERROR(__xludf.DUMMYFUNCTION("""COMPUTED_VALUE"""),"Smurf village")</f>
        <v>Smurf village</v>
      </c>
      <c r="B721" s="60"/>
      <c r="C721" s="61" t="str">
        <f>IFERROR(__xludf.DUMMYFUNCTION("""COMPUTED_VALUE"""),"Yes")</f>
        <v>Yes</v>
      </c>
      <c r="D721" s="62"/>
      <c r="E721" s="61"/>
      <c r="F721" s="41"/>
    </row>
    <row r="722">
      <c r="A722" s="59" t="str">
        <f>IFERROR(__xludf.DUMMYFUNCTION("""COMPUTED_VALUE"""),"Smurfs Village")</f>
        <v>Smurfs Village</v>
      </c>
      <c r="B722" s="60" t="str">
        <f>IFERROR(__xludf.DUMMYFUNCTION("""COMPUTED_VALUE"""),"1.2.1")</f>
        <v>1.2.1</v>
      </c>
      <c r="C722" s="61" t="str">
        <f>IFERROR(__xludf.DUMMYFUNCTION("""COMPUTED_VALUE"""),"Yes")</f>
        <v>Yes</v>
      </c>
      <c r="D722" s="62" t="str">
        <f>IFERROR(__xludf.DUMMYFUNCTION("""COMPUTED_VALUE"""),"App updated to 1.2.1 on June 22nd")</f>
        <v>App updated to 1.2.1 on June 22nd</v>
      </c>
      <c r="E722" s="61" t="str">
        <f>IFERROR(__xludf.DUMMYFUNCTION("""COMPUTED_VALUE"""),"mattchuu")</f>
        <v>mattchuu</v>
      </c>
      <c r="F722" s="41" t="str">
        <f>IFERROR(__xludf.DUMMYFUNCTION("""COMPUTED_VALUE"""),"27-06-2012")</f>
        <v>27-06-2012</v>
      </c>
    </row>
    <row r="723">
      <c r="A723" s="59" t="str">
        <f>IFERROR(__xludf.DUMMYFUNCTION("""COMPUTED_VALUE"""),"Smurfs' Village")</f>
        <v>Smurfs' Village</v>
      </c>
      <c r="B723" s="60"/>
      <c r="C723" s="61" t="str">
        <f>IFERROR(__xludf.DUMMYFUNCTION("""COMPUTED_VALUE"""),"Yes")</f>
        <v>Yes</v>
      </c>
      <c r="D723" s="62"/>
      <c r="E723" s="61" t="str">
        <f>IFERROR(__xludf.DUMMYFUNCTION("""COMPUTED_VALUE"""),"rctgamer3")</f>
        <v>rctgamer3</v>
      </c>
      <c r="F723" s="63">
        <f>IFERROR(__xludf.DUMMYFUNCTION("""COMPUTED_VALUE"""),40892.0)</f>
        <v>40892</v>
      </c>
    </row>
    <row r="724">
      <c r="A724" s="59" t="str">
        <f>IFERROR(__xludf.DUMMYFUNCTION("""COMPUTED_VALUE"""),"Snark Buster: Welcome to the club! HD")</f>
        <v>Snark Buster: Welcome to the club! HD</v>
      </c>
      <c r="B724" s="60"/>
      <c r="C724" s="61" t="str">
        <f>IFERROR(__xludf.DUMMYFUNCTION("""COMPUTED_VALUE"""),"Yes")</f>
        <v>Yes</v>
      </c>
      <c r="D724" s="62" t="str">
        <f>IFERROR(__xludf.DUMMYFUNCTION("""COMPUTED_VALUE"""),"Unlock full version")</f>
        <v>Unlock full version</v>
      </c>
      <c r="E724" s="61" t="str">
        <f>IFERROR(__xludf.DUMMYFUNCTION("""COMPUTED_VALUE"""),"Guk")</f>
        <v>Guk</v>
      </c>
      <c r="F724" s="63">
        <f>IFERROR(__xludf.DUMMYFUNCTION("""COMPUTED_VALUE"""),40885.0)</f>
        <v>40885</v>
      </c>
    </row>
    <row r="725">
      <c r="A725" s="59" t="str">
        <f>IFERROR(__xludf.DUMMYFUNCTION("""COMPUTED_VALUE"""),"Snooker Club")</f>
        <v>Snooker Club</v>
      </c>
      <c r="B725" s="60"/>
      <c r="C725" s="61" t="str">
        <f>IFERROR(__xludf.DUMMYFUNCTION("""COMPUTED_VALUE"""),"Yes")</f>
        <v>Yes</v>
      </c>
      <c r="D725" s="62" t="str">
        <f>IFERROR(__xludf.DUMMYFUNCTION("""COMPUTED_VALUE"""),"Unlock all characters")</f>
        <v>Unlock all characters</v>
      </c>
      <c r="E725" s="61" t="str">
        <f>IFERROR(__xludf.DUMMYFUNCTION("""COMPUTED_VALUE"""),"Sergio")</f>
        <v>Sergio</v>
      </c>
      <c r="F725" s="63">
        <f>IFERROR(__xludf.DUMMYFUNCTION("""COMPUTED_VALUE"""),40892.0)</f>
        <v>40892</v>
      </c>
    </row>
    <row r="726">
      <c r="A726" s="59" t="str">
        <f>IFERROR(__xludf.DUMMYFUNCTION("""COMPUTED_VALUE"""),"Snoopy Street fair")</f>
        <v>Snoopy Street fair</v>
      </c>
      <c r="B726" s="60"/>
      <c r="C726" s="61" t="str">
        <f>IFERROR(__xludf.DUMMYFUNCTION("""COMPUTED_VALUE"""),"Yes")</f>
        <v>Yes</v>
      </c>
      <c r="D726" s="62"/>
      <c r="E726" s="61"/>
      <c r="F726" s="63">
        <f>IFERROR(__xludf.DUMMYFUNCTION("""COMPUTED_VALUE"""),40875.0)</f>
        <v>40875</v>
      </c>
    </row>
    <row r="727">
      <c r="A727" s="59" t="str">
        <f>IFERROR(__xludf.DUMMYFUNCTION("""COMPUTED_VALUE"""),"Snoopy's Fair Street")</f>
        <v>Snoopy's Fair Street</v>
      </c>
      <c r="B727" s="60"/>
      <c r="C727" s="61" t="str">
        <f>IFERROR(__xludf.DUMMYFUNCTION("""COMPUTED_VALUE"""),"Yes")</f>
        <v>Yes</v>
      </c>
      <c r="D727" s="62"/>
      <c r="E727" s="61"/>
      <c r="F727" s="63">
        <f>IFERROR(__xludf.DUMMYFUNCTION("""COMPUTED_VALUE"""),40871.0)</f>
        <v>40871</v>
      </c>
    </row>
    <row r="728">
      <c r="A728" s="59" t="str">
        <f>IFERROR(__xludf.DUMMYFUNCTION("""COMPUTED_VALUE"""),"Snuggle Truck")</f>
        <v>Snuggle Truck</v>
      </c>
      <c r="B728" s="60"/>
      <c r="C728" s="61" t="str">
        <f>IFERROR(__xludf.DUMMYFUNCTION("""COMPUTED_VALUE"""),"Yes")</f>
        <v>Yes</v>
      </c>
      <c r="D728" s="62" t="str">
        <f>IFERROR(__xludf.DUMMYFUNCTION("""COMPUTED_VALUE"""),"Can purchase everything")</f>
        <v>Can purchase everything</v>
      </c>
      <c r="E728" s="61" t="str">
        <f>IFERROR(__xludf.DUMMYFUNCTION("""COMPUTED_VALUE"""),"Nakediguana")</f>
        <v>Nakediguana</v>
      </c>
      <c r="F728" s="63">
        <f>IFERROR(__xludf.DUMMYFUNCTION("""COMPUTED_VALUE"""),40949.0)</f>
        <v>40949</v>
      </c>
    </row>
    <row r="729">
      <c r="A729" s="59" t="str">
        <f>IFERROR(__xludf.DUMMYFUNCTION("""COMPUTED_VALUE"""),"Soccer Scores Pro")</f>
        <v>Soccer Scores Pro</v>
      </c>
      <c r="B729" s="60">
        <f>IFERROR(__xludf.DUMMYFUNCTION("""COMPUTED_VALUE"""),3.5)</f>
        <v>3.5</v>
      </c>
      <c r="C729" s="61" t="str">
        <f>IFERROR(__xludf.DUMMYFUNCTION("""COMPUTED_VALUE"""),"Yes")</f>
        <v>Yes</v>
      </c>
      <c r="D729" s="62" t="str">
        <f>IFERROR(__xludf.DUMMYFUNCTION("""COMPUTED_VALUE"""),"It works perfectly!")</f>
        <v>It works perfectly!</v>
      </c>
      <c r="E729" s="61" t="str">
        <f>IFERROR(__xludf.DUMMYFUNCTION("""COMPUTED_VALUE"""),"Arman")</f>
        <v>Arman</v>
      </c>
      <c r="F729" s="63">
        <f>IFERROR(__xludf.DUMMYFUNCTION("""COMPUTED_VALUE"""),40961.0)</f>
        <v>40961</v>
      </c>
    </row>
    <row r="730">
      <c r="A730" s="59" t="str">
        <f>IFERROR(__xludf.DUMMYFUNCTION("""COMPUTED_VALUE"""),"Solomon's Boneyard")</f>
        <v>Solomon's Boneyard</v>
      </c>
      <c r="B730" s="60"/>
      <c r="C730" s="61" t="str">
        <f>IFERROR(__xludf.DUMMYFUNCTION("""COMPUTED_VALUE"""),"Yes")</f>
        <v>Yes</v>
      </c>
      <c r="D730" s="62" t="str">
        <f>IFERROR(__xludf.DUMMYFUNCTION("""COMPUTED_VALUE"""),"Buy gold and unlock features with it, you can even ""donate"" xD")</f>
        <v>Buy gold and unlock features with it, you can even "donate" xD</v>
      </c>
      <c r="E730" s="61" t="str">
        <f>IFERROR(__xludf.DUMMYFUNCTION("""COMPUTED_VALUE"""),"iROKR")</f>
        <v>iROKR</v>
      </c>
      <c r="F730" s="63">
        <f>IFERROR(__xludf.DUMMYFUNCTION("""COMPUTED_VALUE"""),40828.0)</f>
        <v>40828</v>
      </c>
    </row>
    <row r="731">
      <c r="A731" s="59" t="str">
        <f>IFERROR(__xludf.DUMMYFUNCTION("""COMPUTED_VALUE"""),"Solomon's Keep")</f>
        <v>Solomon's Keep</v>
      </c>
      <c r="B731" s="60"/>
      <c r="C731" s="61" t="str">
        <f>IFERROR(__xludf.DUMMYFUNCTION("""COMPUTED_VALUE"""),"Yes")</f>
        <v>Yes</v>
      </c>
      <c r="D731" s="62"/>
      <c r="E731" s="61" t="str">
        <f>IFERROR(__xludf.DUMMYFUNCTION("""COMPUTED_VALUE"""),"Zer0id")</f>
        <v>Zer0id</v>
      </c>
      <c r="F731" s="63">
        <f>IFERROR(__xludf.DUMMYFUNCTION("""COMPUTED_VALUE"""),40912.0)</f>
        <v>40912</v>
      </c>
    </row>
    <row r="732">
      <c r="A732" s="59" t="str">
        <f>IFERROR(__xludf.DUMMYFUNCTION("""COMPUTED_VALUE"""),"Songify")</f>
        <v>Songify</v>
      </c>
      <c r="B732" s="60"/>
      <c r="C732" s="61" t="str">
        <f>IFERROR(__xludf.DUMMYFUNCTION("""COMPUTED_VALUE"""),"Yes")</f>
        <v>Yes</v>
      </c>
      <c r="D732" s="62"/>
      <c r="E732" s="61" t="str">
        <f>IFERROR(__xludf.DUMMYFUNCTION("""COMPUTED_VALUE"""),"Dansco")</f>
        <v>Dansco</v>
      </c>
      <c r="F732" s="63">
        <f>IFERROR(__xludf.DUMMYFUNCTION("""COMPUTED_VALUE"""),40793.9138888889)</f>
        <v>40793.91389</v>
      </c>
    </row>
    <row r="733">
      <c r="A733" s="59" t="str">
        <f>IFERROR(__xludf.DUMMYFUNCTION("""COMPUTED_VALUE"""),"Sounddrop")</f>
        <v>Sounddrop</v>
      </c>
      <c r="B733" s="60"/>
      <c r="C733" s="61" t="str">
        <f>IFERROR(__xludf.DUMMYFUNCTION("""COMPUTED_VALUE"""),"Yes")</f>
        <v>Yes</v>
      </c>
      <c r="D733" s="62" t="str">
        <f>IFERROR(__xludf.DUMMYFUNCTION("""COMPUTED_VALUE"""),"Upgrade to pro ($2.99)")</f>
        <v>Upgrade to pro ($2.99)</v>
      </c>
      <c r="E733" s="61" t="str">
        <f>IFERROR(__xludf.DUMMYFUNCTION("""COMPUTED_VALUE"""),"dr3van")</f>
        <v>dr3van</v>
      </c>
      <c r="F733" s="63">
        <f>IFERROR(__xludf.DUMMYFUNCTION("""COMPUTED_VALUE"""),41103.0)</f>
        <v>41103</v>
      </c>
    </row>
    <row r="734">
      <c r="A734" s="59" t="str">
        <f>IFERROR(__xludf.DUMMYFUNCTION("""COMPUTED_VALUE"""),"SoundHound")</f>
        <v>SoundHound</v>
      </c>
      <c r="B734" s="60"/>
      <c r="C734" s="61" t="str">
        <f>IFERROR(__xludf.DUMMYFUNCTION("""COMPUTED_VALUE"""),"Yes")</f>
        <v>Yes</v>
      </c>
      <c r="D734" s="62"/>
      <c r="E734" s="61" t="str">
        <f>IFERROR(__xludf.DUMMYFUNCTION("""COMPUTED_VALUE"""),"ThePreserver")</f>
        <v>ThePreserver</v>
      </c>
      <c r="F734" s="63">
        <f>IFERROR(__xludf.DUMMYFUNCTION("""COMPUTED_VALUE"""),40890.0)</f>
        <v>40890</v>
      </c>
    </row>
    <row r="735">
      <c r="A735" s="59" t="str">
        <f>IFERROR(__xludf.DUMMYFUNCTION("""COMPUTED_VALUE"""),"Space City")</f>
        <v>Space City</v>
      </c>
      <c r="B735" s="60"/>
      <c r="C735" s="61" t="str">
        <f>IFERROR(__xludf.DUMMYFUNCTION("""COMPUTED_VALUE"""),"Yes")</f>
        <v>Yes</v>
      </c>
      <c r="D735" s="62" t="str">
        <f>IFERROR(__xludf.DUMMYFUNCTION("""COMPUTED_VALUE"""),"Works")</f>
        <v>Works</v>
      </c>
      <c r="E735" s="61" t="str">
        <f>IFERROR(__xludf.DUMMYFUNCTION("""COMPUTED_VALUE"""),"Signe")</f>
        <v>Signe</v>
      </c>
      <c r="F735" s="63">
        <f>IFERROR(__xludf.DUMMYFUNCTION("""COMPUTED_VALUE"""),40909.0)</f>
        <v>40909</v>
      </c>
    </row>
    <row r="736">
      <c r="A736" s="59" t="str">
        <f>IFERROR(__xludf.DUMMYFUNCTION("""COMPUTED_VALUE"""),"Space Shooter HD")</f>
        <v>Space Shooter HD</v>
      </c>
      <c r="B736" s="60"/>
      <c r="C736" s="61" t="str">
        <f>IFERROR(__xludf.DUMMYFUNCTION("""COMPUTED_VALUE"""),"Yes")</f>
        <v>Yes</v>
      </c>
      <c r="D736" s="62"/>
      <c r="E736" s="61" t="str">
        <f>IFERROR(__xludf.DUMMYFUNCTION("""COMPUTED_VALUE"""),"ISOHaven")</f>
        <v>ISOHaven</v>
      </c>
      <c r="F736" s="63">
        <f>IFERROR(__xludf.DUMMYFUNCTION("""COMPUTED_VALUE"""),40884.0)</f>
        <v>40884</v>
      </c>
    </row>
    <row r="737">
      <c r="A737" s="59" t="str">
        <f>IFERROR(__xludf.DUMMYFUNCTION("""COMPUTED_VALUE"""),"Spanish Dictionary (by iThinkdiff)")</f>
        <v>Spanish Dictionary (by iThinkdiff)</v>
      </c>
      <c r="B737" s="60"/>
      <c r="C737" s="61" t="str">
        <f>IFERROR(__xludf.DUMMYFUNCTION("""COMPUTED_VALUE"""),"Yes")</f>
        <v>Yes</v>
      </c>
      <c r="D737" s="62" t="str">
        <f>IFERROR(__xludf.DUMMYFUNCTION("""COMPUTED_VALUE"""),"Removed ads and got Pro database")</f>
        <v>Removed ads and got Pro database</v>
      </c>
      <c r="E737" s="61" t="str">
        <f>IFERROR(__xludf.DUMMYFUNCTION("""COMPUTED_VALUE"""),"Specksynder")</f>
        <v>Specksynder</v>
      </c>
      <c r="F737" s="63">
        <f>IFERROR(__xludf.DUMMYFUNCTION("""COMPUTED_VALUE"""),40919.0)</f>
        <v>40919</v>
      </c>
    </row>
    <row r="738">
      <c r="A738" s="59" t="str">
        <f>IFERROR(__xludf.DUMMYFUNCTION("""COMPUTED_VALUE"""),"Spellcraft : School of Magic")</f>
        <v>Spellcraft : School of Magic</v>
      </c>
      <c r="B738" s="60">
        <f>IFERROR(__xludf.DUMMYFUNCTION("""COMPUTED_VALUE"""),1.1)</f>
        <v>1.1</v>
      </c>
      <c r="C738" s="61" t="str">
        <f>IFERROR(__xludf.DUMMYFUNCTION("""COMPUTED_VALUE"""),"Yes")</f>
        <v>Yes</v>
      </c>
      <c r="D738" s="62" t="str">
        <f>IFERROR(__xludf.DUMMYFUNCTION("""COMPUTED_VALUE"""),"Works for the new version 1.1")</f>
        <v>Works for the new version 1.1</v>
      </c>
      <c r="E738" s="61" t="str">
        <f>IFERROR(__xludf.DUMMYFUNCTION("""COMPUTED_VALUE"""),"Espressella")</f>
        <v>Espressella</v>
      </c>
      <c r="F738" s="63">
        <f>IFERROR(__xludf.DUMMYFUNCTION("""COMPUTED_VALUE"""),40966.0)</f>
        <v>40966</v>
      </c>
    </row>
    <row r="739">
      <c r="A739" s="59" t="str">
        <f>IFERROR(__xludf.DUMMYFUNCTION("""COMPUTED_VALUE"""),"Spice Invaders")</f>
        <v>Spice Invaders</v>
      </c>
      <c r="B739" s="60"/>
      <c r="C739" s="61" t="str">
        <f>IFERROR(__xludf.DUMMYFUNCTION("""COMPUTED_VALUE"""),"Yes")</f>
        <v>Yes</v>
      </c>
      <c r="D739" s="62" t="str">
        <f>IFERROR(__xludf.DUMMYFUNCTION("""COMPUTED_VALUE"""),"Works. Gives you negative spices after relaunch but all towers remain upgraded. New version under new name doesn't work.")</f>
        <v>Works. Gives you negative spices after relaunch but all towers remain upgraded. New version under new name doesn't work.</v>
      </c>
      <c r="E739" s="61" t="str">
        <f>IFERROR(__xludf.DUMMYFUNCTION("""COMPUTED_VALUE"""),"migui.aguilar")</f>
        <v>migui.aguilar</v>
      </c>
      <c r="F739" s="63">
        <f>IFERROR(__xludf.DUMMYFUNCTION("""COMPUTED_VALUE"""),40945.0)</f>
        <v>40945</v>
      </c>
    </row>
    <row r="740">
      <c r="A740" s="59" t="str">
        <f>IFERROR(__xludf.DUMMYFUNCTION("""COMPUTED_VALUE"""),"Splashtop XDisplay")</f>
        <v>Splashtop XDisplay</v>
      </c>
      <c r="B740" s="60"/>
      <c r="C740" s="61" t="str">
        <f>IFERROR(__xludf.DUMMYFUNCTION("""COMPUTED_VALUE"""),"Yes")</f>
        <v>Yes</v>
      </c>
      <c r="D740" s="62"/>
      <c r="E740" s="61" t="str">
        <f>IFERROR(__xludf.DUMMYFUNCTION("""COMPUTED_VALUE"""),"Guk")</f>
        <v>Guk</v>
      </c>
      <c r="F740" s="63">
        <f>IFERROR(__xludf.DUMMYFUNCTION("""COMPUTED_VALUE"""),40881.0)</f>
        <v>40881</v>
      </c>
    </row>
    <row r="741">
      <c r="A741" s="59" t="str">
        <f>IFERROR(__xludf.DUMMYFUNCTION("""COMPUTED_VALUE"""),"Sport1 Live")</f>
        <v>Sport1 Live</v>
      </c>
      <c r="B741" s="60"/>
      <c r="C741" s="61" t="str">
        <f>IFERROR(__xludf.DUMMYFUNCTION("""COMPUTED_VALUE"""),"Yes")</f>
        <v>Yes</v>
      </c>
      <c r="D741" s="62" t="str">
        <f>IFERROR(__xludf.DUMMYFUNCTION("""COMPUTED_VALUE"""),"You can watch all live games for free.")</f>
        <v>You can watch all live games for free.</v>
      </c>
      <c r="E741" s="61" t="str">
        <f>IFERROR(__xludf.DUMMYFUNCTION("""COMPUTED_VALUE"""),"Drieks")</f>
        <v>Drieks</v>
      </c>
      <c r="F741" s="63">
        <f>IFERROR(__xludf.DUMMYFUNCTION("""COMPUTED_VALUE"""),40930.0)</f>
        <v>40930</v>
      </c>
    </row>
    <row r="742">
      <c r="A742" s="59" t="str">
        <f>IFERROR(__xludf.DUMMYFUNCTION("""COMPUTED_VALUE"""),"Sprinkle")</f>
        <v>Sprinkle</v>
      </c>
      <c r="B742" s="60"/>
      <c r="C742" s="61" t="str">
        <f>IFERROR(__xludf.DUMMYFUNCTION("""COMPUTED_VALUE"""),"Yes")</f>
        <v>Yes</v>
      </c>
      <c r="D742" s="62" t="str">
        <f>IFERROR(__xludf.DUMMYFUNCTION("""COMPUTED_VALUE"""),"Unlock all levels")</f>
        <v>Unlock all levels</v>
      </c>
      <c r="E742" s="61" t="str">
        <f>IFERROR(__xludf.DUMMYFUNCTION("""COMPUTED_VALUE"""),"EdgarDrake")</f>
        <v>EdgarDrake</v>
      </c>
      <c r="F742" s="63">
        <f>IFERROR(__xludf.DUMMYFUNCTION("""COMPUTED_VALUE"""),40912.0)</f>
        <v>40912</v>
      </c>
    </row>
    <row r="743">
      <c r="A743" s="59" t="str">
        <f>IFERROR(__xludf.DUMMYFUNCTION("""COMPUTED_VALUE"""),"Stair Dismount")</f>
        <v>Stair Dismount</v>
      </c>
      <c r="B743" s="60"/>
      <c r="C743" s="61" t="str">
        <f>IFERROR(__xludf.DUMMYFUNCTION("""COMPUTED_VALUE"""),"Yes")</f>
        <v>Yes</v>
      </c>
      <c r="D743" s="62" t="str">
        <f>IFERROR(__xludf.DUMMYFUNCTION("""COMPUTED_VALUE"""),"Able to purchase all levels and character shapes")</f>
        <v>Able to purchase all levels and character shapes</v>
      </c>
      <c r="E743" s="61" t="str">
        <f>IFERROR(__xludf.DUMMYFUNCTION("""COMPUTED_VALUE"""),"Keb911")</f>
        <v>Keb911</v>
      </c>
      <c r="F743" s="63">
        <f>IFERROR(__xludf.DUMMYFUNCTION("""COMPUTED_VALUE"""),40882.0)</f>
        <v>40882</v>
      </c>
    </row>
    <row r="744">
      <c r="A744" s="59" t="str">
        <f>IFERROR(__xludf.DUMMYFUNCTION("""COMPUTED_VALUE"""),"Stand O'Food 3 HD (free)")</f>
        <v>Stand O'Food 3 HD (free)</v>
      </c>
      <c r="B744" s="60"/>
      <c r="C744" s="61" t="str">
        <f>IFERROR(__xludf.DUMMYFUNCTION("""COMPUTED_VALUE"""),"Yes")</f>
        <v>Yes</v>
      </c>
      <c r="D744" s="62" t="str">
        <f>IFERROR(__xludf.DUMMYFUNCTION("""COMPUTED_VALUE"""),"Unlock full version from within the free version with no login")</f>
        <v>Unlock full version from within the free version with no login</v>
      </c>
      <c r="E744" s="61" t="str">
        <f>IFERROR(__xludf.DUMMYFUNCTION("""COMPUTED_VALUE"""),"ISOHaven")</f>
        <v>ISOHaven</v>
      </c>
      <c r="F744" s="63">
        <f>IFERROR(__xludf.DUMMYFUNCTION("""COMPUTED_VALUE"""),40884.0)</f>
        <v>40884</v>
      </c>
    </row>
    <row r="745">
      <c r="A745" s="59" t="str">
        <f>IFERROR(__xludf.DUMMYFUNCTION("""COMPUTED_VALUE"""),"Star Blitz")</f>
        <v>Star Blitz</v>
      </c>
      <c r="B745" s="60"/>
      <c r="C745" s="61" t="str">
        <f>IFERROR(__xludf.DUMMYFUNCTION("""COMPUTED_VALUE"""),"Yes")</f>
        <v>Yes</v>
      </c>
      <c r="D745" s="62"/>
      <c r="E745" s="61" t="str">
        <f>IFERROR(__xludf.DUMMYFUNCTION("""COMPUTED_VALUE"""),"darwin88")</f>
        <v>darwin88</v>
      </c>
      <c r="F745" s="41"/>
    </row>
    <row r="746">
      <c r="A746" s="59" t="str">
        <f>IFERROR(__xludf.DUMMYFUNCTION("""COMPUTED_VALUE"""),"Star Marine! Infinite Ammo")</f>
        <v>Star Marine! Infinite Ammo</v>
      </c>
      <c r="B746" s="60"/>
      <c r="C746" s="61" t="str">
        <f>IFERROR(__xludf.DUMMYFUNCTION("""COMPUTED_VALUE"""),"Yes")</f>
        <v>Yes</v>
      </c>
      <c r="D746" s="62" t="str">
        <f>IFERROR(__xludf.DUMMYFUNCTION("""COMPUTED_VALUE"""),"Works perfect!")</f>
        <v>Works perfect!</v>
      </c>
      <c r="E746" s="61" t="str">
        <f>IFERROR(__xludf.DUMMYFUNCTION("""COMPUTED_VALUE"""),"Fantomac")</f>
        <v>Fantomac</v>
      </c>
      <c r="F746" s="63">
        <f>IFERROR(__xludf.DUMMYFUNCTION("""COMPUTED_VALUE"""),40931.0)</f>
        <v>40931</v>
      </c>
    </row>
    <row r="747">
      <c r="A747" s="59" t="str">
        <f>IFERROR(__xludf.DUMMYFUNCTION("""COMPUTED_VALUE"""),"Stardom")</f>
        <v>Stardom</v>
      </c>
      <c r="B747" s="60"/>
      <c r="C747" s="61" t="str">
        <f>IFERROR(__xludf.DUMMYFUNCTION("""COMPUTED_VALUE"""),"Yes")</f>
        <v>Yes</v>
      </c>
      <c r="D747" s="62" t="str">
        <f>IFERROR(__xludf.DUMMYFUNCTION("""COMPUTED_VALUE"""),"Purchasing all items")</f>
        <v>Purchasing all items</v>
      </c>
      <c r="E747" s="61" t="str">
        <f>IFERROR(__xludf.DUMMYFUNCTION("""COMPUTED_VALUE"""),"kikiki")</f>
        <v>kikiki</v>
      </c>
      <c r="F747" s="63">
        <f>IFERROR(__xludf.DUMMYFUNCTION("""COMPUTED_VALUE"""),40914.0)</f>
        <v>40914</v>
      </c>
    </row>
    <row r="748">
      <c r="A748" s="59" t="str">
        <f>IFERROR(__xludf.DUMMYFUNCTION("""COMPUTED_VALUE"""),"Stardom: The A List")</f>
        <v>Stardom: The A List</v>
      </c>
      <c r="B748" s="60"/>
      <c r="C748" s="61" t="str">
        <f>IFERROR(__xludf.DUMMYFUNCTION("""COMPUTED_VALUE"""),"Yes")</f>
        <v>Yes</v>
      </c>
      <c r="D748" s="62" t="str">
        <f>IFERROR(__xludf.DUMMYFUNCTION("""COMPUTED_VALUE"""),"Everything is OK")</f>
        <v>Everything is OK</v>
      </c>
      <c r="E748" s="61" t="str">
        <f>IFERROR(__xludf.DUMMYFUNCTION("""COMPUTED_VALUE"""),"phatpham")</f>
        <v>phatpham</v>
      </c>
      <c r="F748" s="63">
        <f>IFERROR(__xludf.DUMMYFUNCTION("""COMPUTED_VALUE"""),40900.0)</f>
        <v>40900</v>
      </c>
    </row>
    <row r="749">
      <c r="A749" s="59" t="str">
        <f>IFERROR(__xludf.DUMMYFUNCTION("""COMPUTED_VALUE"""),"StarDunk")</f>
        <v>StarDunk</v>
      </c>
      <c r="B749" s="60">
        <f>IFERROR(__xludf.DUMMYFUNCTION("""COMPUTED_VALUE"""),1.51)</f>
        <v>1.51</v>
      </c>
      <c r="C749" s="61" t="str">
        <f>IFERROR(__xludf.DUMMYFUNCTION("""COMPUTED_VALUE"""),"Yes")</f>
        <v>Yes</v>
      </c>
      <c r="D749" s="62" t="str">
        <f>IFERROR(__xludf.DUMMYFUNCTION("""COMPUTED_VALUE"""),"Can buy unlimited Starpoints and remove in-app ads")</f>
        <v>Can buy unlimited Starpoints and remove in-app ads</v>
      </c>
      <c r="E749" s="61" t="str">
        <f>IFERROR(__xludf.DUMMYFUNCTION("""COMPUTED_VALUE"""),"Sjunk")</f>
        <v>Sjunk</v>
      </c>
      <c r="F749" s="63">
        <f>IFERROR(__xludf.DUMMYFUNCTION("""COMPUTED_VALUE"""),41103.0)</f>
        <v>41103</v>
      </c>
    </row>
    <row r="750">
      <c r="A750" s="59" t="str">
        <f>IFERROR(__xludf.DUMMYFUNCTION("""COMPUTED_VALUE"""),"StarDunk Gold")</f>
        <v>StarDunk Gold</v>
      </c>
      <c r="B750" s="60"/>
      <c r="C750" s="61" t="str">
        <f>IFERROR(__xludf.DUMMYFUNCTION("""COMPUTED_VALUE"""),"Yes")</f>
        <v>Yes</v>
      </c>
      <c r="D750" s="62" t="str">
        <f>IFERROR(__xludf.DUMMYFUNCTION("""COMPUTED_VALUE"""),"Everything Works fine.")</f>
        <v>Everything Works fine.</v>
      </c>
      <c r="E750" s="61" t="str">
        <f>IFERROR(__xludf.DUMMYFUNCTION("""COMPUTED_VALUE"""),"xZorzo")</f>
        <v>xZorzo</v>
      </c>
      <c r="F750" s="63">
        <f>IFERROR(__xludf.DUMMYFUNCTION("""COMPUTED_VALUE"""),40863.0)</f>
        <v>40863</v>
      </c>
    </row>
    <row r="751">
      <c r="A751" s="59" t="str">
        <f>IFERROR(__xludf.DUMMYFUNCTION("""COMPUTED_VALUE"""),"SteamBirds Survival HD")</f>
        <v>SteamBirds Survival HD</v>
      </c>
      <c r="B751" s="60"/>
      <c r="C751" s="61" t="str">
        <f>IFERROR(__xludf.DUMMYFUNCTION("""COMPUTED_VALUE"""),"Yes")</f>
        <v>Yes</v>
      </c>
      <c r="D751" s="62"/>
      <c r="E751" s="61"/>
      <c r="F751" s="63">
        <f>IFERROR(__xludf.DUMMYFUNCTION("""COMPUTED_VALUE"""),40911.0)</f>
        <v>40911</v>
      </c>
    </row>
    <row r="752">
      <c r="A752" s="59" t="str">
        <f>IFERROR(__xludf.DUMMYFUNCTION("""COMPUTED_VALUE"""),"Steel Runner")</f>
        <v>Steel Runner</v>
      </c>
      <c r="B752" s="60" t="str">
        <f>IFERROR(__xludf.DUMMYFUNCTION("""COMPUTED_VALUE"""),"'1.0")</f>
        <v>'1.0</v>
      </c>
      <c r="C752" s="61" t="str">
        <f>IFERROR(__xludf.DUMMYFUNCTION("""COMPUTED_VALUE"""),"Yes")</f>
        <v>Yes</v>
      </c>
      <c r="D752" s="62" t="str">
        <f>IFERROR(__xludf.DUMMYFUNCTION("""COMPUTED_VALUE"""),"nothing more to say, just worked :)")</f>
        <v>nothing more to say, just worked :)</v>
      </c>
      <c r="E752" s="61" t="str">
        <f>IFERROR(__xludf.DUMMYFUNCTION("""COMPUTED_VALUE"""),"fss003124")</f>
        <v>fss003124</v>
      </c>
      <c r="F752" s="63">
        <f>IFERROR(__xludf.DUMMYFUNCTION("""COMPUTED_VALUE"""),40966.0)</f>
        <v>40966</v>
      </c>
    </row>
    <row r="753">
      <c r="A753" s="59" t="str">
        <f>IFERROR(__xludf.DUMMYFUNCTION("""COMPUTED_VALUE"""),"Steve Jobs Biography")</f>
        <v>Steve Jobs Biography</v>
      </c>
      <c r="B753" s="60"/>
      <c r="C753" s="61" t="str">
        <f>IFERROR(__xludf.DUMMYFUNCTION("""COMPUTED_VALUE"""),"Yes")</f>
        <v>Yes</v>
      </c>
      <c r="D753" s="62"/>
      <c r="E753" s="61" t="str">
        <f>IFERROR(__xludf.DUMMYFUNCTION("""COMPUTED_VALUE"""),"Spectrum")</f>
        <v>Spectrum</v>
      </c>
      <c r="F753" s="63">
        <f>IFERROR(__xludf.DUMMYFUNCTION("""COMPUTED_VALUE"""),40959.0)</f>
        <v>40959</v>
      </c>
    </row>
    <row r="754">
      <c r="A754" s="59" t="str">
        <f>IFERROR(__xludf.DUMMYFUNCTION("""COMPUTED_VALUE"""),"Stick Cricket")</f>
        <v>Stick Cricket</v>
      </c>
      <c r="B754" s="60" t="str">
        <f>IFERROR(__xludf.DUMMYFUNCTION("""COMPUTED_VALUE"""),"2.1.0")</f>
        <v>2.1.0</v>
      </c>
      <c r="C754" s="61" t="str">
        <f>IFERROR(__xludf.DUMMYFUNCTION("""COMPUTED_VALUE"""),"Yes")</f>
        <v>Yes</v>
      </c>
      <c r="D754" s="62" t="str">
        <f>IFERROR(__xludf.DUMMYFUNCTION("""COMPUTED_VALUE"""),"works perfectly")</f>
        <v>works perfectly</v>
      </c>
      <c r="E754" s="61" t="str">
        <f>IFERROR(__xludf.DUMMYFUNCTION("""COMPUTED_VALUE"""),"Hasim751")</f>
        <v>Hasim751</v>
      </c>
      <c r="F754" s="63">
        <f>IFERROR(__xludf.DUMMYFUNCTION("""COMPUTED_VALUE"""),40963.0)</f>
        <v>40963</v>
      </c>
    </row>
    <row r="755">
      <c r="A755" s="59" t="str">
        <f>IFERROR(__xludf.DUMMYFUNCTION("""COMPUTED_VALUE"""),"StickBo free")</f>
        <v>StickBo free</v>
      </c>
      <c r="B755" s="60"/>
      <c r="C755" s="61" t="str">
        <f>IFERROR(__xludf.DUMMYFUNCTION("""COMPUTED_VALUE"""),"Yes")</f>
        <v>Yes</v>
      </c>
      <c r="D755" s="62" t="str">
        <f>IFERROR(__xludf.DUMMYFUNCTION("""COMPUTED_VALUE"""),"able to buy full version")</f>
        <v>able to buy full version</v>
      </c>
      <c r="E755" s="61" t="str">
        <f>IFERROR(__xludf.DUMMYFUNCTION("""COMPUTED_VALUE"""),"ONTOP")</f>
        <v>ONTOP</v>
      </c>
      <c r="F755" s="63">
        <f>IFERROR(__xludf.DUMMYFUNCTION("""COMPUTED_VALUE"""),40910.0)</f>
        <v>40910</v>
      </c>
    </row>
    <row r="756">
      <c r="A756" s="59" t="str">
        <f>IFERROR(__xludf.DUMMYFUNCTION("""COMPUTED_VALUE"""),"Stickwars 2")</f>
        <v>Stickwars 2</v>
      </c>
      <c r="B756" s="60"/>
      <c r="C756" s="61" t="str">
        <f>IFERROR(__xludf.DUMMYFUNCTION("""COMPUTED_VALUE"""),"Yes")</f>
        <v>Yes</v>
      </c>
      <c r="D756" s="62" t="str">
        <f>IFERROR(__xludf.DUMMYFUNCTION("""COMPUTED_VALUE"""),"Works well")</f>
        <v>Works well</v>
      </c>
      <c r="E756" s="61" t="str">
        <f>IFERROR(__xludf.DUMMYFUNCTION("""COMPUTED_VALUE"""),"phatpham")</f>
        <v>phatpham</v>
      </c>
      <c r="F756" s="63">
        <f>IFERROR(__xludf.DUMMYFUNCTION("""COMPUTED_VALUE"""),40901.0)</f>
        <v>40901</v>
      </c>
    </row>
    <row r="757">
      <c r="A757" s="59" t="str">
        <f>IFERROR(__xludf.DUMMYFUNCTION("""COMPUTED_VALUE"""),"STL Contacts")</f>
        <v>STL Contacts</v>
      </c>
      <c r="B757" s="60"/>
      <c r="C757" s="61" t="str">
        <f>IFERROR(__xludf.DUMMYFUNCTION("""COMPUTED_VALUE"""),"Yes")</f>
        <v>Yes</v>
      </c>
      <c r="D757" s="62"/>
      <c r="E757" s="61" t="str">
        <f>IFERROR(__xludf.DUMMYFUNCTION("""COMPUTED_VALUE"""),"Dansco")</f>
        <v>Dansco</v>
      </c>
      <c r="F757" s="63">
        <f>IFERROR(__xludf.DUMMYFUNCTION("""COMPUTED_VALUE"""),40793.9138888889)</f>
        <v>40793.91389</v>
      </c>
    </row>
    <row r="758">
      <c r="A758" s="59" t="str">
        <f>IFERROR(__xludf.DUMMYFUNCTION("""COMPUTED_VALUE"""),"Stone Wars")</f>
        <v>Stone Wars</v>
      </c>
      <c r="B758" s="60"/>
      <c r="C758" s="61" t="str">
        <f>IFERROR(__xludf.DUMMYFUNCTION("""COMPUTED_VALUE"""),"Yes")</f>
        <v>Yes</v>
      </c>
      <c r="D758" s="62" t="str">
        <f>IFERROR(__xludf.DUMMYFUNCTION("""COMPUTED_VALUE"""),"Unlocks all levels")</f>
        <v>Unlocks all levels</v>
      </c>
      <c r="E758" s="61" t="str">
        <f>IFERROR(__xludf.DUMMYFUNCTION("""COMPUTED_VALUE"""),"bob8jeff")</f>
        <v>bob8jeff</v>
      </c>
      <c r="F758" s="63">
        <f>IFERROR(__xludf.DUMMYFUNCTION("""COMPUTED_VALUE"""),40937.0)</f>
        <v>40937</v>
      </c>
    </row>
    <row r="759">
      <c r="A759" s="59" t="str">
        <f>IFERROR(__xludf.DUMMYFUNCTION("""COMPUTED_VALUE"""),"Street Fighter 5 (IV)")</f>
        <v>Street Fighter 5 (IV)</v>
      </c>
      <c r="B759" s="60"/>
      <c r="C759" s="61" t="str">
        <f>IFERROR(__xludf.DUMMYFUNCTION("""COMPUTED_VALUE"""),"Yes")</f>
        <v>Yes</v>
      </c>
      <c r="D759" s="62" t="str">
        <f>IFERROR(__xludf.DUMMYFUNCTION("""COMPUTED_VALUE"""),"Can unlock all extra content")</f>
        <v>Can unlock all extra content</v>
      </c>
      <c r="E759" s="61"/>
      <c r="F759" s="63">
        <f>IFERROR(__xludf.DUMMYFUNCTION("""COMPUTED_VALUE"""),40883.0)</f>
        <v>40883</v>
      </c>
    </row>
    <row r="760">
      <c r="A760" s="59" t="str">
        <f>IFERROR(__xludf.DUMMYFUNCTION("""COMPUTED_VALUE"""),"Streetbike: Full Blast")</f>
        <v>Streetbike: Full Blast</v>
      </c>
      <c r="B760" s="60"/>
      <c r="C760" s="61" t="str">
        <f>IFERROR(__xludf.DUMMYFUNCTION("""COMPUTED_VALUE"""),"Yes")</f>
        <v>Yes</v>
      </c>
      <c r="D760" s="62" t="str">
        <f>IFERROR(__xludf.DUMMYFUNCTION("""COMPUTED_VALUE"""),"Seems to work fine with buying all tracks / bikes / money.")</f>
        <v>Seems to work fine with buying all tracks / bikes / money.</v>
      </c>
      <c r="E760" s="61" t="str">
        <f>IFERROR(__xludf.DUMMYFUNCTION("""COMPUTED_VALUE"""),"JustinCredible")</f>
        <v>JustinCredible</v>
      </c>
      <c r="F760" s="63">
        <f>IFERROR(__xludf.DUMMYFUNCTION("""COMPUTED_VALUE"""),40920.0)</f>
        <v>40920</v>
      </c>
    </row>
    <row r="761">
      <c r="A761" s="59" t="str">
        <f>IFERROR(__xludf.DUMMYFUNCTION("""COMPUTED_VALUE"""),"Strike Knight")</f>
        <v>Strike Knight</v>
      </c>
      <c r="B761" s="60"/>
      <c r="C761" s="61" t="str">
        <f>IFERROR(__xludf.DUMMYFUNCTION("""COMPUTED_VALUE"""),"Yes")</f>
        <v>Yes</v>
      </c>
      <c r="D761" s="62" t="str">
        <f>IFERROR(__xludf.DUMMYFUNCTION("""COMPUTED_VALUE"""),"Ad remove")</f>
        <v>Ad remove</v>
      </c>
      <c r="E761" s="61" t="str">
        <f>IFERROR(__xludf.DUMMYFUNCTION("""COMPUTED_VALUE"""),"phatpham")</f>
        <v>phatpham</v>
      </c>
      <c r="F761" s="63">
        <f>IFERROR(__xludf.DUMMYFUNCTION("""COMPUTED_VALUE"""),40902.0)</f>
        <v>40902</v>
      </c>
    </row>
    <row r="762">
      <c r="A762" s="59" t="str">
        <f>IFERROR(__xludf.DUMMYFUNCTION("""COMPUTED_VALUE"""),"Stylish Sprint")</f>
        <v>Stylish Sprint</v>
      </c>
      <c r="B762" s="60">
        <f>IFERROR(__xludf.DUMMYFUNCTION("""COMPUTED_VALUE"""),1.5)</f>
        <v>1.5</v>
      </c>
      <c r="C762" s="61" t="str">
        <f>IFERROR(__xludf.DUMMYFUNCTION("""COMPUTED_VALUE"""),"Yes")</f>
        <v>Yes</v>
      </c>
      <c r="D762" s="62" t="str">
        <f>IFERROR(__xludf.DUMMYFUNCTION("""COMPUTED_VALUE"""),"take longer for the first time")</f>
        <v>take longer for the first time</v>
      </c>
      <c r="E762" s="61" t="str">
        <f>IFERROR(__xludf.DUMMYFUNCTION("""COMPUTED_VALUE"""),"fss003124")</f>
        <v>fss003124</v>
      </c>
      <c r="F762" s="63">
        <f>IFERROR(__xludf.DUMMYFUNCTION("""COMPUTED_VALUE"""),40961.0)</f>
        <v>40961</v>
      </c>
    </row>
    <row r="763">
      <c r="A763" s="59" t="str">
        <f>IFERROR(__xludf.DUMMYFUNCTION("""COMPUTED_VALUE"""),"Sudoku ✯")</f>
        <v>Sudoku ✯</v>
      </c>
      <c r="B763" s="60"/>
      <c r="C763" s="61" t="str">
        <f>IFERROR(__xludf.DUMMYFUNCTION("""COMPUTED_VALUE"""),"Yes")</f>
        <v>Yes</v>
      </c>
      <c r="D763" s="62" t="str">
        <f>IFERROR(__xludf.DUMMYFUNCTION("""COMPUTED_VALUE"""),"Purchase all pack")</f>
        <v>Purchase all pack</v>
      </c>
      <c r="E763" s="61" t="str">
        <f>IFERROR(__xludf.DUMMYFUNCTION("""COMPUTED_VALUE"""),"Vista2k7")</f>
        <v>Vista2k7</v>
      </c>
      <c r="F763" s="63">
        <f>IFERROR(__xludf.DUMMYFUNCTION("""COMPUTED_VALUE"""),40926.0)</f>
        <v>40926</v>
      </c>
    </row>
    <row r="764">
      <c r="A764" s="59" t="str">
        <f>IFERROR(__xludf.DUMMYFUNCTION("""COMPUTED_VALUE"""),"Sudoku HD ✯")</f>
        <v>Sudoku HD ✯</v>
      </c>
      <c r="B764" s="60"/>
      <c r="C764" s="61" t="str">
        <f>IFERROR(__xludf.DUMMYFUNCTION("""COMPUTED_VALUE"""),"Yes")</f>
        <v>Yes</v>
      </c>
      <c r="D764" s="62" t="str">
        <f>IFERROR(__xludf.DUMMYFUNCTION("""COMPUTED_VALUE"""),"Purchase all pack")</f>
        <v>Purchase all pack</v>
      </c>
      <c r="E764" s="61" t="str">
        <f>IFERROR(__xludf.DUMMYFUNCTION("""COMPUTED_VALUE"""),"Vista2k7")</f>
        <v>Vista2k7</v>
      </c>
      <c r="F764" s="63">
        <f>IFERROR(__xludf.DUMMYFUNCTION("""COMPUTED_VALUE"""),40926.0)</f>
        <v>40926</v>
      </c>
    </row>
    <row r="765">
      <c r="A765" s="59" t="str">
        <f>IFERROR(__xludf.DUMMYFUNCTION("""COMPUTED_VALUE"""),"Super Junior Shake")</f>
        <v>Super Junior Shake</v>
      </c>
      <c r="B765" s="60"/>
      <c r="C765" s="61" t="str">
        <f>IFERROR(__xludf.DUMMYFUNCTION("""COMPUTED_VALUE"""),"Yes")</f>
        <v>Yes</v>
      </c>
      <c r="D765" s="62"/>
      <c r="E765" s="61"/>
      <c r="F765" s="63">
        <f>IFERROR(__xludf.DUMMYFUNCTION("""COMPUTED_VALUE"""),40899.0)</f>
        <v>40899</v>
      </c>
    </row>
    <row r="766">
      <c r="A766" s="59" t="str">
        <f>IFERROR(__xludf.DUMMYFUNCTION("""COMPUTED_VALUE"""),"Super KO Boxing 2")</f>
        <v>Super KO Boxing 2</v>
      </c>
      <c r="B766" s="60"/>
      <c r="C766" s="61" t="str">
        <f>IFERROR(__xludf.DUMMYFUNCTION("""COMPUTED_VALUE"""),"Yes")</f>
        <v>Yes</v>
      </c>
      <c r="D766" s="62"/>
      <c r="E766" s="61" t="str">
        <f>IFERROR(__xludf.DUMMYFUNCTION("""COMPUTED_VALUE"""),"phatpham")</f>
        <v>phatpham</v>
      </c>
      <c r="F766" s="63">
        <f>IFERROR(__xludf.DUMMYFUNCTION("""COMPUTED_VALUE"""),40900.0)</f>
        <v>40900</v>
      </c>
    </row>
    <row r="767">
      <c r="A767" s="59" t="str">
        <f>IFERROR(__xludf.DUMMYFUNCTION("""COMPUTED_VALUE"""),"Super Stickman Golf")</f>
        <v>Super Stickman Golf</v>
      </c>
      <c r="B767" s="60"/>
      <c r="C767" s="61" t="str">
        <f>IFERROR(__xludf.DUMMYFUNCTION("""COMPUTED_VALUE"""),"Yes")</f>
        <v>Yes</v>
      </c>
      <c r="D767" s="62" t="str">
        <f>IFERROR(__xludf.DUMMYFUNCTION("""COMPUTED_VALUE"""),"Unlock all courses")</f>
        <v>Unlock all courses</v>
      </c>
      <c r="E767" s="61" t="str">
        <f>IFERROR(__xludf.DUMMYFUNCTION("""COMPUTED_VALUE"""),"Sergio")</f>
        <v>Sergio</v>
      </c>
      <c r="F767" s="63">
        <f>IFERROR(__xludf.DUMMYFUNCTION("""COMPUTED_VALUE"""),40892.0)</f>
        <v>40892</v>
      </c>
    </row>
    <row r="768">
      <c r="A768" s="59" t="str">
        <f>IFERROR(__xludf.DUMMYFUNCTION("""COMPUTED_VALUE"""),"Supermarket Mania 2")</f>
        <v>Supermarket Mania 2</v>
      </c>
      <c r="B768" s="60"/>
      <c r="C768" s="61" t="str">
        <f>IFERROR(__xludf.DUMMYFUNCTION("""COMPUTED_VALUE"""),"Yes")</f>
        <v>Yes</v>
      </c>
      <c r="D768" s="62" t="str">
        <f>IFERROR(__xludf.DUMMYFUNCTION("""COMPUTED_VALUE"""),"Free → Full")</f>
        <v>Free → Full</v>
      </c>
      <c r="E768" s="61" t="str">
        <f>IFERROR(__xludf.DUMMYFUNCTION("""COMPUTED_VALUE"""),"phatpham")</f>
        <v>phatpham</v>
      </c>
      <c r="F768" s="63">
        <f>IFERROR(__xludf.DUMMYFUNCTION("""COMPUTED_VALUE"""),40901.0)</f>
        <v>40901</v>
      </c>
    </row>
    <row r="769">
      <c r="A769" s="59" t="str">
        <f>IFERROR(__xludf.DUMMYFUNCTION("""COMPUTED_VALUE"""),"Survival Run With Bear Grylls")</f>
        <v>Survival Run With Bear Grylls</v>
      </c>
      <c r="B769" s="60"/>
      <c r="C769" s="61" t="str">
        <f>IFERROR(__xludf.DUMMYFUNCTION("""COMPUTED_VALUE"""),"Yes")</f>
        <v>Yes</v>
      </c>
      <c r="D769" s="62" t="str">
        <f>IFERROR(__xludf.DUMMYFUNCTION("""COMPUTED_VALUE"""),"All Purchases Work")</f>
        <v>All Purchases Work</v>
      </c>
      <c r="E769" s="61" t="str">
        <f>IFERROR(__xludf.DUMMYFUNCTION("""COMPUTED_VALUE"""),"FalconUruguay")</f>
        <v>FalconUruguay</v>
      </c>
      <c r="F769" s="41" t="str">
        <f>IFERROR(__xludf.DUMMYFUNCTION("""COMPUTED_VALUE"""),"21-06-2012")</f>
        <v>21-06-2012</v>
      </c>
    </row>
    <row r="770">
      <c r="A770" s="59" t="str">
        <f>IFERROR(__xludf.DUMMYFUNCTION("""COMPUTED_VALUE"""),"Surviving High School (Content)")</f>
        <v>Surviving High School (Content)</v>
      </c>
      <c r="B770" s="60"/>
      <c r="C770" s="61" t="str">
        <f>IFERROR(__xludf.DUMMYFUNCTION("""COMPUTED_VALUE"""),"Yes")</f>
        <v>Yes</v>
      </c>
      <c r="D770" s="62" t="str">
        <f>IFERROR(__xludf.DUMMYFUNCTION("""COMPUTED_VALUE"""),"You will be able to download all Surviving High School Content")</f>
        <v>You will be able to download all Surviving High School Content</v>
      </c>
      <c r="E770" s="61" t="str">
        <f>IFERROR(__xludf.DUMMYFUNCTION("""COMPUTED_VALUE"""),"Unknown")</f>
        <v>Unknown</v>
      </c>
      <c r="F770" s="63">
        <f>IFERROR(__xludf.DUMMYFUNCTION("""COMPUTED_VALUE"""),40908.0)</f>
        <v>40908</v>
      </c>
    </row>
    <row r="771">
      <c r="A771" s="59" t="str">
        <f>IFERROR(__xludf.DUMMYFUNCTION("""COMPUTED_VALUE"""),"SushiChop")</f>
        <v>SushiChop</v>
      </c>
      <c r="B771" s="60"/>
      <c r="C771" s="61" t="str">
        <f>IFERROR(__xludf.DUMMYFUNCTION("""COMPUTED_VALUE"""),"Yes")</f>
        <v>Yes</v>
      </c>
      <c r="D771" s="62" t="str">
        <f>IFERROR(__xludf.DUMMYFUNCTION("""COMPUTED_VALUE"""),"Purchase everything in store")</f>
        <v>Purchase everything in store</v>
      </c>
      <c r="E771" s="61" t="str">
        <f>IFERROR(__xludf.DUMMYFUNCTION("""COMPUTED_VALUE"""),"playboy6006")</f>
        <v>playboy6006</v>
      </c>
      <c r="F771" s="63">
        <f>IFERROR(__xludf.DUMMYFUNCTION("""COMPUTED_VALUE"""),40888.0)</f>
        <v>40888</v>
      </c>
    </row>
    <row r="772">
      <c r="A772" s="59" t="str">
        <f>IFERROR(__xludf.DUMMYFUNCTION("""COMPUTED_VALUE"""),"swackett")</f>
        <v>swackett</v>
      </c>
      <c r="B772" s="60"/>
      <c r="C772" s="61" t="str">
        <f>IFERROR(__xludf.DUMMYFUNCTION("""COMPUTED_VALUE"""),"Yes")</f>
        <v>Yes</v>
      </c>
      <c r="D772" s="62" t="str">
        <f>IFERROR(__xludf.DUMMYFUNCTION("""COMPUTED_VALUE"""),"disable ads permanently")</f>
        <v>disable ads permanently</v>
      </c>
      <c r="E772" s="61" t="str">
        <f>IFERROR(__xludf.DUMMYFUNCTION("""COMPUTED_VALUE"""),"gustao")</f>
        <v>gustao</v>
      </c>
      <c r="F772" s="41"/>
    </row>
    <row r="773">
      <c r="A773" s="59" t="str">
        <f>IFERROR(__xludf.DUMMYFUNCTION("""COMPUTED_VALUE"""),"SwankoLab")</f>
        <v>SwankoLab</v>
      </c>
      <c r="B773" s="60"/>
      <c r="C773" s="61" t="str">
        <f>IFERROR(__xludf.DUMMYFUNCTION("""COMPUTED_VALUE"""),"Yes")</f>
        <v>Yes</v>
      </c>
      <c r="D773" s="62" t="str">
        <f>IFERROR(__xludf.DUMMYFUNCTION("""COMPUTED_VALUE"""),"Purchase Uncle Stu's Photo Emporium")</f>
        <v>Purchase Uncle Stu's Photo Emporium</v>
      </c>
      <c r="E773" s="61" t="str">
        <f>IFERROR(__xludf.DUMMYFUNCTION("""COMPUTED_VALUE"""),"Nandoche")</f>
        <v>Nandoche</v>
      </c>
      <c r="F773" s="63">
        <f>IFERROR(__xludf.DUMMYFUNCTION("""COMPUTED_VALUE"""),40898.0)</f>
        <v>40898</v>
      </c>
    </row>
    <row r="774">
      <c r="A774" s="59" t="str">
        <f>IFERROR(__xludf.DUMMYFUNCTION("""COMPUTED_VALUE"""),"SWYS (Say What You See)")</f>
        <v>SWYS (Say What You See)</v>
      </c>
      <c r="B774" s="60"/>
      <c r="C774" s="61" t="str">
        <f>IFERROR(__xludf.DUMMYFUNCTION("""COMPUTED_VALUE"""),"Yes")</f>
        <v>Yes</v>
      </c>
      <c r="D774" s="62"/>
      <c r="E774" s="61" t="str">
        <f>IFERROR(__xludf.DUMMYFUNCTION("""COMPUTED_VALUE"""),"Dansco")</f>
        <v>Dansco</v>
      </c>
      <c r="F774" s="63">
        <f>IFERROR(__xludf.DUMMYFUNCTION("""COMPUTED_VALUE"""),40793.9138888889)</f>
        <v>40793.91389</v>
      </c>
    </row>
    <row r="775">
      <c r="A775" s="59" t="str">
        <f>IFERROR(__xludf.DUMMYFUNCTION("""COMPUTED_VALUE"""),"Sylo Synthesiser")</f>
        <v>Sylo Synthesiser</v>
      </c>
      <c r="B775" s="60"/>
      <c r="C775" s="61" t="str">
        <f>IFERROR(__xludf.DUMMYFUNCTION("""COMPUTED_VALUE"""),"Yes")</f>
        <v>Yes</v>
      </c>
      <c r="D775" s="62"/>
      <c r="E775" s="61"/>
      <c r="F775" s="41"/>
    </row>
    <row r="776">
      <c r="A776" s="59" t="str">
        <f>IFERROR(__xludf.DUMMYFUNCTION("""COMPUTED_VALUE"""),"szMahjong
(known as ""麻雀官-跑馬仔"")")</f>
        <v>szMahjong
(known as "麻雀官-跑馬仔")</v>
      </c>
      <c r="B776" s="60"/>
      <c r="C776" s="61" t="str">
        <f>IFERROR(__xludf.DUMMYFUNCTION("""COMPUTED_VALUE"""),"Yes")</f>
        <v>Yes</v>
      </c>
      <c r="D776" s="62"/>
      <c r="E776" s="61" t="str">
        <f>IFERROR(__xludf.DUMMYFUNCTION("""COMPUTED_VALUE"""),"Guk")</f>
        <v>Guk</v>
      </c>
      <c r="F776" s="63">
        <f>IFERROR(__xludf.DUMMYFUNCTION("""COMPUTED_VALUE"""),40905.0)</f>
        <v>40905</v>
      </c>
    </row>
    <row r="777">
      <c r="A777" s="59" t="str">
        <f>IFERROR(__xludf.DUMMYFUNCTION("""COMPUTED_VALUE"""),"TableDrum")</f>
        <v>TableDrum</v>
      </c>
      <c r="B777" s="60"/>
      <c r="C777" s="61" t="str">
        <f>IFERROR(__xludf.DUMMYFUNCTION("""COMPUTED_VALUE"""),"Yes")</f>
        <v>Yes</v>
      </c>
      <c r="D777" s="62"/>
      <c r="E777" s="61" t="str">
        <f>IFERROR(__xludf.DUMMYFUNCTION("""COMPUTED_VALUE"""),"Arayel")</f>
        <v>Arayel</v>
      </c>
      <c r="F777" s="63">
        <f>IFERROR(__xludf.DUMMYFUNCTION("""COMPUTED_VALUE"""),40949.0)</f>
        <v>40949</v>
      </c>
    </row>
    <row r="778">
      <c r="A778" s="59" t="str">
        <f>IFERROR(__xludf.DUMMYFUNCTION("""COMPUTED_VALUE"""),"Tabletop")</f>
        <v>Tabletop</v>
      </c>
      <c r="B778" s="60"/>
      <c r="C778" s="61" t="str">
        <f>IFERROR(__xludf.DUMMYFUNCTION("""COMPUTED_VALUE"""),"Yes")</f>
        <v>Yes</v>
      </c>
      <c r="D778" s="62" t="str">
        <f>IFERROR(__xludf.DUMMYFUNCTION("""COMPUTED_VALUE"""),"Store menu does not work, but just drag store items onto grid, then touch ""Buy""!")</f>
        <v>Store menu does not work, but just drag store items onto grid, then touch "Buy"!</v>
      </c>
      <c r="E778" s="61" t="str">
        <f>IFERROR(__xludf.DUMMYFUNCTION("""COMPUTED_VALUE"""),"Bull Moose")</f>
        <v>Bull Moose</v>
      </c>
      <c r="F778" s="63">
        <f>IFERROR(__xludf.DUMMYFUNCTION("""COMPUTED_VALUE"""),40900.0)</f>
        <v>40900</v>
      </c>
    </row>
    <row r="779">
      <c r="A779" s="59" t="str">
        <f>IFERROR(__xludf.DUMMYFUNCTION("""COMPUTED_VALUE"""),"Tactical Warrior")</f>
        <v>Tactical Warrior</v>
      </c>
      <c r="B779" s="60"/>
      <c r="C779" s="61" t="str">
        <f>IFERROR(__xludf.DUMMYFUNCTION("""COMPUTED_VALUE"""),"Yes")</f>
        <v>Yes</v>
      </c>
      <c r="D779" s="62" t="str">
        <f>IFERROR(__xludf.DUMMYFUNCTION("""COMPUTED_VALUE"""),"Can buy expansion")</f>
        <v>Can buy expansion</v>
      </c>
      <c r="E779" s="61" t="str">
        <f>IFERROR(__xludf.DUMMYFUNCTION("""COMPUTED_VALUE"""),"Zaraf")</f>
        <v>Zaraf</v>
      </c>
      <c r="F779" s="63">
        <f>IFERROR(__xludf.DUMMYFUNCTION("""COMPUTED_VALUE"""),40937.0)</f>
        <v>40937</v>
      </c>
    </row>
    <row r="780">
      <c r="A780" s="59" t="str">
        <f>IFERROR(__xludf.DUMMYFUNCTION("""COMPUTED_VALUE"""),"Taiko no Tatsujin+")</f>
        <v>Taiko no Tatsujin+</v>
      </c>
      <c r="B780" s="60"/>
      <c r="C780" s="61" t="str">
        <f>IFERROR(__xludf.DUMMYFUNCTION("""COMPUTED_VALUE"""),"Yes")</f>
        <v>Yes</v>
      </c>
      <c r="D780" s="62" t="str">
        <f>IFERROR(__xludf.DUMMYFUNCTION("""COMPUTED_VALUE"""),"Able to purchase additional song packs")</f>
        <v>Able to purchase additional song packs</v>
      </c>
      <c r="E780" s="61" t="str">
        <f>IFERROR(__xludf.DUMMYFUNCTION("""COMPUTED_VALUE"""),"Guk")</f>
        <v>Guk</v>
      </c>
      <c r="F780" s="63">
        <f>IFERROR(__xludf.DUMMYFUNCTION("""COMPUTED_VALUE"""),40881.0)</f>
        <v>40881</v>
      </c>
    </row>
    <row r="781">
      <c r="A781" s="59" t="str">
        <f>IFERROR(__xludf.DUMMYFUNCTION("""COMPUTED_VALUE"""),"Talkatone")</f>
        <v>Talkatone</v>
      </c>
      <c r="B781" s="60"/>
      <c r="C781" s="61" t="str">
        <f>IFERROR(__xludf.DUMMYFUNCTION("""COMPUTED_VALUE"""),"Yes")</f>
        <v>Yes</v>
      </c>
      <c r="D781" s="62" t="str">
        <f>IFERROR(__xludf.DUMMYFUNCTION("""COMPUTED_VALUE"""),"no ads &amp; better voice codec pack")</f>
        <v>no ads &amp; better voice codec pack</v>
      </c>
      <c r="E781" s="61" t="str">
        <f>IFERROR(__xludf.DUMMYFUNCTION("""COMPUTED_VALUE"""),"fbloise")</f>
        <v>fbloise</v>
      </c>
      <c r="F781" s="63">
        <f>IFERROR(__xludf.DUMMYFUNCTION("""COMPUTED_VALUE"""),40793.7888888889)</f>
        <v>40793.78889</v>
      </c>
    </row>
    <row r="782">
      <c r="A782" s="59" t="str">
        <f>IFERROR(__xludf.DUMMYFUNCTION("""COMPUTED_VALUE"""),"Talking Ben")</f>
        <v>Talking Ben</v>
      </c>
      <c r="B782" s="60"/>
      <c r="C782" s="61" t="str">
        <f>IFERROR(__xludf.DUMMYFUNCTION("""COMPUTED_VALUE"""),"Yes")</f>
        <v>Yes</v>
      </c>
      <c r="D782" s="62"/>
      <c r="E782" s="61" t="str">
        <f>IFERROR(__xludf.DUMMYFUNCTION("""COMPUTED_VALUE"""),"PJR")</f>
        <v>PJR</v>
      </c>
      <c r="F782" s="63">
        <f>IFERROR(__xludf.DUMMYFUNCTION("""COMPUTED_VALUE"""),40911.0)</f>
        <v>40911</v>
      </c>
    </row>
    <row r="783">
      <c r="A783" s="59" t="str">
        <f>IFERROR(__xludf.DUMMYFUNCTION("""COMPUTED_VALUE"""),"Talking Pierre the Parrot")</f>
        <v>Talking Pierre the Parrot</v>
      </c>
      <c r="B783" s="60"/>
      <c r="C783" s="61" t="str">
        <f>IFERROR(__xludf.DUMMYFUNCTION("""COMPUTED_VALUE"""),"Yes")</f>
        <v>Yes</v>
      </c>
      <c r="D783" s="62"/>
      <c r="E783" s="61"/>
      <c r="F783" s="41"/>
    </row>
    <row r="784">
      <c r="A784" s="59" t="str">
        <f>IFERROR(__xludf.DUMMYFUNCTION("""COMPUTED_VALUE"""),"Talking Pirate")</f>
        <v>Talking Pirate</v>
      </c>
      <c r="B784" s="60"/>
      <c r="C784" s="61" t="str">
        <f>IFERROR(__xludf.DUMMYFUNCTION("""COMPUTED_VALUE"""),"Yes")</f>
        <v>Yes</v>
      </c>
      <c r="D784" s="62"/>
      <c r="E784" s="61" t="str">
        <f>IFERROR(__xludf.DUMMYFUNCTION("""COMPUTED_VALUE"""),"luudaigiang")</f>
        <v>luudaigiang</v>
      </c>
      <c r="F784" s="63">
        <f>IFERROR(__xludf.DUMMYFUNCTION("""COMPUTED_VALUE"""),40922.0)</f>
        <v>40922</v>
      </c>
    </row>
    <row r="785">
      <c r="A785" s="59" t="str">
        <f>IFERROR(__xludf.DUMMYFUNCTION("""COMPUTED_VALUE"""),"Talking Tom")</f>
        <v>Talking Tom</v>
      </c>
      <c r="B785" s="60"/>
      <c r="C785" s="61" t="str">
        <f>IFERROR(__xludf.DUMMYFUNCTION("""COMPUTED_VALUE"""),"Yes")</f>
        <v>Yes</v>
      </c>
      <c r="D785" s="62" t="str">
        <f>IFERROR(__xludf.DUMMYFUNCTION("""COMPUTED_VALUE"""),"Takes a while, but you can acquire the extra animations.")</f>
        <v>Takes a while, but you can acquire the extra animations.</v>
      </c>
      <c r="E785" s="61" t="str">
        <f>IFERROR(__xludf.DUMMYFUNCTION("""COMPUTED_VALUE"""),"Aarian")</f>
        <v>Aarian</v>
      </c>
      <c r="F785" s="63">
        <f>IFERROR(__xludf.DUMMYFUNCTION("""COMPUTED_VALUE"""),40896.0)</f>
        <v>40896</v>
      </c>
    </row>
    <row r="786">
      <c r="A786" s="59" t="str">
        <f>IFERROR(__xludf.DUMMYFUNCTION("""COMPUTED_VALUE"""),"Talking Tom &amp; Ben News")</f>
        <v>Talking Tom &amp; Ben News</v>
      </c>
      <c r="B786" s="60"/>
      <c r="C786" s="61" t="str">
        <f>IFERROR(__xludf.DUMMYFUNCTION("""COMPUTED_VALUE"""),"Yes")</f>
        <v>Yes</v>
      </c>
      <c r="D786" s="62"/>
      <c r="E786" s="61"/>
      <c r="F786" s="41"/>
    </row>
    <row r="787">
      <c r="A787" s="59" t="str">
        <f>IFERROR(__xludf.DUMMYFUNCTION("""COMPUTED_VALUE"""),"Talking Tom &amp; Ben News for iPad")</f>
        <v>Talking Tom &amp; Ben News for iPad</v>
      </c>
      <c r="B787" s="60"/>
      <c r="C787" s="61" t="str">
        <f>IFERROR(__xludf.DUMMYFUNCTION("""COMPUTED_VALUE"""),"Yes")</f>
        <v>Yes</v>
      </c>
      <c r="D787" s="62"/>
      <c r="E787" s="61"/>
      <c r="F787" s="41"/>
    </row>
    <row r="788">
      <c r="A788" s="59" t="str">
        <f>IFERROR(__xludf.DUMMYFUNCTION("""COMPUTED_VALUE"""),"Talking Tom 2")</f>
        <v>Talking Tom 2</v>
      </c>
      <c r="B788" s="60"/>
      <c r="C788" s="61" t="str">
        <f>IFERROR(__xludf.DUMMYFUNCTION("""COMPUTED_VALUE"""),"Yes")</f>
        <v>Yes</v>
      </c>
      <c r="D788" s="62"/>
      <c r="E788" s="61" t="str">
        <f>IFERROR(__xludf.DUMMYFUNCTION("""COMPUTED_VALUE"""),"farhanito")</f>
        <v>farhanito</v>
      </c>
      <c r="F788" s="63">
        <f>IFERROR(__xludf.DUMMYFUNCTION("""COMPUTED_VALUE"""),40793.8013888889)</f>
        <v>40793.80139</v>
      </c>
    </row>
    <row r="789">
      <c r="A789" s="59" t="str">
        <f>IFERROR(__xludf.DUMMYFUNCTION("""COMPUTED_VALUE"""),"tangram!")</f>
        <v>tangram!</v>
      </c>
      <c r="B789" s="60"/>
      <c r="C789" s="61" t="str">
        <f>IFERROR(__xludf.DUMMYFUNCTION("""COMPUTED_VALUE"""),"Yes")</f>
        <v>Yes</v>
      </c>
      <c r="D789" s="62" t="str">
        <f>IFERROR(__xludf.DUMMYFUNCTION("""COMPUTED_VALUE"""),"unlock all the 200 new puzzles")</f>
        <v>unlock all the 200 new puzzles</v>
      </c>
      <c r="E789" s="61" t="str">
        <f>IFERROR(__xludf.DUMMYFUNCTION("""COMPUTED_VALUE"""),"gustao")</f>
        <v>gustao</v>
      </c>
      <c r="F789" s="41"/>
    </row>
    <row r="790">
      <c r="A790" s="59" t="str">
        <f>IFERROR(__xludf.DUMMYFUNCTION("""COMPUTED_VALUE"""),"Tank Battalion Blitz")</f>
        <v>Tank Battalion Blitz</v>
      </c>
      <c r="B790" s="60"/>
      <c r="C790" s="61" t="str">
        <f>IFERROR(__xludf.DUMMYFUNCTION("""COMPUTED_VALUE"""),"Yes")</f>
        <v>Yes</v>
      </c>
      <c r="D790" s="62" t="str">
        <f>IFERROR(__xludf.DUMMYFUNCTION("""COMPUTED_VALUE"""),"1.0.0 Purchases works")</f>
        <v>1.0.0 Purchases works</v>
      </c>
      <c r="E790" s="61" t="str">
        <f>IFERROR(__xludf.DUMMYFUNCTION("""COMPUTED_VALUE"""),"Keigo@ZA")</f>
        <v>Keigo@ZA</v>
      </c>
      <c r="F790" s="63">
        <f>IFERROR(__xludf.DUMMYFUNCTION("""COMPUTED_VALUE"""),40944.0)</f>
        <v>40944</v>
      </c>
    </row>
    <row r="791">
      <c r="A791" s="59" t="str">
        <f>IFERROR(__xludf.DUMMYFUNCTION("""COMPUTED_VALUE"""),"Tap  Fish Season")</f>
        <v>Tap  Fish Season</v>
      </c>
      <c r="B791" s="60"/>
      <c r="C791" s="61" t="str">
        <f>IFERROR(__xludf.DUMMYFUNCTION("""COMPUTED_VALUE"""),"Yes")</f>
        <v>Yes</v>
      </c>
      <c r="D791" s="62"/>
      <c r="E791" s="61" t="str">
        <f>IFERROR(__xludf.DUMMYFUNCTION("""COMPUTED_VALUE"""),"phatpham")</f>
        <v>phatpham</v>
      </c>
      <c r="F791" s="63">
        <f>IFERROR(__xludf.DUMMYFUNCTION("""COMPUTED_VALUE"""),40902.0)</f>
        <v>40902</v>
      </c>
    </row>
    <row r="792">
      <c r="A792" s="59" t="str">
        <f>IFERROR(__xludf.DUMMYFUNCTION("""COMPUTED_VALUE"""),"Tap Fish 2")</f>
        <v>Tap Fish 2</v>
      </c>
      <c r="B792" s="60"/>
      <c r="C792" s="61" t="str">
        <f>IFERROR(__xludf.DUMMYFUNCTION("""COMPUTED_VALUE"""),"Yes")</f>
        <v>Yes</v>
      </c>
      <c r="D792" s="62"/>
      <c r="E792" s="61" t="str">
        <f>IFERROR(__xludf.DUMMYFUNCTION("""COMPUTED_VALUE"""),"Thef")</f>
        <v>Thef</v>
      </c>
      <c r="F792" s="63">
        <f>IFERROR(__xludf.DUMMYFUNCTION("""COMPUTED_VALUE"""),40899.0)</f>
        <v>40899</v>
      </c>
    </row>
    <row r="793">
      <c r="A793" s="59" t="str">
        <f>IFERROR(__xludf.DUMMYFUNCTION("""COMPUTED_VALUE"""),"Tap Resort")</f>
        <v>Tap Resort</v>
      </c>
      <c r="B793" s="60"/>
      <c r="C793" s="61" t="str">
        <f>IFERROR(__xludf.DUMMYFUNCTION("""COMPUTED_VALUE"""),"Yes")</f>
        <v>Yes</v>
      </c>
      <c r="D793" s="62"/>
      <c r="E793" s="61"/>
      <c r="F793" s="41"/>
    </row>
    <row r="794">
      <c r="A794" s="59" t="str">
        <f>IFERROR(__xludf.DUMMYFUNCTION("""COMPUTED_VALUE"""),"Tap Store")</f>
        <v>Tap Store</v>
      </c>
      <c r="B794" s="60"/>
      <c r="C794" s="61" t="str">
        <f>IFERROR(__xludf.DUMMYFUNCTION("""COMPUTED_VALUE"""),"Yes")</f>
        <v>Yes</v>
      </c>
      <c r="D794" s="62" t="str">
        <f>IFERROR(__xludf.DUMMYFUNCTION("""COMPUTED_VALUE"""),"Can Buy Everything")</f>
        <v>Can Buy Everything</v>
      </c>
      <c r="E794" s="61" t="str">
        <f>IFERROR(__xludf.DUMMYFUNCTION("""COMPUTED_VALUE"""),"Chantelle3107")</f>
        <v>Chantelle3107</v>
      </c>
      <c r="F794" s="63">
        <f>IFERROR(__xludf.DUMMYFUNCTION("""COMPUTED_VALUE"""),41160.0)</f>
        <v>41160</v>
      </c>
    </row>
    <row r="795">
      <c r="A795" s="59" t="str">
        <f>IFERROR(__xludf.DUMMYFUNCTION("""COMPUTED_VALUE"""),"Temple Run")</f>
        <v>Temple Run</v>
      </c>
      <c r="B795" s="60"/>
      <c r="C795" s="61" t="str">
        <f>IFERROR(__xludf.DUMMYFUNCTION("""COMPUTED_VALUE"""),"Yes")</f>
        <v>Yes</v>
      </c>
      <c r="D795" s="62"/>
      <c r="E795" s="61" t="str">
        <f>IFERROR(__xludf.DUMMYFUNCTION("""COMPUTED_VALUE"""),"Keb911
Bobo LaRue")</f>
        <v>Keb911
Bobo LaRue</v>
      </c>
      <c r="F795" s="63">
        <f>IFERROR(__xludf.DUMMYFUNCTION("""COMPUTED_VALUE"""),40882.0)</f>
        <v>40882</v>
      </c>
    </row>
    <row r="796">
      <c r="A796" s="59" t="str">
        <f>IFERROR(__xludf.DUMMYFUNCTION("""COMPUTED_VALUE"""),"Temple Run Brave")</f>
        <v>Temple Run Brave</v>
      </c>
      <c r="B796" s="60"/>
      <c r="C796" s="61" t="str">
        <f>IFERROR(__xludf.DUMMYFUNCTION("""COMPUTED_VALUE"""),"Yes")</f>
        <v>Yes</v>
      </c>
      <c r="D796" s="62" t="str">
        <f>IFERROR(__xludf.DUMMYFUNCTION("""COMPUTED_VALUE"""),"Purchase everything from store (coins)")</f>
        <v>Purchase everything from store (coins)</v>
      </c>
      <c r="E796" s="61" t="str">
        <f>IFERROR(__xludf.DUMMYFUNCTION("""COMPUTED_VALUE"""),"DemonicZeus")</f>
        <v>DemonicZeus</v>
      </c>
      <c r="F796" s="63">
        <f>IFERROR(__xludf.DUMMYFUNCTION("""COMPUTED_VALUE"""),41067.0)</f>
        <v>41067</v>
      </c>
    </row>
    <row r="797">
      <c r="A797" s="59" t="str">
        <f>IFERROR(__xludf.DUMMYFUNCTION("""COMPUTED_VALUE"""),"Tesla Wars")</f>
        <v>Tesla Wars</v>
      </c>
      <c r="B797" s="60"/>
      <c r="C797" s="61" t="str">
        <f>IFERROR(__xludf.DUMMYFUNCTION("""COMPUTED_VALUE"""),"Yes")</f>
        <v>Yes</v>
      </c>
      <c r="D797" s="62" t="str">
        <f>IFERROR(__xludf.DUMMYFUNCTION("""COMPUTED_VALUE"""),"Get money")</f>
        <v>Get money</v>
      </c>
      <c r="E797" s="61" t="str">
        <f>IFERROR(__xludf.DUMMYFUNCTION("""COMPUTED_VALUE"""),"Sergio")</f>
        <v>Sergio</v>
      </c>
      <c r="F797" s="63">
        <f>IFERROR(__xludf.DUMMYFUNCTION("""COMPUTED_VALUE"""),40892.0)</f>
        <v>40892</v>
      </c>
    </row>
    <row r="798">
      <c r="A798" s="59" t="str">
        <f>IFERROR(__xludf.DUMMYFUNCTION("""COMPUTED_VALUE"""),"TextNow")</f>
        <v>TextNow</v>
      </c>
      <c r="B798" s="60"/>
      <c r="C798" s="61" t="str">
        <f>IFERROR(__xludf.DUMMYFUNCTION("""COMPUTED_VALUE"""),"Yes")</f>
        <v>Yes</v>
      </c>
      <c r="D798" s="62" t="str">
        <f>IFERROR(__xludf.DUMMYFUNCTION("""COMPUTED_VALUE"""),"Remove ads, buy credits and sound packs. Resets occasionally. Just re-purchase.")</f>
        <v>Remove ads, buy credits and sound packs. Resets occasionally. Just re-purchase.</v>
      </c>
      <c r="E798" s="61" t="str">
        <f>IFERROR(__xludf.DUMMYFUNCTION("""COMPUTED_VALUE"""),"BruiserBrody")</f>
        <v>BruiserBrody</v>
      </c>
      <c r="F798" s="63">
        <f>IFERROR(__xludf.DUMMYFUNCTION("""COMPUTED_VALUE"""),40902.0)</f>
        <v>40902</v>
      </c>
    </row>
    <row r="799">
      <c r="A799" s="59" t="str">
        <f>IFERROR(__xludf.DUMMYFUNCTION("""COMPUTED_VALUE"""),"The Blocks Cometh By Halfbot")</f>
        <v>The Blocks Cometh By Halfbot</v>
      </c>
      <c r="B799" s="60">
        <f>IFERROR(__xludf.DUMMYFUNCTION("""COMPUTED_VALUE"""),1.5)</f>
        <v>1.5</v>
      </c>
      <c r="C799" s="61" t="str">
        <f>IFERROR(__xludf.DUMMYFUNCTION("""COMPUTED_VALUE"""),"Yes")</f>
        <v>Yes</v>
      </c>
      <c r="D799" s="62" t="str">
        <f>IFERROR(__xludf.DUMMYFUNCTION("""COMPUTED_VALUE"""),"Works Perfectly")</f>
        <v>Works Perfectly</v>
      </c>
      <c r="E799" s="61" t="str">
        <f>IFERROR(__xludf.DUMMYFUNCTION("""COMPUTED_VALUE"""),"luudaigiang")</f>
        <v>luudaigiang</v>
      </c>
      <c r="F799" s="63">
        <f>IFERROR(__xludf.DUMMYFUNCTION("""COMPUTED_VALUE"""),40959.0)</f>
        <v>40959</v>
      </c>
    </row>
    <row r="800">
      <c r="A800" s="59" t="str">
        <f>IFERROR(__xludf.DUMMYFUNCTION("""COMPUTED_VALUE"""),"The Buddy")</f>
        <v>The Buddy</v>
      </c>
      <c r="B800" s="60"/>
      <c r="C800" s="61" t="str">
        <f>IFERROR(__xludf.DUMMYFUNCTION("""COMPUTED_VALUE"""),"Yes")</f>
        <v>Yes</v>
      </c>
      <c r="D800" s="62" t="str">
        <f>IFERROR(__xludf.DUMMYFUNCTION("""COMPUTED_VALUE"""),"Works Perfectly")</f>
        <v>Works Perfectly</v>
      </c>
      <c r="E800" s="61" t="str">
        <f>IFERROR(__xludf.DUMMYFUNCTION("""COMPUTED_VALUE"""),"koasterkid")</f>
        <v>koasterkid</v>
      </c>
      <c r="F800" s="63">
        <f>IFERROR(__xludf.DUMMYFUNCTION("""COMPUTED_VALUE"""),40891.0)</f>
        <v>40891</v>
      </c>
    </row>
    <row r="801">
      <c r="A801" s="59" t="str">
        <f>IFERROR(__xludf.DUMMYFUNCTION("""COMPUTED_VALUE"""),"The Creeps")</f>
        <v>The Creeps</v>
      </c>
      <c r="B801" s="60"/>
      <c r="C801" s="61" t="str">
        <f>IFERROR(__xludf.DUMMYFUNCTION("""COMPUTED_VALUE"""),"Yes")</f>
        <v>Yes</v>
      </c>
      <c r="D801" s="62"/>
      <c r="E801" s="61" t="str">
        <f>IFERROR(__xludf.DUMMYFUNCTION("""COMPUTED_VALUE"""),"farhanito")</f>
        <v>farhanito</v>
      </c>
      <c r="F801" s="63">
        <f>IFERROR(__xludf.DUMMYFUNCTION("""COMPUTED_VALUE"""),40793.0)</f>
        <v>40793</v>
      </c>
    </row>
    <row r="802">
      <c r="A802" s="59" t="str">
        <f>IFERROR(__xludf.DUMMYFUNCTION("""COMPUTED_VALUE"""),"The Cube")</f>
        <v>The Cube</v>
      </c>
      <c r="B802" s="60"/>
      <c r="C802" s="61" t="str">
        <f>IFERROR(__xludf.DUMMYFUNCTION("""COMPUTED_VALUE"""),"Yes")</f>
        <v>Yes</v>
      </c>
      <c r="D802" s="62"/>
      <c r="E802" s="61" t="str">
        <f>IFERROR(__xludf.DUMMYFUNCTION("""COMPUTED_VALUE"""),"Yes")</f>
        <v>Yes</v>
      </c>
      <c r="F802" s="41"/>
    </row>
    <row r="803">
      <c r="A803" s="59" t="str">
        <f>IFERROR(__xludf.DUMMYFUNCTION("""COMPUTED_VALUE"""),"The Impossible Game")</f>
        <v>The Impossible Game</v>
      </c>
      <c r="B803" s="60"/>
      <c r="C803" s="61" t="str">
        <f>IFERROR(__xludf.DUMMYFUNCTION("""COMPUTED_VALUE"""),"Yes")</f>
        <v>Yes</v>
      </c>
      <c r="D803" s="62" t="str">
        <f>IFERROR(__xludf.DUMMYFUNCTION("""COMPUTED_VALUE"""),"You can unlock all the extra levels")</f>
        <v>You can unlock all the extra levels</v>
      </c>
      <c r="E803" s="61" t="str">
        <f>IFERROR(__xludf.DUMMYFUNCTION("""COMPUTED_VALUE"""),"taka00")</f>
        <v>taka00</v>
      </c>
      <c r="F803" s="63">
        <f>IFERROR(__xludf.DUMMYFUNCTION("""COMPUTED_VALUE"""),40912.0)</f>
        <v>40912</v>
      </c>
    </row>
    <row r="804">
      <c r="A804" s="59" t="str">
        <f>IFERROR(__xludf.DUMMYFUNCTION("""COMPUTED_VALUE"""),"The Impossible Test CHRISTMAS")</f>
        <v>The Impossible Test CHRISTMAS</v>
      </c>
      <c r="B804" s="60"/>
      <c r="C804" s="61" t="str">
        <f>IFERROR(__xludf.DUMMYFUNCTION("""COMPUTED_VALUE"""),"Yes")</f>
        <v>Yes</v>
      </c>
      <c r="D804" s="62" t="str">
        <f>IFERROR(__xludf.DUMMYFUNCTION("""COMPUTED_VALUE"""),"Can purchase coins on the spot, for ad-free, it will load forever but once I restart the app, the ads are gone.")</f>
        <v>Can purchase coins on the spot, for ad-free, it will load forever but once I restart the app, the ads are gone.</v>
      </c>
      <c r="E804" s="61" t="str">
        <f>IFERROR(__xludf.DUMMYFUNCTION("""COMPUTED_VALUE"""),"Z1nC")</f>
        <v>Z1nC</v>
      </c>
      <c r="F804" s="63">
        <f>IFERROR(__xludf.DUMMYFUNCTION("""COMPUTED_VALUE"""),40899.0)</f>
        <v>40899</v>
      </c>
    </row>
    <row r="805">
      <c r="A805" s="59" t="str">
        <f>IFERROR(__xludf.DUMMYFUNCTION("""COMPUTED_VALUE"""),"The Michael Jackson Experience HD")</f>
        <v>The Michael Jackson Experience HD</v>
      </c>
      <c r="B805" s="60"/>
      <c r="C805" s="61" t="str">
        <f>IFERROR(__xludf.DUMMYFUNCTION("""COMPUTED_VALUE"""),"Yes")</f>
        <v>Yes</v>
      </c>
      <c r="D805" s="62"/>
      <c r="E805" s="61" t="str">
        <f>IFERROR(__xludf.DUMMYFUNCTION("""COMPUTED_VALUE"""),"Pritpalspall")</f>
        <v>Pritpalspall</v>
      </c>
      <c r="F805" s="63">
        <f>IFERROR(__xludf.DUMMYFUNCTION("""COMPUTED_VALUE"""),40886.0)</f>
        <v>40886</v>
      </c>
    </row>
    <row r="806">
      <c r="A806" s="59" t="str">
        <f>IFERROR(__xludf.DUMMYFUNCTION("""COMPUTED_VALUE"""),"The Mystery of the Crystal Portal HD (1st &amp; 2nd series)")</f>
        <v>The Mystery of the Crystal Portal HD (1st &amp; 2nd series)</v>
      </c>
      <c r="B806" s="60"/>
      <c r="C806" s="61" t="str">
        <f>IFERROR(__xludf.DUMMYFUNCTION("""COMPUTED_VALUE"""),"Yes")</f>
        <v>Yes</v>
      </c>
      <c r="D806" s="62" t="str">
        <f>IFERROR(__xludf.DUMMYFUNCTION("""COMPUTED_VALUE"""),"Unlock full version")</f>
        <v>Unlock full version</v>
      </c>
      <c r="E806" s="61" t="str">
        <f>IFERROR(__xludf.DUMMYFUNCTION("""COMPUTED_VALUE"""),"Guk")</f>
        <v>Guk</v>
      </c>
      <c r="F806" s="63">
        <f>IFERROR(__xludf.DUMMYFUNCTION("""COMPUTED_VALUE"""),40885.0)</f>
        <v>40885</v>
      </c>
    </row>
    <row r="807">
      <c r="A807" s="59" t="str">
        <f>IFERROR(__xludf.DUMMYFUNCTION("""COMPUTED_VALUE"""),"The Price Is Right Slots")</f>
        <v>The Price Is Right Slots</v>
      </c>
      <c r="B807" s="60" t="str">
        <f>IFERROR(__xludf.DUMMYFUNCTION("""COMPUTED_VALUE"""),"1.0.0")</f>
        <v>1.0.0</v>
      </c>
      <c r="C807" s="61" t="str">
        <f>IFERROR(__xludf.DUMMYFUNCTION("""COMPUTED_VALUE"""),"Yes")</f>
        <v>Yes</v>
      </c>
      <c r="D807" s="62" t="str">
        <f>IFERROR(__xludf.DUMMYFUNCTION("""COMPUTED_VALUE"""),"Buy unlimited coins")</f>
        <v>Buy unlimited coins</v>
      </c>
      <c r="E807" s="61" t="str">
        <f>IFERROR(__xludf.DUMMYFUNCTION("""COMPUTED_VALUE"""),"MRM316")</f>
        <v>MRM316</v>
      </c>
      <c r="F807" s="63">
        <f>IFERROR(__xludf.DUMMYFUNCTION("""COMPUTED_VALUE"""),41103.0)</f>
        <v>41103</v>
      </c>
    </row>
    <row r="808">
      <c r="A808" s="59" t="str">
        <f>IFERROR(__xludf.DUMMYFUNCTION("""COMPUTED_VALUE"""),"The Sims 3")</f>
        <v>The Sims 3</v>
      </c>
      <c r="B808" s="60"/>
      <c r="C808" s="61" t="str">
        <f>IFERROR(__xludf.DUMMYFUNCTION("""COMPUTED_VALUE"""),"Yes")</f>
        <v>Yes</v>
      </c>
      <c r="D808" s="62" t="str">
        <f>IFERROR(__xludf.DUMMYFUNCTION("""COMPUTED_VALUE"""),"Works good")</f>
        <v>Works good</v>
      </c>
      <c r="E808" s="61"/>
      <c r="F808" s="41"/>
    </row>
    <row r="809">
      <c r="A809" s="59" t="str">
        <f>IFERROR(__xludf.DUMMYFUNCTION("""COMPUTED_VALUE"""),"The Tribez")</f>
        <v>The Tribez</v>
      </c>
      <c r="B809" s="60"/>
      <c r="C809" s="61" t="str">
        <f>IFERROR(__xludf.DUMMYFUNCTION("""COMPUTED_VALUE"""),"Yes")</f>
        <v>Yes</v>
      </c>
      <c r="D809" s="62" t="str">
        <f>IFERROR(__xludf.DUMMYFUNCTION("""COMPUTED_VALUE"""),"Works for Gold and Gems")</f>
        <v>Works for Gold and Gems</v>
      </c>
      <c r="E809" s="61" t="str">
        <f>IFERROR(__xludf.DUMMYFUNCTION("""COMPUTED_VALUE"""),"Perry")</f>
        <v>Perry</v>
      </c>
      <c r="F809" s="63">
        <f>IFERROR(__xludf.DUMMYFUNCTION("""COMPUTED_VALUE"""),41005.0)</f>
        <v>41005</v>
      </c>
    </row>
    <row r="810">
      <c r="A810" s="59" t="str">
        <f>IFERROR(__xludf.DUMMYFUNCTION("""COMPUTED_VALUE"""),"Ticket to ride")</f>
        <v>Ticket to ride</v>
      </c>
      <c r="B810" s="60"/>
      <c r="C810" s="61" t="str">
        <f>IFERROR(__xludf.DUMMYFUNCTION("""COMPUTED_VALUE"""),"Yes")</f>
        <v>Yes</v>
      </c>
      <c r="D810" s="62"/>
      <c r="E810" s="61" t="str">
        <f>IFERROR(__xludf.DUMMYFUNCTION("""COMPUTED_VALUE"""),"Anth0")</f>
        <v>Anth0</v>
      </c>
      <c r="F810" s="63">
        <f>IFERROR(__xludf.DUMMYFUNCTION("""COMPUTED_VALUE"""),40931.0)</f>
        <v>40931</v>
      </c>
    </row>
    <row r="811">
      <c r="A811" s="59" t="str">
        <f>IFERROR(__xludf.DUMMYFUNCTION("""COMPUTED_VALUE"""),"Tightwire HD")</f>
        <v>Tightwire HD</v>
      </c>
      <c r="B811" s="60"/>
      <c r="C811" s="61" t="str">
        <f>IFERROR(__xludf.DUMMYFUNCTION("""COMPUTED_VALUE"""),"Yes")</f>
        <v>Yes</v>
      </c>
      <c r="D811" s="62" t="str">
        <f>IFERROR(__xludf.DUMMYFUNCTION("""COMPUTED_VALUE"""),"Can buy all levels and equipments")</f>
        <v>Can buy all levels and equipments</v>
      </c>
      <c r="E811" s="61"/>
      <c r="F811" s="63">
        <f>IFERROR(__xludf.DUMMYFUNCTION("""COMPUTED_VALUE"""),41109.0)</f>
        <v>41109</v>
      </c>
    </row>
    <row r="812">
      <c r="A812" s="59" t="str">
        <f>IFERROR(__xludf.DUMMYFUNCTION("""COMPUTED_VALUE"""),"Tiki Cart 3D")</f>
        <v>Tiki Cart 3D</v>
      </c>
      <c r="B812" s="60"/>
      <c r="C812" s="61" t="str">
        <f>IFERROR(__xludf.DUMMYFUNCTION("""COMPUTED_VALUE"""),"Yes")</f>
        <v>Yes</v>
      </c>
      <c r="D812" s="62" t="str">
        <f>IFERROR(__xludf.DUMMYFUNCTION("""COMPUTED_VALUE"""),"download all circuts, cars, and tikis")</f>
        <v>download all circuts, cars, and tikis</v>
      </c>
      <c r="E812" s="61" t="str">
        <f>IFERROR(__xludf.DUMMYFUNCTION("""COMPUTED_VALUE"""),"Carnage")</f>
        <v>Carnage</v>
      </c>
      <c r="F812" s="41"/>
    </row>
    <row r="813">
      <c r="A813" s="59" t="str">
        <f>IFERROR(__xludf.DUMMYFUNCTION("""COMPUTED_VALUE"""),"Tiki Match")</f>
        <v>Tiki Match</v>
      </c>
      <c r="B813" s="60"/>
      <c r="C813" s="61" t="str">
        <f>IFERROR(__xludf.DUMMYFUNCTION("""COMPUTED_VALUE"""),"Yes")</f>
        <v>Yes</v>
      </c>
      <c r="D813" s="62" t="str">
        <f>IFERROR(__xludf.DUMMYFUNCTION("""COMPUTED_VALUE"""),"Base → Premium")</f>
        <v>Base → Premium</v>
      </c>
      <c r="E813" s="61" t="str">
        <f>IFERROR(__xludf.DUMMYFUNCTION("""COMPUTED_VALUE"""),"Beffwee")</f>
        <v>Beffwee</v>
      </c>
      <c r="F813" s="63">
        <f>IFERROR(__xludf.DUMMYFUNCTION("""COMPUTED_VALUE"""),40887.0)</f>
        <v>40887</v>
      </c>
    </row>
    <row r="814">
      <c r="A814" s="59" t="str">
        <f>IFERROR(__xludf.DUMMYFUNCTION("""COMPUTED_VALUE"""),"Tiki Tokem 2")</f>
        <v>Tiki Tokem 2</v>
      </c>
      <c r="B814" s="60"/>
      <c r="C814" s="61" t="str">
        <f>IFERROR(__xludf.DUMMYFUNCTION("""COMPUTED_VALUE"""),"Yes")</f>
        <v>Yes</v>
      </c>
      <c r="D814" s="62"/>
      <c r="E814" s="61"/>
      <c r="F814" s="41"/>
    </row>
    <row r="815">
      <c r="A815" s="59" t="str">
        <f>IFERROR(__xludf.DUMMYFUNCTION("""COMPUTED_VALUE"""),"Tilt to Live")</f>
        <v>Tilt to Live</v>
      </c>
      <c r="B815" s="60"/>
      <c r="C815" s="61" t="str">
        <f>IFERROR(__xludf.DUMMYFUNCTION("""COMPUTED_VALUE"""),"Yes")</f>
        <v>Yes</v>
      </c>
      <c r="D815" s="62" t="str">
        <f>IFERROR(__xludf.DUMMYFUNCTION("""COMPUTED_VALUE"""),"Unlocks Viva la Turret game mode")</f>
        <v>Unlocks Viva la Turret game mode</v>
      </c>
      <c r="E815" s="61" t="str">
        <f>IFERROR(__xludf.DUMMYFUNCTION("""COMPUTED_VALUE"""),"Dervd")</f>
        <v>Dervd</v>
      </c>
      <c r="F815" s="63">
        <f>IFERROR(__xludf.DUMMYFUNCTION("""COMPUTED_VALUE"""),40871.0)</f>
        <v>40871</v>
      </c>
    </row>
    <row r="816">
      <c r="A816" s="59" t="str">
        <f>IFERROR(__xludf.DUMMYFUNCTION("""COMPUTED_VALUE"""),"Tilt to Live (HD)")</f>
        <v>Tilt to Live (HD)</v>
      </c>
      <c r="B816" s="60"/>
      <c r="C816" s="61" t="str">
        <f>IFERROR(__xludf.DUMMYFUNCTION("""COMPUTED_VALUE"""),"Yes")</f>
        <v>Yes</v>
      </c>
      <c r="D816" s="62" t="str">
        <f>IFERROR(__xludf.DUMMYFUNCTION("""COMPUTED_VALUE"""),"Works, but presents App Store login screen. Use at own risk.")</f>
        <v>Works, but presents App Store login screen. Use at own risk.</v>
      </c>
      <c r="E816" s="61" t="str">
        <f>IFERROR(__xludf.DUMMYFUNCTION("""COMPUTED_VALUE"""),"ZaizenK")</f>
        <v>ZaizenK</v>
      </c>
      <c r="F816" s="63">
        <f>IFERROR(__xludf.DUMMYFUNCTION("""COMPUTED_VALUE"""),40929.0)</f>
        <v>40929</v>
      </c>
    </row>
    <row r="817">
      <c r="A817" s="59" t="str">
        <f>IFERROR(__xludf.DUMMYFUNCTION("""COMPUTED_VALUE"""),"Time Crisis 2nd Strike HD")</f>
        <v>Time Crisis 2nd Strike HD</v>
      </c>
      <c r="B817" s="60"/>
      <c r="C817" s="61" t="str">
        <f>IFERROR(__xludf.DUMMYFUNCTION("""COMPUTED_VALUE"""),"Yes")</f>
        <v>Yes</v>
      </c>
      <c r="D817" s="62"/>
      <c r="E817" s="61" t="str">
        <f>IFERROR(__xludf.DUMMYFUNCTION("""COMPUTED_VALUE"""),"Guk")</f>
        <v>Guk</v>
      </c>
      <c r="F817" s="63">
        <f>IFERROR(__xludf.DUMMYFUNCTION("""COMPUTED_VALUE"""),40881.0)</f>
        <v>40881</v>
      </c>
    </row>
    <row r="818">
      <c r="A818" s="59" t="str">
        <f>IFERROR(__xludf.DUMMYFUNCTION("""COMPUTED_VALUE"""),"Time Geeks Find All!")</f>
        <v>Time Geeks Find All!</v>
      </c>
      <c r="B818" s="60"/>
      <c r="C818" s="61" t="str">
        <f>IFERROR(__xludf.DUMMYFUNCTION("""COMPUTED_VALUE"""),"Yes")</f>
        <v>Yes</v>
      </c>
      <c r="D818" s="62"/>
      <c r="E818" s="61" t="str">
        <f>IFERROR(__xludf.DUMMYFUNCTION("""COMPUTED_VALUE"""),"Guk")</f>
        <v>Guk</v>
      </c>
      <c r="F818" s="63">
        <f>IFERROR(__xludf.DUMMYFUNCTION("""COMPUTED_VALUE"""),40914.0)</f>
        <v>40914</v>
      </c>
    </row>
    <row r="819">
      <c r="A819" s="59" t="str">
        <f>IFERROR(__xludf.DUMMYFUNCTION("""COMPUTED_VALUE"""),"Time of Heroes")</f>
        <v>Time of Heroes</v>
      </c>
      <c r="B819" s="60"/>
      <c r="C819" s="61" t="str">
        <f>IFERROR(__xludf.DUMMYFUNCTION("""COMPUTED_VALUE"""),"Yes")</f>
        <v>Yes</v>
      </c>
      <c r="D819" s="62" t="str">
        <f>IFERROR(__xludf.DUMMYFUNCTION("""COMPUTED_VALUE"""),"You can buy everything in the shop.")</f>
        <v>You can buy everything in the shop.</v>
      </c>
      <c r="E819" s="61" t="str">
        <f>IFERROR(__xludf.DUMMYFUNCTION("""COMPUTED_VALUE"""),"Zaraf")</f>
        <v>Zaraf</v>
      </c>
      <c r="F819" s="63">
        <f>IFERROR(__xludf.DUMMYFUNCTION("""COMPUTED_VALUE"""),40928.0)</f>
        <v>40928</v>
      </c>
    </row>
    <row r="820">
      <c r="A820" s="59" t="str">
        <f>IFERROR(__xludf.DUMMYFUNCTION("""COMPUTED_VALUE"""),"Timer+")</f>
        <v>Timer+</v>
      </c>
      <c r="B820" s="60"/>
      <c r="C820" s="61" t="str">
        <f>IFERROR(__xludf.DUMMYFUNCTION("""COMPUTED_VALUE"""),"Yes")</f>
        <v>Yes</v>
      </c>
      <c r="D820" s="62" t="str">
        <f>IFERROR(__xludf.DUMMYFUNCTION("""COMPUTED_VALUE"""),"Can ""purchase"" sound packs and ad-free")</f>
        <v>Can "purchase" sound packs and ad-free</v>
      </c>
      <c r="E820" s="61" t="str">
        <f>IFERROR(__xludf.DUMMYFUNCTION("""COMPUTED_VALUE"""),"Amanda")</f>
        <v>Amanda</v>
      </c>
      <c r="F820" s="63">
        <f>IFERROR(__xludf.DUMMYFUNCTION("""COMPUTED_VALUE"""),40950.0)</f>
        <v>40950</v>
      </c>
    </row>
    <row r="821">
      <c r="A821" s="59" t="str">
        <f>IFERROR(__xludf.DUMMYFUNCTION("""COMPUTED_VALUE"""),"TINS")</f>
        <v>TINS</v>
      </c>
      <c r="B821" s="60"/>
      <c r="C821" s="61" t="str">
        <f>IFERROR(__xludf.DUMMYFUNCTION("""COMPUTED_VALUE"""),"Yes")</f>
        <v>Yes</v>
      </c>
      <c r="D821" s="62"/>
      <c r="E821" s="61" t="str">
        <f>IFERROR(__xludf.DUMMYFUNCTION("""COMPUTED_VALUE"""),"Dansco")</f>
        <v>Dansco</v>
      </c>
      <c r="F821" s="63">
        <f>IFERROR(__xludf.DUMMYFUNCTION("""COMPUTED_VALUE"""),40793.9138888889)</f>
        <v>40793.91389</v>
      </c>
    </row>
    <row r="822">
      <c r="A822" s="59" t="str">
        <f>IFERROR(__xludf.DUMMYFUNCTION("""COMPUTED_VALUE"""),"Tiny Defense")</f>
        <v>Tiny Defense</v>
      </c>
      <c r="B822" s="60"/>
      <c r="C822" s="61" t="str">
        <f>IFERROR(__xludf.DUMMYFUNCTION("""COMPUTED_VALUE"""),"Yes")</f>
        <v>Yes</v>
      </c>
      <c r="D822" s="62" t="str">
        <f>IFERROR(__xludf.DUMMYFUNCTION("""COMPUTED_VALUE"""),"Buys metal parts (not an option until played 8-10 levels)")</f>
        <v>Buys metal parts (not an option until played 8-10 levels)</v>
      </c>
      <c r="E822" s="61" t="str">
        <f>IFERROR(__xludf.DUMMYFUNCTION("""COMPUTED_VALUE"""),"Moose")</f>
        <v>Moose</v>
      </c>
      <c r="F822" s="63">
        <f>IFERROR(__xludf.DUMMYFUNCTION("""COMPUTED_VALUE"""),40904.0)</f>
        <v>40904</v>
      </c>
    </row>
    <row r="823">
      <c r="A823" s="59" t="str">
        <f>IFERROR(__xludf.DUMMYFUNCTION("""COMPUTED_VALUE"""),"Tiny Heroes")</f>
        <v>Tiny Heroes</v>
      </c>
      <c r="B823" s="60"/>
      <c r="C823" s="61" t="str">
        <f>IFERROR(__xludf.DUMMYFUNCTION("""COMPUTED_VALUE"""),"Yes")</f>
        <v>Yes</v>
      </c>
      <c r="D823" s="62" t="str">
        <f>IFERROR(__xludf.DUMMYFUNCTION("""COMPUTED_VALUE"""),"Can buy defense pack 1")</f>
        <v>Can buy defense pack 1</v>
      </c>
      <c r="E823" s="61" t="str">
        <f>IFERROR(__xludf.DUMMYFUNCTION("""COMPUTED_VALUE"""),"Zaraf")</f>
        <v>Zaraf</v>
      </c>
      <c r="F823" s="63">
        <f>IFERROR(__xludf.DUMMYFUNCTION("""COMPUTED_VALUE"""),40935.0)</f>
        <v>40935</v>
      </c>
    </row>
    <row r="824">
      <c r="A824" s="59" t="str">
        <f>IFERROR(__xludf.DUMMYFUNCTION("""COMPUTED_VALUE"""),"Tiny Tower")</f>
        <v>Tiny Tower</v>
      </c>
      <c r="B824" s="60"/>
      <c r="C824" s="61" t="str">
        <f>IFERROR(__xludf.DUMMYFUNCTION("""COMPUTED_VALUE"""),"Yes")</f>
        <v>Yes</v>
      </c>
      <c r="D824" s="62" t="str">
        <f>IFERROR(__xludf.DUMMYFUNCTION("""COMPUTED_VALUE"""),"Takes a while")</f>
        <v>Takes a while</v>
      </c>
      <c r="E824" s="61" t="str">
        <f>IFERROR(__xludf.DUMMYFUNCTION("""COMPUTED_VALUE"""),"SuicidalBuNY")</f>
        <v>SuicidalBuNY</v>
      </c>
      <c r="F824" s="63">
        <f>IFERROR(__xludf.DUMMYFUNCTION("""COMPUTED_VALUE"""),40793.0)</f>
        <v>40793</v>
      </c>
    </row>
    <row r="825">
      <c r="A825" s="59" t="str">
        <f>IFERROR(__xludf.DUMMYFUNCTION("""COMPUTED_VALUE"""),"Tiny Troopers")</f>
        <v>Tiny Troopers</v>
      </c>
      <c r="B825" s="60">
        <f>IFERROR(__xludf.DUMMYFUNCTION("""COMPUTED_VALUE"""),1.1)</f>
        <v>1.1</v>
      </c>
      <c r="C825" s="61" t="str">
        <f>IFERROR(__xludf.DUMMYFUNCTION("""COMPUTED_VALUE"""),"Yes")</f>
        <v>Yes</v>
      </c>
      <c r="D825" s="62" t="str">
        <f>IFERROR(__xludf.DUMMYFUNCTION("""COMPUTED_VALUE"""),"Can purchase everything. You have to push buy repeatedly fast and it will work. Works great. ")</f>
        <v>Can purchase everything. You have to push buy repeatedly fast and it will work. Works great. </v>
      </c>
      <c r="E825" s="61"/>
      <c r="F825" s="63">
        <f>IFERROR(__xludf.DUMMYFUNCTION("""COMPUTED_VALUE"""),41095.0)</f>
        <v>41095</v>
      </c>
    </row>
    <row r="826">
      <c r="A826" s="59" t="str">
        <f>IFERROR(__xludf.DUMMYFUNCTION("""COMPUTED_VALUE"""),"Tip-Off")</f>
        <v>Tip-Off</v>
      </c>
      <c r="B826" s="60"/>
      <c r="C826" s="61" t="str">
        <f>IFERROR(__xludf.DUMMYFUNCTION("""COMPUTED_VALUE"""),"Yes")</f>
        <v>Yes</v>
      </c>
      <c r="D826" s="62" t="str">
        <f>IFERROR(__xludf.DUMMYFUNCTION("""COMPUTED_VALUE"""),"Can buy coins")</f>
        <v>Can buy coins</v>
      </c>
      <c r="E826" s="61" t="str">
        <f>IFERROR(__xludf.DUMMYFUNCTION("""COMPUTED_VALUE"""),"Livedraz")</f>
        <v>Livedraz</v>
      </c>
      <c r="F826" s="63">
        <f>IFERROR(__xludf.DUMMYFUNCTION("""COMPUTED_VALUE"""),40952.0)</f>
        <v>40952</v>
      </c>
    </row>
    <row r="827">
      <c r="A827" s="59" t="str">
        <f>IFERROR(__xludf.DUMMYFUNCTION("""COMPUTED_VALUE"""),"Todo 360")</f>
        <v>Todo 360</v>
      </c>
      <c r="B827" s="60"/>
      <c r="C827" s="61" t="str">
        <f>IFERROR(__xludf.DUMMYFUNCTION("""COMPUTED_VALUE"""),"Yes")</f>
        <v>Yes</v>
      </c>
      <c r="D827" s="62" t="str">
        <f>IFERROR(__xludf.DUMMYFUNCTION("""COMPUTED_VALUE"""),"Can ""purchase"" upgrade to full version")</f>
        <v>Can "purchase" upgrade to full version</v>
      </c>
      <c r="E827" s="61" t="str">
        <f>IFERROR(__xludf.DUMMYFUNCTION("""COMPUTED_VALUE"""),"Amanda")</f>
        <v>Amanda</v>
      </c>
      <c r="F827" s="63">
        <f>IFERROR(__xludf.DUMMYFUNCTION("""COMPUTED_VALUE"""),40950.0)</f>
        <v>40950</v>
      </c>
    </row>
    <row r="828">
      <c r="A828" s="59" t="str">
        <f>IFERROR(__xludf.DUMMYFUNCTION("""COMPUTED_VALUE"""),"TomTom Australia")</f>
        <v>TomTom Australia</v>
      </c>
      <c r="B828" s="60"/>
      <c r="C828" s="61" t="str">
        <f>IFERROR(__xludf.DUMMYFUNCTION("""COMPUTED_VALUE"""),"Yes")</f>
        <v>Yes</v>
      </c>
      <c r="D828" s="62" t="str">
        <f>IFERROR(__xludf.DUMMYFUNCTION("""COMPUTED_VALUE"""),"can purchase extra voice, like Homer")</f>
        <v>can purchase extra voice, like Homer</v>
      </c>
      <c r="E828" s="61"/>
      <c r="F828" s="41"/>
    </row>
    <row r="829">
      <c r="A829" s="59" t="str">
        <f>IFERROR(__xludf.DUMMYFUNCTION("""COMPUTED_VALUE"""),"TomTom UK")</f>
        <v>TomTom UK</v>
      </c>
      <c r="B829" s="60">
        <f>IFERROR(__xludf.DUMMYFUNCTION("""COMPUTED_VALUE"""),1.1)</f>
        <v>1.1</v>
      </c>
      <c r="C829" s="61" t="str">
        <f>IFERROR(__xludf.DUMMYFUNCTION("""COMPUTED_VALUE"""),"Yes")</f>
        <v>Yes</v>
      </c>
      <c r="D829" s="62" t="str">
        <f>IFERROR(__xludf.DUMMYFUNCTION("""COMPUTED_VALUE"""),"Can purchase anything, voices, cameras, traffic :)")</f>
        <v>Can purchase anything, voices, cameras, traffic :)</v>
      </c>
      <c r="E829" s="61"/>
      <c r="F829" s="41"/>
    </row>
    <row r="830">
      <c r="A830" s="59" t="str">
        <f>IFERROR(__xludf.DUMMYFUNCTION("""COMPUTED_VALUE"""),"TomTom USA and Canada")</f>
        <v>TomTom USA and Canada</v>
      </c>
      <c r="B830" s="60"/>
      <c r="C830" s="61" t="str">
        <f>IFERROR(__xludf.DUMMYFUNCTION("""COMPUTED_VALUE"""),"Yes")</f>
        <v>Yes</v>
      </c>
      <c r="D830" s="62" t="str">
        <f>IFERROR(__xludf.DUMMYFUNCTION("""COMPUTED_VALUE"""),"Everything now works")</f>
        <v>Everything now works</v>
      </c>
      <c r="E830" s="61" t="str">
        <f>IFERROR(__xludf.DUMMYFUNCTION("""COMPUTED_VALUE"""),"LilC")</f>
        <v>LilC</v>
      </c>
      <c r="F830" s="63">
        <f>IFERROR(__xludf.DUMMYFUNCTION("""COMPUTED_VALUE"""),40872.0)</f>
        <v>40872</v>
      </c>
    </row>
    <row r="831">
      <c r="A831" s="59" t="str">
        <f>IFERROR(__xludf.DUMMYFUNCTION("""COMPUTED_VALUE"""),"ToonPAINT")</f>
        <v>ToonPAINT</v>
      </c>
      <c r="B831" s="60"/>
      <c r="C831" s="61" t="str">
        <f>IFERROR(__xludf.DUMMYFUNCTION("""COMPUTED_VALUE"""),"Yes")</f>
        <v>Yes</v>
      </c>
      <c r="D831" s="62" t="str">
        <f>IFERROR(__xludf.DUMMYFUNCTION("""COMPUTED_VALUE"""),"In app purchase of additional features")</f>
        <v>In app purchase of additional features</v>
      </c>
      <c r="E831" s="61"/>
      <c r="F831" s="41"/>
    </row>
    <row r="832">
      <c r="A832" s="59" t="str">
        <f>IFERROR(__xludf.DUMMYFUNCTION("""COMPUTED_VALUE"""),"Toontastic ")</f>
        <v>Toontastic </v>
      </c>
      <c r="B832" s="60"/>
      <c r="C832" s="61" t="str">
        <f>IFERROR(__xludf.DUMMYFUNCTION("""COMPUTED_VALUE"""),"Yes")</f>
        <v>Yes</v>
      </c>
      <c r="D832" s="62" t="str">
        <f>IFERROR(__xludf.DUMMYFUNCTION("""COMPUTED_VALUE"""),"can purchase all the other packs")</f>
        <v>can purchase all the other packs</v>
      </c>
      <c r="E832" s="61" t="str">
        <f>IFERROR(__xludf.DUMMYFUNCTION("""COMPUTED_VALUE"""),"ZinFab")</f>
        <v>ZinFab</v>
      </c>
      <c r="F832" s="63">
        <f>IFERROR(__xludf.DUMMYFUNCTION("""COMPUTED_VALUE"""),40951.0)</f>
        <v>40951</v>
      </c>
    </row>
    <row r="833">
      <c r="A833" s="59" t="str">
        <f>IFERROR(__xludf.DUMMYFUNCTION("""COMPUTED_VALUE"""),"Top Gear Stunt School")</f>
        <v>Top Gear Stunt School</v>
      </c>
      <c r="B833" s="60"/>
      <c r="C833" s="61" t="str">
        <f>IFERROR(__xludf.DUMMYFUNCTION("""COMPUTED_VALUE"""),"Yes")</f>
        <v>Yes</v>
      </c>
      <c r="D833" s="62" t="str">
        <f>IFERROR(__xludf.DUMMYFUNCTION("""COMPUTED_VALUE"""),"
")</f>
        <v>
</v>
      </c>
      <c r="E833" s="61" t="str">
        <f>IFERROR(__xludf.DUMMYFUNCTION("""COMPUTED_VALUE"""),"rctgamer3")</f>
        <v>rctgamer3</v>
      </c>
      <c r="F833" s="63">
        <f>IFERROR(__xludf.DUMMYFUNCTION("""COMPUTED_VALUE"""),40903.0)</f>
        <v>40903</v>
      </c>
    </row>
    <row r="834">
      <c r="A834" s="59" t="str">
        <f>IFERROR(__xludf.DUMMYFUNCTION("""COMPUTED_VALUE"""),"Top Girl")</f>
        <v>Top Girl</v>
      </c>
      <c r="B834" s="60"/>
      <c r="C834" s="61" t="str">
        <f>IFERROR(__xludf.DUMMYFUNCTION("""COMPUTED_VALUE"""),"Yes")</f>
        <v>Yes</v>
      </c>
      <c r="D834" s="62"/>
      <c r="E834" s="61"/>
      <c r="F834" s="63">
        <f>IFERROR(__xludf.DUMMYFUNCTION("""COMPUTED_VALUE"""),40910.0)</f>
        <v>40910</v>
      </c>
    </row>
    <row r="835">
      <c r="A835" s="59" t="str">
        <f>IFERROR(__xludf.DUMMYFUNCTION("""COMPUTED_VALUE"""),"TopGear Stunt School Revolution")</f>
        <v>TopGear Stunt School Revolution</v>
      </c>
      <c r="B835" s="60" t="str">
        <f>IFERROR(__xludf.DUMMYFUNCTION("""COMPUTED_VALUE"""),"All Versions ")</f>
        <v>All Versions </v>
      </c>
      <c r="C835" s="61" t="str">
        <f>IFERROR(__xludf.DUMMYFUNCTION("""COMPUTED_VALUE"""),"Yes")</f>
        <v>Yes</v>
      </c>
      <c r="D835" s="62" t="str">
        <f>IFERROR(__xludf.DUMMYFUNCTION("""COMPUTED_VALUE"""),"Can purchase everything.")</f>
        <v>Can purchase everything.</v>
      </c>
      <c r="E835" s="61"/>
      <c r="F835" s="63">
        <f>IFERROR(__xludf.DUMMYFUNCTION("""COMPUTED_VALUE"""),41098.0)</f>
        <v>41098</v>
      </c>
    </row>
    <row r="836">
      <c r="A836" s="59" t="str">
        <f>IFERROR(__xludf.DUMMYFUNCTION("""COMPUTED_VALUE"""),"Touch Detective")</f>
        <v>Touch Detective</v>
      </c>
      <c r="B836" s="60"/>
      <c r="C836" s="61" t="str">
        <f>IFERROR(__xludf.DUMMYFUNCTION("""COMPUTED_VALUE"""),"Yes")</f>
        <v>Yes</v>
      </c>
      <c r="D836" s="62" t="str">
        <f>IFERROR(__xludf.DUMMYFUNCTION("""COMPUTED_VALUE"""),"Extra/Bonus Scenario")</f>
        <v>Extra/Bonus Scenario</v>
      </c>
      <c r="E836" s="61" t="str">
        <f>IFERROR(__xludf.DUMMYFUNCTION("""COMPUTED_VALUE"""),"Azyure")</f>
        <v>Azyure</v>
      </c>
      <c r="F836" s="63">
        <f>IFERROR(__xludf.DUMMYFUNCTION("""COMPUTED_VALUE"""),40874.0)</f>
        <v>40874</v>
      </c>
    </row>
    <row r="837">
      <c r="A837" s="59" t="str">
        <f>IFERROR(__xludf.DUMMYFUNCTION("""COMPUTED_VALUE"""),"Touch Hockey 2 HD")</f>
        <v>Touch Hockey 2 HD</v>
      </c>
      <c r="B837" s="60"/>
      <c r="C837" s="61" t="str">
        <f>IFERROR(__xludf.DUMMYFUNCTION("""COMPUTED_VALUE"""),"Yes")</f>
        <v>Yes</v>
      </c>
      <c r="D837" s="62"/>
      <c r="E837" s="61" t="str">
        <f>IFERROR(__xludf.DUMMYFUNCTION("""COMPUTED_VALUE"""),"i can play")</f>
        <v>i can play</v>
      </c>
      <c r="F837" s="63">
        <f>IFERROR(__xludf.DUMMYFUNCTION("""COMPUTED_VALUE"""),40931.0)</f>
        <v>40931</v>
      </c>
    </row>
    <row r="838">
      <c r="A838" s="59" t="str">
        <f>IFERROR(__xludf.DUMMYFUNCTION("""COMPUTED_VALUE"""),"Touch Tanks (Europe) v3.1.0")</f>
        <v>Touch Tanks (Europe) v3.1.0</v>
      </c>
      <c r="B838" s="60"/>
      <c r="C838" s="61" t="str">
        <f>IFERROR(__xludf.DUMMYFUNCTION("""COMPUTED_VALUE"""),"Yes")</f>
        <v>Yes</v>
      </c>
      <c r="D838" s="62" t="str">
        <f>IFERROR(__xludf.DUMMYFUNCTION("""COMPUTED_VALUE"""),"Purchases work ")</f>
        <v>Purchases work </v>
      </c>
      <c r="E838" s="61" t="str">
        <f>IFERROR(__xludf.DUMMYFUNCTION("""COMPUTED_VALUE"""),"Craigeyboyz")</f>
        <v>Craigeyboyz</v>
      </c>
      <c r="F838" s="63">
        <f>IFERROR(__xludf.DUMMYFUNCTION("""COMPUTED_VALUE"""),40946.0)</f>
        <v>40946</v>
      </c>
    </row>
    <row r="839">
      <c r="A839" s="59" t="str">
        <f>IFERROR(__xludf.DUMMYFUNCTION("""COMPUTED_VALUE"""),"Touring Mobilis Pro 3.5")</f>
        <v>Touring Mobilis Pro 3.5</v>
      </c>
      <c r="B839" s="60"/>
      <c r="C839" s="61" t="str">
        <f>IFERROR(__xludf.DUMMYFUNCTION("""COMPUTED_VALUE"""),"Yes")</f>
        <v>Yes</v>
      </c>
      <c r="D839" s="62"/>
      <c r="E839" s="61"/>
      <c r="F839" s="63">
        <f>IFERROR(__xludf.DUMMYFUNCTION("""COMPUTED_VALUE"""),40922.0)</f>
        <v>40922</v>
      </c>
    </row>
    <row r="840">
      <c r="A840" s="59" t="str">
        <f>IFERROR(__xludf.DUMMYFUNCTION("""COMPUTED_VALUE"""),"Tower Madness")</f>
        <v>Tower Madness</v>
      </c>
      <c r="B840" s="60"/>
      <c r="C840" s="61" t="str">
        <f>IFERROR(__xludf.DUMMYFUNCTION("""COMPUTED_VALUE"""),"Yes")</f>
        <v>Yes</v>
      </c>
      <c r="D840" s="62" t="str">
        <f>IFERROR(__xludf.DUMMYFUNCTION("""COMPUTED_VALUE"""),"Works for all maps and weapons.")</f>
        <v>Works for all maps and weapons.</v>
      </c>
      <c r="E840" s="61" t="str">
        <f>IFERROR(__xludf.DUMMYFUNCTION("""COMPUTED_VALUE"""),"baobiao")</f>
        <v>baobiao</v>
      </c>
      <c r="F840" s="63">
        <f>IFERROR(__xludf.DUMMYFUNCTION("""COMPUTED_VALUE"""),40925.0)</f>
        <v>40925</v>
      </c>
    </row>
    <row r="841">
      <c r="A841" s="59" t="str">
        <f>IFERROR(__xludf.DUMMYFUNCTION("""COMPUTED_VALUE"""),"Tower Siege")</f>
        <v>Tower Siege</v>
      </c>
      <c r="B841" s="60"/>
      <c r="C841" s="61" t="str">
        <f>IFERROR(__xludf.DUMMYFUNCTION("""COMPUTED_VALUE"""),"Yes")</f>
        <v>Yes</v>
      </c>
      <c r="D841" s="62"/>
      <c r="E841" s="61" t="str">
        <f>IFERROR(__xludf.DUMMYFUNCTION("""COMPUTED_VALUE"""),"KimsunZ")</f>
        <v>KimsunZ</v>
      </c>
      <c r="F841" s="63">
        <f>IFERROR(__xludf.DUMMYFUNCTION("""COMPUTED_VALUE"""),40938.0)</f>
        <v>40938</v>
      </c>
    </row>
    <row r="842">
      <c r="A842" s="59" t="str">
        <f>IFERROR(__xludf.DUMMYFUNCTION("""COMPUTED_VALUE"""),"TowrCraft")</f>
        <v>TowrCraft</v>
      </c>
      <c r="B842" s="60"/>
      <c r="C842" s="61" t="str">
        <f>IFERROR(__xludf.DUMMYFUNCTION("""COMPUTED_VALUE"""),"Yes")</f>
        <v>Yes</v>
      </c>
      <c r="D842" s="62"/>
      <c r="E842" s="61" t="str">
        <f>IFERROR(__xludf.DUMMYFUNCTION("""COMPUTED_VALUE"""),"Zer0id")</f>
        <v>Zer0id</v>
      </c>
      <c r="F842" s="63">
        <f>IFERROR(__xludf.DUMMYFUNCTION("""COMPUTED_VALUE"""),40912.0)</f>
        <v>40912</v>
      </c>
    </row>
    <row r="843">
      <c r="A843" s="59" t="str">
        <f>IFERROR(__xludf.DUMMYFUNCTION("""COMPUTED_VALUE"""),"Toy Defense")</f>
        <v>Toy Defense</v>
      </c>
      <c r="B843" s="60" t="str">
        <f>IFERROR(__xludf.DUMMYFUNCTION("""COMPUTED_VALUE"""),"1.2.1")</f>
        <v>1.2.1</v>
      </c>
      <c r="C843" s="61" t="str">
        <f>IFERROR(__xludf.DUMMYFUNCTION("""COMPUTED_VALUE"""),"Yes")</f>
        <v>Yes</v>
      </c>
      <c r="D843" s="62" t="str">
        <f>IFERROR(__xludf.DUMMYFUNCTION("""COMPUTED_VALUE"""),"Purchase Succesful")</f>
        <v>Purchase Succesful</v>
      </c>
      <c r="E843" s="61" t="str">
        <f>IFERROR(__xludf.DUMMYFUNCTION("""COMPUTED_VALUE"""),"Hobgoblin")</f>
        <v>Hobgoblin</v>
      </c>
      <c r="F843" s="63">
        <f>IFERROR(__xludf.DUMMYFUNCTION("""COMPUTED_VALUE"""),41096.0)</f>
        <v>41096</v>
      </c>
    </row>
    <row r="844">
      <c r="A844" s="59" t="str">
        <f>IFERROR(__xludf.DUMMYFUNCTION("""COMPUTED_VALUE"""),"Toy Village")</f>
        <v>Toy Village</v>
      </c>
      <c r="B844" s="60"/>
      <c r="C844" s="61" t="str">
        <f>IFERROR(__xludf.DUMMYFUNCTION("""COMPUTED_VALUE"""),"Yes")</f>
        <v>Yes</v>
      </c>
      <c r="D844" s="62"/>
      <c r="E844" s="61" t="str">
        <f>IFERROR(__xludf.DUMMYFUNCTION("""COMPUTED_VALUE"""),"luudaigiang")</f>
        <v>luudaigiang</v>
      </c>
      <c r="F844" s="63">
        <f>IFERROR(__xludf.DUMMYFUNCTION("""COMPUTED_VALUE"""),40918.0)</f>
        <v>40918</v>
      </c>
    </row>
    <row r="845">
      <c r="A845" s="59" t="str">
        <f>IFERROR(__xludf.DUMMYFUNCTION("""COMPUTED_VALUE"""),"Traffic Panic 3D")</f>
        <v>Traffic Panic 3D</v>
      </c>
      <c r="B845" s="60"/>
      <c r="C845" s="61" t="str">
        <f>IFERROR(__xludf.DUMMYFUNCTION("""COMPUTED_VALUE"""),"Yes")</f>
        <v>Yes</v>
      </c>
      <c r="D845" s="62" t="str">
        <f>IFERROR(__xludf.DUMMYFUNCTION("""COMPUTED_VALUE"""),"Unlock All!")</f>
        <v>Unlock All!</v>
      </c>
      <c r="E845" s="61" t="str">
        <f>IFERROR(__xludf.DUMMYFUNCTION("""COMPUTED_VALUE"""),"Keigo")</f>
        <v>Keigo</v>
      </c>
      <c r="F845" s="63">
        <f>IFERROR(__xludf.DUMMYFUNCTION("""COMPUTED_VALUE"""),40917.0)</f>
        <v>40917</v>
      </c>
    </row>
    <row r="846">
      <c r="A846" s="59" t="str">
        <f>IFERROR(__xludf.DUMMYFUNCTION("""COMPUTED_VALUE"""),"TRANSFORMERS™ CyberToy Free")</f>
        <v>TRANSFORMERS™ CyberToy Free</v>
      </c>
      <c r="B846" s="60" t="str">
        <f>IFERROR(__xludf.DUMMYFUNCTION("""COMPUTED_VALUE"""),"1.8.0")</f>
        <v>1.8.0</v>
      </c>
      <c r="C846" s="61" t="str">
        <f>IFERROR(__xludf.DUMMYFUNCTION("""COMPUTED_VALUE"""),"Yes")</f>
        <v>Yes</v>
      </c>
      <c r="D846" s="62" t="str">
        <f>IFERROR(__xludf.DUMMYFUNCTION("""COMPUTED_VALUE"""),"You can purchase other robots")</f>
        <v>You can purchase other robots</v>
      </c>
      <c r="E846" s="61" t="str">
        <f>IFERROR(__xludf.DUMMYFUNCTION("""COMPUTED_VALUE"""),"Vhaeraun")</f>
        <v>Vhaeraun</v>
      </c>
      <c r="F846" s="63">
        <f>IFERROR(__xludf.DUMMYFUNCTION("""COMPUTED_VALUE"""),40959.0)</f>
        <v>40959</v>
      </c>
    </row>
    <row r="847">
      <c r="A847" s="59" t="str">
        <f>IFERROR(__xludf.DUMMYFUNCTION("""COMPUTED_VALUE"""),"Translate Professional / Traductor Profesional")</f>
        <v>Translate Professional / Traductor Profesional</v>
      </c>
      <c r="B847" s="60">
        <f>IFERROR(__xludf.DUMMYFUNCTION("""COMPUTED_VALUE"""),3.0)</f>
        <v>3</v>
      </c>
      <c r="C847" s="61" t="str">
        <f>IFERROR(__xludf.DUMMYFUNCTION("""COMPUTED_VALUE"""),"Yes")</f>
        <v>Yes</v>
      </c>
      <c r="D847" s="62" t="str">
        <f>IFERROR(__xludf.DUMMYFUNCTION("""COMPUTED_VALUE"""),"You can purchase additional voices")</f>
        <v>You can purchase additional voices</v>
      </c>
      <c r="E847" s="61" t="str">
        <f>IFERROR(__xludf.DUMMYFUNCTION("""COMPUTED_VALUE"""),"Prometeo17")</f>
        <v>Prometeo17</v>
      </c>
      <c r="F847" s="63">
        <f>IFERROR(__xludf.DUMMYFUNCTION("""COMPUTED_VALUE"""),40959.0)</f>
        <v>40959</v>
      </c>
    </row>
    <row r="848">
      <c r="A848" s="59" t="str">
        <f>IFERROR(__xludf.DUMMYFUNCTION("""COMPUTED_VALUE"""),"Transphotos")</f>
        <v>Transphotos</v>
      </c>
      <c r="B848" s="60"/>
      <c r="C848" s="61" t="str">
        <f>IFERROR(__xludf.DUMMYFUNCTION("""COMPUTED_VALUE"""),"Yes")</f>
        <v>Yes</v>
      </c>
      <c r="D848" s="62" t="str">
        <f>IFERROR(__xludf.DUMMYFUNCTION("""COMPUTED_VALUE"""),"Gives you all filters")</f>
        <v>Gives you all filters</v>
      </c>
      <c r="E848" s="61"/>
      <c r="F848" s="41"/>
    </row>
    <row r="849">
      <c r="A849" s="59" t="str">
        <f>IFERROR(__xludf.DUMMYFUNCTION("""COMPUTED_VALUE"""),"Travel Combat
")</f>
        <v>Travel Combat
</v>
      </c>
      <c r="B849" s="60"/>
      <c r="C849" s="61" t="str">
        <f>IFERROR(__xludf.DUMMYFUNCTION("""COMPUTED_VALUE"""),"Yes")</f>
        <v>Yes</v>
      </c>
      <c r="D849" s="62" t="str">
        <f>IFERROR(__xludf.DUMMYFUNCTION("""COMPUTED_VALUE"""),"Works")</f>
        <v>Works</v>
      </c>
      <c r="E849" s="61" t="str">
        <f>IFERROR(__xludf.DUMMYFUNCTION("""COMPUTED_VALUE"""),"zus")</f>
        <v>zus</v>
      </c>
      <c r="F849" s="63">
        <f>IFERROR(__xludf.DUMMYFUNCTION("""COMPUTED_VALUE"""),40945.0)</f>
        <v>40945</v>
      </c>
    </row>
    <row r="850">
      <c r="A850" s="59" t="str">
        <f>IFERROR(__xludf.DUMMYFUNCTION("""COMPUTED_VALUE"""),"Treasure Seekers (1 &amp; 3)")</f>
        <v>Treasure Seekers (1 &amp; 3)</v>
      </c>
      <c r="B850" s="60"/>
      <c r="C850" s="61" t="str">
        <f>IFERROR(__xludf.DUMMYFUNCTION("""COMPUTED_VALUE"""),"Yes")</f>
        <v>Yes</v>
      </c>
      <c r="D850" s="62" t="str">
        <f>IFERROR(__xludf.DUMMYFUNCTION("""COMPUTED_VALUE"""),"Unlock full version (for both series), Direct purchase required for 2nd series (not iAP).")</f>
        <v>Unlock full version (for both series), Direct purchase required for 2nd series (not iAP).</v>
      </c>
      <c r="E850" s="61" t="str">
        <f>IFERROR(__xludf.DUMMYFUNCTION("""COMPUTED_VALUE"""),"Guk")</f>
        <v>Guk</v>
      </c>
      <c r="F850" s="63">
        <f>IFERROR(__xludf.DUMMYFUNCTION("""COMPUTED_VALUE"""),40885.0)</f>
        <v>40885</v>
      </c>
    </row>
    <row r="851">
      <c r="A851" s="59" t="str">
        <f>IFERROR(__xludf.DUMMYFUNCTION("""COMPUTED_VALUE"""),"Trenches 2")</f>
        <v>Trenches 2</v>
      </c>
      <c r="B851" s="60"/>
      <c r="C851" s="61" t="str">
        <f>IFERROR(__xludf.DUMMYFUNCTION("""COMPUTED_VALUE"""),"Yes")</f>
        <v>Yes</v>
      </c>
      <c r="D851" s="62" t="str">
        <f>IFERROR(__xludf.DUMMYFUNCTION("""COMPUTED_VALUE"""),"Can purchase perks (very quick too)")</f>
        <v>Can purchase perks (very quick too)</v>
      </c>
      <c r="E851" s="61" t="str">
        <f>IFERROR(__xludf.DUMMYFUNCTION("""COMPUTED_VALUE"""),"PKK")</f>
        <v>PKK</v>
      </c>
      <c r="F851" s="63">
        <f>IFERROR(__xludf.DUMMYFUNCTION("""COMPUTED_VALUE"""),40894.0)</f>
        <v>40894</v>
      </c>
    </row>
    <row r="852">
      <c r="A852" s="59" t="str">
        <f>IFERROR(__xludf.DUMMYFUNCTION("""COMPUTED_VALUE"""),"Trenches II")</f>
        <v>Trenches II</v>
      </c>
      <c r="B852" s="60"/>
      <c r="C852" s="61" t="str">
        <f>IFERROR(__xludf.DUMMYFUNCTION("""COMPUTED_VALUE"""),"Yes")</f>
        <v>Yes</v>
      </c>
      <c r="D852" s="62" t="str">
        <f>IFERROR(__xludf.DUMMYFUNCTION("""COMPUTED_VALUE"""),"Compra Todas Las Ventajas")</f>
        <v>Compra Todas Las Ventajas</v>
      </c>
      <c r="E852" s="61" t="str">
        <f>IFERROR(__xludf.DUMMYFUNCTION("""COMPUTED_VALUE"""),"Rsp")</f>
        <v>Rsp</v>
      </c>
      <c r="F852" s="41"/>
    </row>
    <row r="853">
      <c r="A853" s="59" t="str">
        <f>IFERROR(__xludf.DUMMYFUNCTION("""COMPUTED_VALUE"""),"Triple Town - update item please.")</f>
        <v>Triple Town - update item please.</v>
      </c>
      <c r="B853" s="60">
        <f>IFERROR(__xludf.DUMMYFUNCTION("""COMPUTED_VALUE"""),1.1)</f>
        <v>1.1</v>
      </c>
      <c r="C853" s="61" t="str">
        <f>IFERROR(__xludf.DUMMYFUNCTION("""COMPUTED_VALUE"""),"Yes")</f>
        <v>Yes</v>
      </c>
      <c r="D853" s="62" t="str">
        <f>IFERROR(__xludf.DUMMYFUNCTION("""COMPUTED_VALUE"""),"Works, but annoying message ""purchasing failed"" appears.")</f>
        <v>Works, but annoying message "purchasing failed" appears.</v>
      </c>
      <c r="E853" s="61"/>
      <c r="F853" s="63">
        <f>IFERROR(__xludf.DUMMYFUNCTION("""COMPUTED_VALUE"""),40967.0)</f>
        <v>40967</v>
      </c>
    </row>
    <row r="854">
      <c r="A854" s="59" t="str">
        <f>IFERROR(__xludf.DUMMYFUNCTION("""COMPUTED_VALUE"""),"Tripwolf")</f>
        <v>Tripwolf</v>
      </c>
      <c r="B854" s="60"/>
      <c r="C854" s="61" t="str">
        <f>IFERROR(__xludf.DUMMYFUNCTION("""COMPUTED_VALUE"""),"Yes")</f>
        <v>Yes</v>
      </c>
      <c r="D854" s="62"/>
      <c r="E854" s="61"/>
      <c r="F854" s="41"/>
    </row>
    <row r="855">
      <c r="A855" s="59" t="str">
        <f>IFERROR(__xludf.DUMMYFUNCTION("""COMPUTED_VALUE"""),"Trivial Pusuit")</f>
        <v>Trivial Pusuit</v>
      </c>
      <c r="B855" s="60"/>
      <c r="C855" s="61" t="str">
        <f>IFERROR(__xludf.DUMMYFUNCTION("""COMPUTED_VALUE"""),"Yes")</f>
        <v>Yes</v>
      </c>
      <c r="D855" s="62" t="str">
        <f>IFERROR(__xludf.DUMMYFUNCTION("""COMPUTED_VALUE"""),"Free additional questions!")</f>
        <v>Free additional questions!</v>
      </c>
      <c r="E855" s="61" t="str">
        <f>IFERROR(__xludf.DUMMYFUNCTION("""COMPUTED_VALUE"""),"micorp")</f>
        <v>micorp</v>
      </c>
      <c r="F855" s="63">
        <f>IFERROR(__xludf.DUMMYFUNCTION("""COMPUTED_VALUE"""),40891.0)</f>
        <v>40891</v>
      </c>
    </row>
    <row r="856">
      <c r="A856" s="59" t="str">
        <f>IFERROR(__xludf.DUMMYFUNCTION("""COMPUTED_VALUE"""),"Trollolol")</f>
        <v>Trollolol</v>
      </c>
      <c r="B856" s="60"/>
      <c r="C856" s="61" t="str">
        <f>IFERROR(__xludf.DUMMYFUNCTION("""COMPUTED_VALUE"""),"Yes")</f>
        <v>Yes</v>
      </c>
      <c r="D856" s="62" t="str">
        <f>IFERROR(__xludf.DUMMYFUNCTION("""COMPUTED_VALUE"""),"Works fine! You can purchase all faces.")</f>
        <v>Works fine! You can purchase all faces.</v>
      </c>
      <c r="E856" s="61" t="str">
        <f>IFERROR(__xludf.DUMMYFUNCTION("""COMPUTED_VALUE"""),"eborodulin")</f>
        <v>eborodulin</v>
      </c>
      <c r="F856" s="63">
        <f>IFERROR(__xludf.DUMMYFUNCTION("""COMPUTED_VALUE"""),40925.0)</f>
        <v>40925</v>
      </c>
    </row>
    <row r="857">
      <c r="A857" s="59" t="str">
        <f>IFERROR(__xludf.DUMMYFUNCTION("""COMPUTED_VALUE"""),"TweetAgora")</f>
        <v>TweetAgora</v>
      </c>
      <c r="B857" s="60"/>
      <c r="C857" s="61" t="str">
        <f>IFERROR(__xludf.DUMMYFUNCTION("""COMPUTED_VALUE"""),"Yes")</f>
        <v>Yes</v>
      </c>
      <c r="D857" s="62"/>
      <c r="E857" s="61" t="str">
        <f>IFERROR(__xludf.DUMMYFUNCTION("""COMPUTED_VALUE"""),"farhanito")</f>
        <v>farhanito</v>
      </c>
      <c r="F857" s="63">
        <f>IFERROR(__xludf.DUMMYFUNCTION("""COMPUTED_VALUE"""),40793.8013888889)</f>
        <v>40793.80139</v>
      </c>
    </row>
    <row r="858">
      <c r="A858" s="59" t="str">
        <f>IFERROR(__xludf.DUMMYFUNCTION("""COMPUTED_VALUE"""),"Tweetcaster for Twitter")</f>
        <v>Tweetcaster for Twitter</v>
      </c>
      <c r="B858" s="60"/>
      <c r="C858" s="61" t="str">
        <f>IFERROR(__xludf.DUMMYFUNCTION("""COMPUTED_VALUE"""),"Yes")</f>
        <v>Yes</v>
      </c>
      <c r="D858" s="62" t="str">
        <f>IFERROR(__xludf.DUMMYFUNCTION("""COMPUTED_VALUE"""),"Free to Pro (No Ads)")</f>
        <v>Free to Pro (No Ads)</v>
      </c>
      <c r="E858" s="61" t="str">
        <f>IFERROR(__xludf.DUMMYFUNCTION("""COMPUTED_VALUE"""),"BruiserBrody")</f>
        <v>BruiserBrody</v>
      </c>
      <c r="F858" s="63">
        <f>IFERROR(__xludf.DUMMYFUNCTION("""COMPUTED_VALUE"""),40909.0)</f>
        <v>40909</v>
      </c>
    </row>
    <row r="859">
      <c r="A859" s="59" t="str">
        <f>IFERROR(__xludf.DUMMYFUNCTION("""COMPUTED_VALUE"""),"Twisted Land: Shadow Town HD Lite")</f>
        <v>Twisted Land: Shadow Town HD Lite</v>
      </c>
      <c r="B859" s="60"/>
      <c r="C859" s="61" t="str">
        <f>IFERROR(__xludf.DUMMYFUNCTION("""COMPUTED_VALUE"""),"Yes")</f>
        <v>Yes</v>
      </c>
      <c r="D859" s="62" t="str">
        <f>IFERROR(__xludf.DUMMYFUNCTION("""COMPUTED_VALUE"""),"Free → Full")</f>
        <v>Free → Full</v>
      </c>
      <c r="E859" s="61" t="str">
        <f>IFERROR(__xludf.DUMMYFUNCTION("""COMPUTED_VALUE"""),"Guk")</f>
        <v>Guk</v>
      </c>
      <c r="F859" s="63">
        <f>IFERROR(__xludf.DUMMYFUNCTION("""COMPUTED_VALUE"""),40885.0)</f>
        <v>40885</v>
      </c>
    </row>
    <row r="860">
      <c r="A860" s="59" t="str">
        <f>IFERROR(__xludf.DUMMYFUNCTION("""COMPUTED_VALUE"""),"Twittelator")</f>
        <v>Twittelator</v>
      </c>
      <c r="B860" s="60"/>
      <c r="C860" s="61" t="str">
        <f>IFERROR(__xludf.DUMMYFUNCTION("""COMPUTED_VALUE"""),"Yes")</f>
        <v>Yes</v>
      </c>
      <c r="D860" s="62" t="str">
        <f>IFERROR(__xludf.DUMMYFUNCTION("""COMPUTED_VALUE"""),"Free → Full")</f>
        <v>Free → Full</v>
      </c>
      <c r="E860" s="61" t="str">
        <f>IFERROR(__xludf.DUMMYFUNCTION("""COMPUTED_VALUE"""),"rctgamer3")</f>
        <v>rctgamer3</v>
      </c>
      <c r="F860" s="63">
        <f>IFERROR(__xludf.DUMMYFUNCTION("""COMPUTED_VALUE"""),40876.0)</f>
        <v>40876</v>
      </c>
    </row>
    <row r="861">
      <c r="A861" s="59" t="str">
        <f>IFERROR(__xludf.DUMMYFUNCTION("""COMPUTED_VALUE"""),"Twitteriffic")</f>
        <v>Twitteriffic</v>
      </c>
      <c r="B861" s="60"/>
      <c r="C861" s="61" t="str">
        <f>IFERROR(__xludf.DUMMYFUNCTION("""COMPUTED_VALUE"""),"Yes")</f>
        <v>Yes</v>
      </c>
      <c r="D861" s="62" t="str">
        <f>IFERROR(__xludf.DUMMYFUNCTION("""COMPUTED_VALUE"""),"Free → Full")</f>
        <v>Free → Full</v>
      </c>
      <c r="E861" s="61" t="str">
        <f>IFERROR(__xludf.DUMMYFUNCTION("""COMPUTED_VALUE"""),"rctgamer3")</f>
        <v>rctgamer3</v>
      </c>
      <c r="F861" s="63">
        <f>IFERROR(__xludf.DUMMYFUNCTION("""COMPUTED_VALUE"""),40876.0)</f>
        <v>40876</v>
      </c>
    </row>
    <row r="862">
      <c r="A862" s="59" t="str">
        <f>IFERROR(__xludf.DUMMYFUNCTION("""COMPUTED_VALUE"""),"Uangel Hanna")</f>
        <v>Uangel Hanna</v>
      </c>
      <c r="B862" s="60"/>
      <c r="C862" s="61" t="str">
        <f>IFERROR(__xludf.DUMMYFUNCTION("""COMPUTED_VALUE"""),"Yes")</f>
        <v>Yes</v>
      </c>
      <c r="D862" s="62" t="str">
        <f>IFERROR(__xludf.DUMMYFUNCTION("""COMPUTED_VALUE"""),"Can buy all things")</f>
        <v>Can buy all things</v>
      </c>
      <c r="E862" s="61" t="str">
        <f>IFERROR(__xludf.DUMMYFUNCTION("""COMPUTED_VALUE"""),"Boi")</f>
        <v>Boi</v>
      </c>
      <c r="F862" s="63">
        <f>IFERROR(__xludf.DUMMYFUNCTION("""COMPUTED_VALUE"""),40936.0)</f>
        <v>40936</v>
      </c>
    </row>
    <row r="863">
      <c r="A863" s="59" t="str">
        <f>IFERROR(__xludf.DUMMYFUNCTION("""COMPUTED_VALUE"""),"ÜberTwitter / UberSocial")</f>
        <v>ÜberTwitter / UberSocial</v>
      </c>
      <c r="B863" s="60"/>
      <c r="C863" s="61" t="str">
        <f>IFERROR(__xludf.DUMMYFUNCTION("""COMPUTED_VALUE"""),"Yes")</f>
        <v>Yes</v>
      </c>
      <c r="D863" s="62"/>
      <c r="E863" s="61" t="str">
        <f>IFERROR(__xludf.DUMMYFUNCTION("""COMPUTED_VALUE"""),"rctgamer3")</f>
        <v>rctgamer3</v>
      </c>
      <c r="F863" s="63">
        <f>IFERROR(__xludf.DUMMYFUNCTION("""COMPUTED_VALUE"""),40876.0)</f>
        <v>40876</v>
      </c>
    </row>
    <row r="864">
      <c r="A864" s="59" t="str">
        <f>IFERROR(__xludf.DUMMYFUNCTION("""COMPUTED_VALUE"""),"Uefa Champions League")</f>
        <v>Uefa Champions League</v>
      </c>
      <c r="B864" s="60"/>
      <c r="C864" s="61" t="str">
        <f>IFERROR(__xludf.DUMMYFUNCTION("""COMPUTED_VALUE"""),"Yes")</f>
        <v>Yes</v>
      </c>
      <c r="D864" s="62" t="str">
        <f>IFERROR(__xludf.DUMMYFUNCTION("""COMPUTED_VALUE"""),"works perfectly with season pass and individual videos")</f>
        <v>works perfectly with season pass and individual videos</v>
      </c>
      <c r="E864" s="61" t="str">
        <f>IFERROR(__xludf.DUMMYFUNCTION("""COMPUTED_VALUE"""),"andre")</f>
        <v>andre</v>
      </c>
      <c r="F864" s="41"/>
    </row>
    <row r="865">
      <c r="A865" s="59" t="str">
        <f>IFERROR(__xludf.DUMMYFUNCTION("""COMPUTED_VALUE"""),"UKIYOE Woodcut")</f>
        <v>UKIYOE Woodcut</v>
      </c>
      <c r="B865" s="60"/>
      <c r="C865" s="61" t="str">
        <f>IFERROR(__xludf.DUMMYFUNCTION("""COMPUTED_VALUE"""),"Yes")</f>
        <v>Yes</v>
      </c>
      <c r="D865" s="62"/>
      <c r="E865" s="61" t="str">
        <f>IFERROR(__xludf.DUMMYFUNCTION("""COMPUTED_VALUE"""),"Guk")</f>
        <v>Guk</v>
      </c>
      <c r="F865" s="63">
        <f>IFERROR(__xludf.DUMMYFUNCTION("""COMPUTED_VALUE"""),40905.0)</f>
        <v>40905</v>
      </c>
    </row>
    <row r="866">
      <c r="A866" s="59" t="str">
        <f>IFERROR(__xludf.DUMMYFUNCTION("""COMPUTED_VALUE"""),"Ultimate Guitar Tabs (2.0.0)")</f>
        <v>Ultimate Guitar Tabs (2.0.0)</v>
      </c>
      <c r="B866" s="60"/>
      <c r="C866" s="61" t="str">
        <f>IFERROR(__xludf.DUMMYFUNCTION("""COMPUTED_VALUE"""),"Yes")</f>
        <v>Yes</v>
      </c>
      <c r="D866" s="62" t="str">
        <f>IFERROR(__xludf.DUMMYFUNCTION("""COMPUTED_VALUE"""),"Ensure Metadata turned on")</f>
        <v>Ensure Metadata turned on</v>
      </c>
      <c r="E866" s="61" t="str">
        <f>IFERROR(__xludf.DUMMYFUNCTION("""COMPUTED_VALUE"""),"Bull Moose")</f>
        <v>Bull Moose</v>
      </c>
      <c r="F866" s="63">
        <f>IFERROR(__xludf.DUMMYFUNCTION("""COMPUTED_VALUE"""),40898.0)</f>
        <v>40898</v>
      </c>
    </row>
    <row r="867">
      <c r="A867" s="59" t="str">
        <f>IFERROR(__xludf.DUMMYFUNCTION("""COMPUTED_VALUE"""),"Ultralingua dictionaries")</f>
        <v>Ultralingua dictionaries</v>
      </c>
      <c r="B867" s="60"/>
      <c r="C867" s="61" t="str">
        <f>IFERROR(__xludf.DUMMYFUNCTION("""COMPUTED_VALUE"""),"Yes")</f>
        <v>Yes</v>
      </c>
      <c r="D867" s="62" t="str">
        <f>IFERROR(__xludf.DUMMYFUNCTION("""COMPUTED_VALUE"""),"Works on all dictionaries")</f>
        <v>Works on all dictionaries</v>
      </c>
      <c r="E867" s="61" t="str">
        <f>IFERROR(__xludf.DUMMYFUNCTION("""COMPUTED_VALUE"""),"kanjo")</f>
        <v>kanjo</v>
      </c>
      <c r="F867" s="63">
        <f>IFERROR(__xludf.DUMMYFUNCTION("""COMPUTED_VALUE"""),41160.0)</f>
        <v>41160</v>
      </c>
    </row>
    <row r="868">
      <c r="A868" s="59" t="str">
        <f>IFERROR(__xludf.DUMMYFUNCTION("""COMPUTED_VALUE"""),"Uprising: Veggie Samurai")</f>
        <v>Uprising: Veggie Samurai</v>
      </c>
      <c r="B868" s="60"/>
      <c r="C868" s="61" t="str">
        <f>IFERROR(__xludf.DUMMYFUNCTION("""COMPUTED_VALUE"""),"Yes")</f>
        <v>Yes</v>
      </c>
      <c r="D868" s="62" t="str">
        <f>IFERROR(__xludf.DUMMYFUNCTION("""COMPUTED_VALUE"""),"All shop items work")</f>
        <v>All shop items work</v>
      </c>
      <c r="E868" s="61" t="str">
        <f>IFERROR(__xludf.DUMMYFUNCTION("""COMPUTED_VALUE"""),"Persephone")</f>
        <v>Persephone</v>
      </c>
      <c r="F868" s="63">
        <f>IFERROR(__xludf.DUMMYFUNCTION("""COMPUTED_VALUE"""),40887.0)</f>
        <v>40887</v>
      </c>
    </row>
    <row r="869">
      <c r="A869" s="59" t="str">
        <f>IFERROR(__xludf.DUMMYFUNCTION("""COMPUTED_VALUE"""),"Urban Dictionary (slango)")</f>
        <v>Urban Dictionary (slango)</v>
      </c>
      <c r="B869" s="60"/>
      <c r="C869" s="61" t="str">
        <f>IFERROR(__xludf.DUMMYFUNCTION("""COMPUTED_VALUE"""),"Yes")</f>
        <v>Yes</v>
      </c>
      <c r="D869" s="62" t="str">
        <f>IFERROR(__xludf.DUMMYFUNCTION("""COMPUTED_VALUE"""),"Unlock Pro")</f>
        <v>Unlock Pro</v>
      </c>
      <c r="E869" s="61" t="str">
        <f>IFERROR(__xludf.DUMMYFUNCTION("""COMPUTED_VALUE"""),"dr3van")</f>
        <v>dr3van</v>
      </c>
      <c r="F869" s="63">
        <f>IFERROR(__xludf.DUMMYFUNCTION("""COMPUTED_VALUE"""),41103.0)</f>
        <v>41103</v>
      </c>
    </row>
    <row r="870">
      <c r="A870" s="59" t="str">
        <f>IFERROR(__xludf.DUMMYFUNCTION("""COMPUTED_VALUE"""),"UWO Buzzz")</f>
        <v>UWO Buzzz</v>
      </c>
      <c r="B870" s="60"/>
      <c r="C870" s="61" t="str">
        <f>IFERROR(__xludf.DUMMYFUNCTION("""COMPUTED_VALUE"""),"Yes")</f>
        <v>Yes</v>
      </c>
      <c r="D870" s="62" t="str">
        <f>IFERROR(__xludf.DUMMYFUNCTION("""COMPUTED_VALUE"""),"Can gain LTC Route info")</f>
        <v>Can gain LTC Route info</v>
      </c>
      <c r="E870" s="61" t="str">
        <f>IFERROR(__xludf.DUMMYFUNCTION("""COMPUTED_VALUE"""),"UWO")</f>
        <v>UWO</v>
      </c>
      <c r="F870" s="63">
        <f>IFERROR(__xludf.DUMMYFUNCTION("""COMPUTED_VALUE"""),40904.0)</f>
        <v>40904</v>
      </c>
    </row>
    <row r="871">
      <c r="A871" s="59" t="str">
        <f>IFERROR(__xludf.DUMMYFUNCTION("""COMPUTED_VALUE"""),"VDM")</f>
        <v>VDM</v>
      </c>
      <c r="B871" s="60"/>
      <c r="C871" s="61" t="str">
        <f>IFERROR(__xludf.DUMMYFUNCTION("""COMPUTED_VALUE"""),"Yes")</f>
        <v>Yes</v>
      </c>
      <c r="D871" s="62"/>
      <c r="E871" s="61" t="str">
        <f>IFERROR(__xludf.DUMMYFUNCTION("""COMPUTED_VALUE"""),"malinois")</f>
        <v>malinois</v>
      </c>
      <c r="F871" s="41"/>
    </row>
    <row r="872">
      <c r="A872" s="59" t="str">
        <f>IFERROR(__xludf.DUMMYFUNCTION("""COMPUTED_VALUE"""),"VDM Officiel")</f>
        <v>VDM Officiel</v>
      </c>
      <c r="B872" s="60"/>
      <c r="C872" s="61" t="str">
        <f>IFERROR(__xludf.DUMMYFUNCTION("""COMPUTED_VALUE"""),"Yes")</f>
        <v>Yes</v>
      </c>
      <c r="D872" s="62" t="str">
        <f>IFERROR(__xludf.DUMMYFUNCTION("""COMPUTED_VALUE"""),"(French version of F**k My Life) Remove publicity.")</f>
        <v>(French version of F**k My Life) Remove publicity.</v>
      </c>
      <c r="E872" s="61" t="str">
        <f>IFERROR(__xludf.DUMMYFUNCTION("""COMPUTED_VALUE"""),"Arayel")</f>
        <v>Arayel</v>
      </c>
      <c r="F872" s="63">
        <f>IFERROR(__xludf.DUMMYFUNCTION("""COMPUTED_VALUE"""),40946.0)</f>
        <v>40946</v>
      </c>
    </row>
    <row r="873">
      <c r="A873" s="59" t="str">
        <f>IFERROR(__xludf.DUMMYFUNCTION("""COMPUTED_VALUE"""),"Velocispider Zero")</f>
        <v>Velocispider Zero</v>
      </c>
      <c r="B873" s="60"/>
      <c r="C873" s="61" t="str">
        <f>IFERROR(__xludf.DUMMYFUNCTION("""COMPUTED_VALUE"""),"Yes")</f>
        <v>Yes</v>
      </c>
      <c r="D873" s="62" t="str">
        <f>IFERROR(__xludf.DUMMYFUNCTION("""COMPUTED_VALUE"""),"Perfect!")</f>
        <v>Perfect!</v>
      </c>
      <c r="E873" s="61" t="str">
        <f>IFERROR(__xludf.DUMMYFUNCTION("""COMPUTED_VALUE"""),"Fantomac")</f>
        <v>Fantomac</v>
      </c>
      <c r="F873" s="63">
        <f>IFERROR(__xludf.DUMMYFUNCTION("""COMPUTED_VALUE"""),40917.0)</f>
        <v>40917</v>
      </c>
    </row>
    <row r="874">
      <c r="A874" s="59" t="str">
        <f>IFERROR(__xludf.DUMMYFUNCTION("""COMPUTED_VALUE"""),"Vengeance On Evil")</f>
        <v>Vengeance On Evil</v>
      </c>
      <c r="B874" s="60"/>
      <c r="C874" s="61" t="str">
        <f>IFERROR(__xludf.DUMMYFUNCTION("""COMPUTED_VALUE"""),"Yes")</f>
        <v>Yes</v>
      </c>
      <c r="D874" s="62"/>
      <c r="E874" s="61" t="str">
        <f>IFERROR(__xludf.DUMMYFUNCTION("""COMPUTED_VALUE"""),"iLovePi")</f>
        <v>iLovePi</v>
      </c>
      <c r="F874" s="63">
        <f>IFERROR(__xludf.DUMMYFUNCTION("""COMPUTED_VALUE"""),40923.0)</f>
        <v>40923</v>
      </c>
    </row>
    <row r="875">
      <c r="A875" s="59" t="str">
        <f>IFERROR(__xludf.DUMMYFUNCTION("""COMPUTED_VALUE"""),"Virtual City (Free version)")</f>
        <v>Virtual City (Free version)</v>
      </c>
      <c r="B875" s="60"/>
      <c r="C875" s="61" t="str">
        <f>IFERROR(__xludf.DUMMYFUNCTION("""COMPUTED_VALUE"""),"Yes")</f>
        <v>Yes</v>
      </c>
      <c r="D875" s="62" t="str">
        <f>IFERROR(__xludf.DUMMYFUNCTION("""COMPUTED_VALUE"""),"Free → Full")</f>
        <v>Free → Full</v>
      </c>
      <c r="E875" s="61" t="str">
        <f>IFERROR(__xludf.DUMMYFUNCTION("""COMPUTED_VALUE"""),"Signe")</f>
        <v>Signe</v>
      </c>
      <c r="F875" s="63">
        <f>IFERROR(__xludf.DUMMYFUNCTION("""COMPUTED_VALUE"""),40908.0)</f>
        <v>40908</v>
      </c>
    </row>
    <row r="876">
      <c r="A876" s="59" t="str">
        <f>IFERROR(__xludf.DUMMYFUNCTION("""COMPUTED_VALUE"""),"Virtual City 2")</f>
        <v>Virtual City 2</v>
      </c>
      <c r="B876" s="60"/>
      <c r="C876" s="61" t="str">
        <f>IFERROR(__xludf.DUMMYFUNCTION("""COMPUTED_VALUE"""),"Yes")</f>
        <v>Yes</v>
      </c>
      <c r="D876" s="62"/>
      <c r="E876" s="61"/>
      <c r="F876" s="63">
        <f>IFERROR(__xludf.DUMMYFUNCTION("""COMPUTED_VALUE"""),41007.0)</f>
        <v>41007</v>
      </c>
    </row>
    <row r="877">
      <c r="A877" s="59" t="str">
        <f>IFERROR(__xludf.DUMMYFUNCTION("""COMPUTED_VALUE"""),"Virtual City Playground")</f>
        <v>Virtual City Playground</v>
      </c>
      <c r="B877" s="60"/>
      <c r="C877" s="61" t="str">
        <f>IFERROR(__xludf.DUMMYFUNCTION("""COMPUTED_VALUE"""),"Yes")</f>
        <v>Yes</v>
      </c>
      <c r="D877" s="62"/>
      <c r="E877" s="61">
        <f>IFERROR(__xludf.DUMMYFUNCTION("""COMPUTED_VALUE"""),6102.0)</f>
        <v>6102</v>
      </c>
      <c r="F877" s="63">
        <f>IFERROR(__xludf.DUMMYFUNCTION("""COMPUTED_VALUE"""),40883.0)</f>
        <v>40883</v>
      </c>
    </row>
    <row r="878">
      <c r="A878" s="59" t="str">
        <f>IFERROR(__xludf.DUMMYFUNCTION("""COMPUTED_VALUE"""),"Vocalive free for Ipad")</f>
        <v>Vocalive free for Ipad</v>
      </c>
      <c r="B878" s="60"/>
      <c r="C878" s="61" t="str">
        <f>IFERROR(__xludf.DUMMYFUNCTION("""COMPUTED_VALUE"""),"Yes")</f>
        <v>Yes</v>
      </c>
      <c r="D878" s="62"/>
      <c r="E878" s="61"/>
      <c r="F878" s="41"/>
    </row>
    <row r="879">
      <c r="A879" s="59" t="str">
        <f>IFERROR(__xludf.DUMMYFUNCTION("""COMPUTED_VALUE"""),"VOE")</f>
        <v>VOE</v>
      </c>
      <c r="B879" s="60"/>
      <c r="C879" s="61" t="str">
        <f>IFERROR(__xludf.DUMMYFUNCTION("""COMPUTED_VALUE"""),"Yes")</f>
        <v>Yes</v>
      </c>
      <c r="D879" s="62"/>
      <c r="E879" s="61"/>
      <c r="F879" s="41"/>
    </row>
    <row r="880">
      <c r="A880" s="59" t="str">
        <f>IFERROR(__xludf.DUMMYFUNCTION("""COMPUTED_VALUE"""),"Voice Changer Plus")</f>
        <v>Voice Changer Plus</v>
      </c>
      <c r="B880" s="60"/>
      <c r="C880" s="61" t="str">
        <f>IFERROR(__xludf.DUMMYFUNCTION("""COMPUTED_VALUE"""),"Yes")</f>
        <v>Yes</v>
      </c>
      <c r="D880" s="62"/>
      <c r="E880" s="61" t="str">
        <f>IFERROR(__xludf.DUMMYFUNCTION("""COMPUTED_VALUE"""),"luudaigiang")</f>
        <v>luudaigiang</v>
      </c>
      <c r="F880" s="63">
        <f>IFERROR(__xludf.DUMMYFUNCTION("""COMPUTED_VALUE"""),40922.0)</f>
        <v>40922</v>
      </c>
    </row>
    <row r="881">
      <c r="A881" s="59" t="str">
        <f>IFERROR(__xludf.DUMMYFUNCTION("""COMPUTED_VALUE"""),"Voice Generator")</f>
        <v>Voice Generator</v>
      </c>
      <c r="B881" s="60"/>
      <c r="C881" s="61" t="str">
        <f>IFERROR(__xludf.DUMMYFUNCTION("""COMPUTED_VALUE"""),"Yes")</f>
        <v>Yes</v>
      </c>
      <c r="D881" s="62"/>
      <c r="E881" s="61" t="str">
        <f>IFERROR(__xludf.DUMMYFUNCTION("""COMPUTED_VALUE"""),"Dansco")</f>
        <v>Dansco</v>
      </c>
      <c r="F881" s="63">
        <f>IFERROR(__xludf.DUMMYFUNCTION("""COMPUTED_VALUE"""),40793.9138888889)</f>
        <v>40793.91389</v>
      </c>
    </row>
    <row r="882">
      <c r="A882" s="59" t="str">
        <f>IFERROR(__xludf.DUMMYFUNCTION("""COMPUTED_VALUE"""),"VoiceJam")</f>
        <v>VoiceJam</v>
      </c>
      <c r="B882" s="60"/>
      <c r="C882" s="61" t="str">
        <f>IFERROR(__xludf.DUMMYFUNCTION("""COMPUTED_VALUE"""),"Yes")</f>
        <v>Yes</v>
      </c>
      <c r="D882" s="62" t="str">
        <f>IFERROR(__xludf.DUMMYFUNCTION("""COMPUTED_VALUE"""),"Allows you to unlock two voice filters")</f>
        <v>Allows you to unlock two voice filters</v>
      </c>
      <c r="E882" s="61" t="str">
        <f>IFERROR(__xludf.DUMMYFUNCTION("""COMPUTED_VALUE"""),"Rami")</f>
        <v>Rami</v>
      </c>
      <c r="F882" s="63">
        <f>IFERROR(__xludf.DUMMYFUNCTION("""COMPUTED_VALUE"""),40926.0)</f>
        <v>40926</v>
      </c>
    </row>
    <row r="883">
      <c r="A883" s="59" t="str">
        <f>IFERROR(__xludf.DUMMYFUNCTION("""COMPUTED_VALUE"""),"Vtok")</f>
        <v>Vtok</v>
      </c>
      <c r="B883" s="60"/>
      <c r="C883" s="61" t="str">
        <f>IFERROR(__xludf.DUMMYFUNCTION("""COMPUTED_VALUE"""),"Yes")</f>
        <v>Yes</v>
      </c>
      <c r="D883" s="62"/>
      <c r="E883" s="61" t="str">
        <f>IFERROR(__xludf.DUMMYFUNCTION("""COMPUTED_VALUE"""),"fbloise")</f>
        <v>fbloise</v>
      </c>
      <c r="F883" s="63">
        <f>IFERROR(__xludf.DUMMYFUNCTION("""COMPUTED_VALUE"""),40793.7888888889)</f>
        <v>40793.78889</v>
      </c>
    </row>
    <row r="884">
      <c r="A884" s="59" t="str">
        <f>IFERROR(__xludf.DUMMYFUNCTION("""COMPUTED_VALUE"""),"Vzpoura mozků, Galaxia a Tvrz - Komiksová klasika")</f>
        <v>Vzpoura mozků, Galaxia a Tvrz - Komiksová klasika</v>
      </c>
      <c r="B884" s="60"/>
      <c r="C884" s="61" t="str">
        <f>IFERROR(__xludf.DUMMYFUNCTION("""COMPUTED_VALUE"""),"Yes")</f>
        <v>Yes</v>
      </c>
      <c r="D884" s="62" t="str">
        <f>IFERROR(__xludf.DUMMYFUNCTION("""COMPUTED_VALUE"""),"Purchase all comixes")</f>
        <v>Purchase all comixes</v>
      </c>
      <c r="E884" s="61" t="str">
        <f>IFERROR(__xludf.DUMMYFUNCTION("""COMPUTED_VALUE"""),"KeceRim")</f>
        <v>KeceRim</v>
      </c>
      <c r="F884" s="63">
        <f>IFERROR(__xludf.DUMMYFUNCTION("""COMPUTED_VALUE"""),40935.0)</f>
        <v>40935</v>
      </c>
    </row>
    <row r="885">
      <c r="A885" s="59" t="str">
        <f>IFERROR(__xludf.DUMMYFUNCTION("""COMPUTED_VALUE"""),"Warp Plus")</f>
        <v>Warp Plus</v>
      </c>
      <c r="B885" s="60"/>
      <c r="C885" s="61" t="str">
        <f>IFERROR(__xludf.DUMMYFUNCTION("""COMPUTED_VALUE"""),"Yes")</f>
        <v>Yes</v>
      </c>
      <c r="D885" s="62" t="str">
        <f>IFERROR(__xludf.DUMMYFUNCTION("""COMPUTED_VALUE"""),"Works on everything in the in-app store")</f>
        <v>Works on everything in the in-app store</v>
      </c>
      <c r="E885" s="61" t="str">
        <f>IFERROR(__xludf.DUMMYFUNCTION("""COMPUTED_VALUE"""),"Signe")</f>
        <v>Signe</v>
      </c>
      <c r="F885" s="63">
        <f>IFERROR(__xludf.DUMMYFUNCTION("""COMPUTED_VALUE"""),40907.0)</f>
        <v>40907</v>
      </c>
    </row>
    <row r="886">
      <c r="A886" s="59" t="str">
        <f>IFERROR(__xludf.DUMMYFUNCTION("""COMPUTED_VALUE"""),"WaterMyPhoto")</f>
        <v>WaterMyPhoto</v>
      </c>
      <c r="B886" s="60"/>
      <c r="C886" s="61" t="str">
        <f>IFERROR(__xludf.DUMMYFUNCTION("""COMPUTED_VALUE"""),"Yes")</f>
        <v>Yes</v>
      </c>
      <c r="D886" s="62" t="str">
        <f>IFERROR(__xludf.DUMMYFUNCTION("""COMPUTED_VALUE"""),"Can remove ads without problems")</f>
        <v>Can remove ads without problems</v>
      </c>
      <c r="E886" s="61" t="str">
        <f>IFERROR(__xludf.DUMMYFUNCTION("""COMPUTED_VALUE"""),"R")</f>
        <v>R</v>
      </c>
      <c r="F886" s="63">
        <f>IFERROR(__xludf.DUMMYFUNCTION("""COMPUTED_VALUE"""),40929.0)</f>
        <v>40929</v>
      </c>
    </row>
    <row r="887">
      <c r="A887" s="59" t="str">
        <f>IFERROR(__xludf.DUMMYFUNCTION("""COMPUTED_VALUE"""),"Wavebot")</f>
        <v>Wavebot</v>
      </c>
      <c r="B887" s="60"/>
      <c r="C887" s="61" t="str">
        <f>IFERROR(__xludf.DUMMYFUNCTION("""COMPUTED_VALUE"""),"Yes")</f>
        <v>Yes</v>
      </c>
      <c r="D887" s="62" t="str">
        <f>IFERROR(__xludf.DUMMYFUNCTION("""COMPUTED_VALUE"""),"Able To Purchase Sound Pack")</f>
        <v>Able To Purchase Sound Pack</v>
      </c>
      <c r="E887" s="61" t="str">
        <f>IFERROR(__xludf.DUMMYFUNCTION("""COMPUTED_VALUE"""),"Satellizer29")</f>
        <v>Satellizer29</v>
      </c>
      <c r="F887" s="63">
        <f>IFERROR(__xludf.DUMMYFUNCTION("""COMPUTED_VALUE"""),40932.0)</f>
        <v>40932</v>
      </c>
    </row>
    <row r="888">
      <c r="A888" s="59" t="str">
        <f>IFERROR(__xludf.DUMMYFUNCTION("""COMPUTED_VALUE"""),"We City")</f>
        <v>We City</v>
      </c>
      <c r="B888" s="60"/>
      <c r="C888" s="61" t="str">
        <f>IFERROR(__xludf.DUMMYFUNCTION("""COMPUTED_VALUE"""),"Yes")</f>
        <v>Yes</v>
      </c>
      <c r="D888" s="62"/>
      <c r="E888" s="61"/>
      <c r="F888" s="63">
        <f>IFERROR(__xludf.DUMMYFUNCTION("""COMPUTED_VALUE"""),40903.0)</f>
        <v>40903</v>
      </c>
    </row>
    <row r="889">
      <c r="A889" s="59" t="str">
        <f>IFERROR(__xludf.DUMMYFUNCTION("""COMPUTED_VALUE"""),"We Farm")</f>
        <v>We Farm</v>
      </c>
      <c r="B889" s="60"/>
      <c r="C889" s="61" t="str">
        <f>IFERROR(__xludf.DUMMYFUNCTION("""COMPUTED_VALUE"""),"Yes")</f>
        <v>Yes</v>
      </c>
      <c r="D889" s="62"/>
      <c r="E889" s="61"/>
      <c r="F889" s="41"/>
    </row>
    <row r="890">
      <c r="A890" s="59" t="str">
        <f>IFERROR(__xludf.DUMMYFUNCTION("""COMPUTED_VALUE"""),"Wedding Dash")</f>
        <v>Wedding Dash</v>
      </c>
      <c r="B890" s="60"/>
      <c r="C890" s="61" t="str">
        <f>IFERROR(__xludf.DUMMYFUNCTION("""COMPUTED_VALUE"""),"Yes")</f>
        <v>Yes</v>
      </c>
      <c r="D890" s="62" t="str">
        <f>IFERROR(__xludf.DUMMYFUNCTION("""COMPUTED_VALUE"""),"Works")</f>
        <v>Works</v>
      </c>
      <c r="E890" s="61" t="str">
        <f>IFERROR(__xludf.DUMMYFUNCTION("""COMPUTED_VALUE"""),"Everdata")</f>
        <v>Everdata</v>
      </c>
      <c r="F890" s="63">
        <f>IFERROR(__xludf.DUMMYFUNCTION("""COMPUTED_VALUE"""),40909.0)</f>
        <v>40909</v>
      </c>
    </row>
    <row r="891">
      <c r="A891" s="59" t="str">
        <f>IFERROR(__xludf.DUMMYFUNCTION("""COMPUTED_VALUE"""),"Whale Trails")</f>
        <v>Whale Trails</v>
      </c>
      <c r="B891" s="60" t="str">
        <f>IFERROR(__xludf.DUMMYFUNCTION("""COMPUTED_VALUE"""),"2.0.1")</f>
        <v>2.0.1</v>
      </c>
      <c r="C891" s="61" t="str">
        <f>IFERROR(__xludf.DUMMYFUNCTION("""COMPUTED_VALUE"""),"Yes")</f>
        <v>Yes</v>
      </c>
      <c r="D891" s="62" t="str">
        <f>IFERROR(__xludf.DUMMYFUNCTION("""COMPUTED_VALUE"""),"All Works")</f>
        <v>All Works</v>
      </c>
      <c r="E891" s="61" t="str">
        <f>IFERROR(__xludf.DUMMYFUNCTION("""COMPUTED_VALUE"""),"EliTehNinja")</f>
        <v>EliTehNinja</v>
      </c>
      <c r="F891" s="63">
        <f>IFERROR(__xludf.DUMMYFUNCTION("""COMPUTED_VALUE"""),41165.0)</f>
        <v>41165</v>
      </c>
    </row>
    <row r="892">
      <c r="A892" s="59" t="str">
        <f>IFERROR(__xludf.DUMMYFUNCTION("""COMPUTED_VALUE"""),"Wheel of Fortune HD")</f>
        <v>Wheel of Fortune HD</v>
      </c>
      <c r="B892" s="60"/>
      <c r="C892" s="61" t="str">
        <f>IFERROR(__xludf.DUMMYFUNCTION("""COMPUTED_VALUE"""),"Yes")</f>
        <v>Yes</v>
      </c>
      <c r="D892" s="62" t="str">
        <f>IFERROR(__xludf.DUMMYFUNCTION("""COMPUTED_VALUE"""),"Unlock all Avatar Packs and Puzzle Packs")</f>
        <v>Unlock all Avatar Packs and Puzzle Packs</v>
      </c>
      <c r="E892" s="61" t="str">
        <f>IFERROR(__xludf.DUMMYFUNCTION("""COMPUTED_VALUE"""),"Zer0Evil")</f>
        <v>Zer0Evil</v>
      </c>
      <c r="F892" s="63">
        <f>IFERROR(__xludf.DUMMYFUNCTION("""COMPUTED_VALUE"""),40929.0)</f>
        <v>40929</v>
      </c>
    </row>
    <row r="893">
      <c r="A893" s="59" t="str">
        <f>IFERROR(__xludf.DUMMYFUNCTION("""COMPUTED_VALUE"""),"Wild Frontier")</f>
        <v>Wild Frontier</v>
      </c>
      <c r="B893" s="60"/>
      <c r="C893" s="61" t="str">
        <f>IFERROR(__xludf.DUMMYFUNCTION("""COMPUTED_VALUE"""),"Yes")</f>
        <v>Yes</v>
      </c>
      <c r="D893" s="62" t="str">
        <f>IFERROR(__xludf.DUMMYFUNCTION("""COMPUTED_VALUE"""),"buy anything need wifi or 3G")</f>
        <v>buy anything need wifi or 3G</v>
      </c>
      <c r="E893" s="61" t="str">
        <f>IFERROR(__xludf.DUMMYFUNCTION("""COMPUTED_VALUE"""),"jerinight, qwerty")</f>
        <v>jerinight, qwerty</v>
      </c>
      <c r="F893" s="63">
        <f>IFERROR(__xludf.DUMMYFUNCTION("""COMPUTED_VALUE"""),40905.0)</f>
        <v>40905</v>
      </c>
    </row>
    <row r="894">
      <c r="A894" s="59" t="str">
        <f>IFERROR(__xludf.DUMMYFUNCTION("""COMPUTED_VALUE"""),"Wind-Up Knight")</f>
        <v>Wind-Up Knight</v>
      </c>
      <c r="B894" s="60"/>
      <c r="C894" s="61" t="str">
        <f>IFERROR(__xludf.DUMMYFUNCTION("""COMPUTED_VALUE"""),"Yes")</f>
        <v>Yes</v>
      </c>
      <c r="D894" s="62" t="str">
        <f>IFERROR(__xludf.DUMMYFUNCTION("""COMPUTED_VALUE"""),"Shop for coin")</f>
        <v>Shop for coin</v>
      </c>
      <c r="E894" s="61" t="str">
        <f>IFERROR(__xludf.DUMMYFUNCTION("""COMPUTED_VALUE"""),"EdgarDrake")</f>
        <v>EdgarDrake</v>
      </c>
      <c r="F894" s="63">
        <f>IFERROR(__xludf.DUMMYFUNCTION("""COMPUTED_VALUE"""),40912.0)</f>
        <v>40912</v>
      </c>
    </row>
    <row r="895">
      <c r="A895" s="59" t="str">
        <f>IFERROR(__xludf.DUMMYFUNCTION("""COMPUTED_VALUE"""),"WMB 3d - World's Most Beautiful")</f>
        <v>WMB 3d - World's Most Beautiful</v>
      </c>
      <c r="B895" s="60"/>
      <c r="C895" s="61" t="str">
        <f>IFERROR(__xludf.DUMMYFUNCTION("""COMPUTED_VALUE"""),"Yes")</f>
        <v>Yes</v>
      </c>
      <c r="D895" s="62" t="str">
        <f>IFERROR(__xludf.DUMMYFUNCTION("""COMPUTED_VALUE"""),"Works perfectly for all purchases")</f>
        <v>Works perfectly for all purchases</v>
      </c>
      <c r="E895" s="61" t="str">
        <f>IFERROR(__xludf.DUMMYFUNCTION("""COMPUTED_VALUE"""),"klephts2803")</f>
        <v>klephts2803</v>
      </c>
      <c r="F895" s="63">
        <f>IFERROR(__xludf.DUMMYFUNCTION("""COMPUTED_VALUE"""),40945.0)</f>
        <v>40945</v>
      </c>
    </row>
    <row r="896">
      <c r="A896" s="59" t="str">
        <f>IFERROR(__xludf.DUMMYFUNCTION("""COMPUTED_VALUE"""),"Wordfeud")</f>
        <v>Wordfeud</v>
      </c>
      <c r="B896" s="60"/>
      <c r="C896" s="61" t="str">
        <f>IFERROR(__xludf.DUMMYFUNCTION("""COMPUTED_VALUE"""),"Yes")</f>
        <v>Yes</v>
      </c>
      <c r="D896" s="62" t="str">
        <f>IFERROR(__xludf.DUMMYFUNCTION("""COMPUTED_VALUE"""),"Upgrade to no ads works great")</f>
        <v>Upgrade to no ads works great</v>
      </c>
      <c r="E896" s="61" t="str">
        <f>IFERROR(__xludf.DUMMYFUNCTION("""COMPUTED_VALUE"""),"Hawkeye")</f>
        <v>Hawkeye</v>
      </c>
      <c r="F896" s="63">
        <f>IFERROR(__xludf.DUMMYFUNCTION("""COMPUTED_VALUE"""),40925.0)</f>
        <v>40925</v>
      </c>
    </row>
    <row r="897">
      <c r="A897" s="59" t="str">
        <f>IFERROR(__xludf.DUMMYFUNCTION("""COMPUTED_VALUE"""),"Wordfeud Helper")</f>
        <v>Wordfeud Helper</v>
      </c>
      <c r="B897" s="60"/>
      <c r="C897" s="61" t="str">
        <f>IFERROR(__xludf.DUMMYFUNCTION("""COMPUTED_VALUE"""),"Yes")</f>
        <v>Yes</v>
      </c>
      <c r="D897" s="62" t="str">
        <f>IFERROR(__xludf.DUMMYFUNCTION("""COMPUTED_VALUE"""),"Free to premium dictionary update (To Full)")</f>
        <v>Free to premium dictionary update (To Full)</v>
      </c>
      <c r="E897" s="61" t="str">
        <f>IFERROR(__xludf.DUMMYFUNCTION("""COMPUTED_VALUE"""),"D3LTA")</f>
        <v>D3LTA</v>
      </c>
      <c r="F897" s="63">
        <f>IFERROR(__xludf.DUMMYFUNCTION("""COMPUTED_VALUE"""),40925.0)</f>
        <v>40925</v>
      </c>
    </row>
    <row r="898">
      <c r="A898" s="59" t="str">
        <f>IFERROR(__xludf.DUMMYFUNCTION("""COMPUTED_VALUE"""),"WordLens")</f>
        <v>WordLens</v>
      </c>
      <c r="B898" s="60"/>
      <c r="C898" s="61" t="str">
        <f>IFERROR(__xludf.DUMMYFUNCTION("""COMPUTED_VALUE"""),"Yes")</f>
        <v>Yes</v>
      </c>
      <c r="D898" s="62"/>
      <c r="E898" s="61" t="str">
        <f>IFERROR(__xludf.DUMMYFUNCTION("""COMPUTED_VALUE"""),"HKD")</f>
        <v>HKD</v>
      </c>
      <c r="F898" s="63">
        <f>IFERROR(__xludf.DUMMYFUNCTION("""COMPUTED_VALUE"""),40912.0)</f>
        <v>40912</v>
      </c>
    </row>
    <row r="899">
      <c r="A899" s="59" t="str">
        <f>IFERROR(__xludf.DUMMYFUNCTION("""COMPUTED_VALUE"""),"WordPower French")</f>
        <v>WordPower French</v>
      </c>
      <c r="B899" s="60">
        <f>IFERROR(__xludf.DUMMYFUNCTION("""COMPUTED_VALUE"""),3.2)</f>
        <v>3.2</v>
      </c>
      <c r="C899" s="61" t="str">
        <f>IFERROR(__xludf.DUMMYFUNCTION("""COMPUTED_VALUE"""),"Yes")</f>
        <v>Yes</v>
      </c>
      <c r="D899" s="62" t="str">
        <f>IFERROR(__xludf.DUMMYFUNCTION("""COMPUTED_VALUE"""),"Unlocks full version")</f>
        <v>Unlocks full version</v>
      </c>
      <c r="E899" s="61" t="str">
        <f>IFERROR(__xludf.DUMMYFUNCTION("""COMPUTED_VALUE"""),"ml05019")</f>
        <v>ml05019</v>
      </c>
      <c r="F899" s="63">
        <f>IFERROR(__xludf.DUMMYFUNCTION("""COMPUTED_VALUE"""),40963.0)</f>
        <v>40963</v>
      </c>
    </row>
    <row r="900">
      <c r="A900" s="59" t="str">
        <f>IFERROR(__xludf.DUMMYFUNCTION("""COMPUTED_VALUE"""),"World Cup Table Tennis HD Free")</f>
        <v>World Cup Table Tennis HD Free</v>
      </c>
      <c r="B900" s="60"/>
      <c r="C900" s="61" t="str">
        <f>IFERROR(__xludf.DUMMYFUNCTION("""COMPUTED_VALUE"""),"Yes")</f>
        <v>Yes</v>
      </c>
      <c r="D900" s="62" t="str">
        <f>IFERROR(__xludf.DUMMYFUNCTION("""COMPUTED_VALUE"""),"Free →  Full, buying credits")</f>
        <v>Free →  Full, buying credits</v>
      </c>
      <c r="E900" s="61"/>
      <c r="F900" s="63">
        <f>IFERROR(__xludf.DUMMYFUNCTION("""COMPUTED_VALUE"""),40893.0)</f>
        <v>40893</v>
      </c>
    </row>
    <row r="901">
      <c r="A901" s="59" t="str">
        <f>IFERROR(__xludf.DUMMYFUNCTION("""COMPUTED_VALUE"""),"World Cup Table Tennis™")</f>
        <v>World Cup Table Tennis™</v>
      </c>
      <c r="B901" s="60"/>
      <c r="C901" s="61" t="str">
        <f>IFERROR(__xludf.DUMMYFUNCTION("""COMPUTED_VALUE"""),"Yes")</f>
        <v>Yes</v>
      </c>
      <c r="D901" s="62" t="str">
        <f>IFERROR(__xludf.DUMMYFUNCTION("""COMPUTED_VALUE"""),"Can buy from shop")</f>
        <v>Can buy from shop</v>
      </c>
      <c r="E901" s="61" t="str">
        <f>IFERROR(__xludf.DUMMYFUNCTION("""COMPUTED_VALUE"""),"The Immortal")</f>
        <v>The Immortal</v>
      </c>
      <c r="F901" s="63">
        <f>IFERROR(__xludf.DUMMYFUNCTION("""COMPUTED_VALUE"""),40897.0)</f>
        <v>40897</v>
      </c>
    </row>
    <row r="902">
      <c r="A902" s="59" t="str">
        <f>IFERROR(__xludf.DUMMYFUNCTION("""COMPUTED_VALUE"""),"World War 2 Hills Of Glory")</f>
        <v>World War 2 Hills Of Glory</v>
      </c>
      <c r="B902" s="60"/>
      <c r="C902" s="61" t="str">
        <f>IFERROR(__xludf.DUMMYFUNCTION("""COMPUTED_VALUE"""),"Yes")</f>
        <v>Yes</v>
      </c>
      <c r="D902" s="62" t="str">
        <f>IFERROR(__xludf.DUMMYFUNCTION("""COMPUTED_VALUE"""),"Unlocks cash purchases")</f>
        <v>Unlocks cash purchases</v>
      </c>
      <c r="E902" s="61" t="str">
        <f>IFERROR(__xludf.DUMMYFUNCTION("""COMPUTED_VALUE"""),"BraveTitan22")</f>
        <v>BraveTitan22</v>
      </c>
      <c r="F902" s="63">
        <f>IFERROR(__xludf.DUMMYFUNCTION("""COMPUTED_VALUE"""),40967.0)</f>
        <v>40967</v>
      </c>
    </row>
    <row r="903">
      <c r="A903" s="59" t="str">
        <f>IFERROR(__xludf.DUMMYFUNCTION("""COMPUTED_VALUE"""),"Worms 2: Armageddon")</f>
        <v>Worms 2: Armageddon</v>
      </c>
      <c r="B903" s="60"/>
      <c r="C903" s="61" t="str">
        <f>IFERROR(__xludf.DUMMYFUNCTION("""COMPUTED_VALUE"""),"Yes")</f>
        <v>Yes</v>
      </c>
      <c r="D903" s="62" t="str">
        <f>IFERROR(__xludf.DUMMYFUNCTION("""COMPUTED_VALUE"""),"Battlepack Works")</f>
        <v>Battlepack Works</v>
      </c>
      <c r="E903" s="61" t="str">
        <f>IFERROR(__xludf.DUMMYFUNCTION("""COMPUTED_VALUE"""),"EdgarDrake")</f>
        <v>EdgarDrake</v>
      </c>
      <c r="F903" s="63">
        <f>IFERROR(__xludf.DUMMYFUNCTION("""COMPUTED_VALUE"""),40912.0)</f>
        <v>40912</v>
      </c>
    </row>
    <row r="904">
      <c r="A904" s="59" t="str">
        <f>IFERROR(__xludf.DUMMYFUNCTION("""COMPUTED_VALUE"""),"Worms Crazy Golf v1.05 [iPhone]")</f>
        <v>Worms Crazy Golf v1.05 [iPhone]</v>
      </c>
      <c r="B904" s="60"/>
      <c r="C904" s="61" t="str">
        <f>IFERROR(__xludf.DUMMYFUNCTION("""COMPUTED_VALUE"""),"Yes")</f>
        <v>Yes</v>
      </c>
      <c r="D904" s="62" t="str">
        <f>IFERROR(__xludf.DUMMYFUNCTION("""COMPUTED_VALUE"""),"Carnival Course")</f>
        <v>Carnival Course</v>
      </c>
      <c r="E904" s="61" t="str">
        <f>IFERROR(__xludf.DUMMYFUNCTION("""COMPUTED_VALUE"""),"DarkSkies")</f>
        <v>DarkSkies</v>
      </c>
      <c r="F904" s="63">
        <f>IFERROR(__xludf.DUMMYFUNCTION("""COMPUTED_VALUE"""),40947.0)</f>
        <v>40947</v>
      </c>
    </row>
    <row r="905">
      <c r="A905" s="59" t="str">
        <f>IFERROR(__xludf.DUMMYFUNCTION("""COMPUTED_VALUE"""),"WrestleFest Premium")</f>
        <v>WrestleFest Premium</v>
      </c>
      <c r="B905" s="60">
        <f>IFERROR(__xludf.DUMMYFUNCTION("""COMPUTED_VALUE"""),1.01)</f>
        <v>1.01</v>
      </c>
      <c r="C905" s="61" t="str">
        <f>IFERROR(__xludf.DUMMYFUNCTION("""COMPUTED_VALUE"""),"Yes")</f>
        <v>Yes</v>
      </c>
      <c r="D905" s="62" t="str">
        <f>IFERROR(__xludf.DUMMYFUNCTION("""COMPUTED_VALUE"""),"Purchase Wrestler Pack working")</f>
        <v>Purchase Wrestler Pack working</v>
      </c>
      <c r="E905" s="61" t="str">
        <f>IFERROR(__xludf.DUMMYFUNCTION("""COMPUTED_VALUE"""),"shinobi")</f>
        <v>shinobi</v>
      </c>
      <c r="F905" s="63">
        <f>IFERROR(__xludf.DUMMYFUNCTION("""COMPUTED_VALUE"""),40961.0)</f>
        <v>40961</v>
      </c>
    </row>
    <row r="906">
      <c r="A906" s="59" t="str">
        <f>IFERROR(__xludf.DUMMYFUNCTION("""COMPUTED_VALUE"""),"X2 10/11")</f>
        <v>X2 10/11</v>
      </c>
      <c r="B906" s="60"/>
      <c r="C906" s="61" t="str">
        <f>IFERROR(__xludf.DUMMYFUNCTION("""COMPUTED_VALUE"""),"Yes")</f>
        <v>Yes</v>
      </c>
      <c r="D906" s="62" t="str">
        <f>IFERROR(__xludf.DUMMYFUNCTION("""COMPUTED_VALUE"""),"Base → Full")</f>
        <v>Base → Full</v>
      </c>
      <c r="E906" s="61" t="str">
        <f>IFERROR(__xludf.DUMMYFUNCTION("""COMPUTED_VALUE"""),"Dansco")</f>
        <v>Dansco</v>
      </c>
      <c r="F906" s="63">
        <f>IFERROR(__xludf.DUMMYFUNCTION("""COMPUTED_VALUE"""),40793.9138888889)</f>
        <v>40793.91389</v>
      </c>
    </row>
    <row r="907">
      <c r="A907" s="59" t="str">
        <f>IFERROR(__xludf.DUMMYFUNCTION("""COMPUTED_VALUE"""),"XBMC Constellation")</f>
        <v>XBMC Constellation</v>
      </c>
      <c r="B907" s="60"/>
      <c r="C907" s="61" t="str">
        <f>IFERROR(__xludf.DUMMYFUNCTION("""COMPUTED_VALUE"""),"Yes")</f>
        <v>Yes</v>
      </c>
      <c r="D907" s="62" t="str">
        <f>IFERROR(__xludf.DUMMYFUNCTION("""COMPUTED_VALUE"""),"Go Pro")</f>
        <v>Go Pro</v>
      </c>
      <c r="E907" s="61" t="str">
        <f>IFERROR(__xludf.DUMMYFUNCTION("""COMPUTED_VALUE"""),"Lightwalker")</f>
        <v>Lightwalker</v>
      </c>
      <c r="F907" s="63">
        <f>IFERROR(__xludf.DUMMYFUNCTION("""COMPUTED_VALUE"""),40903.0)</f>
        <v>40903</v>
      </c>
    </row>
    <row r="908">
      <c r="A908" s="59" t="str">
        <f>IFERROR(__xludf.DUMMYFUNCTION("""COMPUTED_VALUE"""),"Xperica HD")</f>
        <v>Xperica HD</v>
      </c>
      <c r="B908" s="60"/>
      <c r="C908" s="61" t="str">
        <f>IFERROR(__xludf.DUMMYFUNCTION("""COMPUTED_VALUE"""),"Yes")</f>
        <v>Yes</v>
      </c>
      <c r="D908" s="62" t="str">
        <f>IFERROR(__xludf.DUMMYFUNCTION("""COMPUTED_VALUE"""),"Can buy the experiment pack")</f>
        <v>Can buy the experiment pack</v>
      </c>
      <c r="E908" s="61" t="str">
        <f>IFERROR(__xludf.DUMMYFUNCTION("""COMPUTED_VALUE"""),"tuankiet65")</f>
        <v>tuankiet65</v>
      </c>
      <c r="F908" s="63">
        <f>IFERROR(__xludf.DUMMYFUNCTION("""COMPUTED_VALUE"""),40949.0)</f>
        <v>40949</v>
      </c>
    </row>
    <row r="909">
      <c r="A909" s="59" t="str">
        <f>IFERROR(__xludf.DUMMYFUNCTION("""COMPUTED_VALUE"""),"Yaniv (card game)")</f>
        <v>Yaniv (card game)</v>
      </c>
      <c r="B909" s="60"/>
      <c r="C909" s="61" t="str">
        <f>IFERROR(__xludf.DUMMYFUNCTION("""COMPUTED_VALUE"""),"Yes")</f>
        <v>Yes</v>
      </c>
      <c r="D909" s="62" t="str">
        <f>IFERROR(__xludf.DUMMYFUNCTION("""COMPUTED_VALUE"""),"UNLOCK PRO")</f>
        <v>UNLOCK PRO</v>
      </c>
      <c r="E909" s="61" t="str">
        <f>IFERROR(__xludf.DUMMYFUNCTION("""COMPUTED_VALUE"""),"marry")</f>
        <v>marry</v>
      </c>
      <c r="F909" s="63">
        <f>IFERROR(__xludf.DUMMYFUNCTION("""COMPUTED_VALUE"""),40946.0)</f>
        <v>40946</v>
      </c>
    </row>
    <row r="910">
      <c r="A910" s="59" t="str">
        <f>IFERROR(__xludf.DUMMYFUNCTION("""COMPUTED_VALUE"""),"Yen Press")</f>
        <v>Yen Press</v>
      </c>
      <c r="B910" s="60"/>
      <c r="C910" s="61" t="str">
        <f>IFERROR(__xludf.DUMMYFUNCTION("""COMPUTED_VALUE"""),"Yes")</f>
        <v>Yes</v>
      </c>
      <c r="D910" s="62" t="str">
        <f>IFERROR(__xludf.DUMMYFUNCTION("""COMPUTED_VALUE"""),"May get incomplete downloads but works. Just delete and redownload if happens.")</f>
        <v>May get incomplete downloads but works. Just delete and redownload if happens.</v>
      </c>
      <c r="E910" s="61" t="str">
        <f>IFERROR(__xludf.DUMMYFUNCTION("""COMPUTED_VALUE"""),"ShadowzI")</f>
        <v>ShadowzI</v>
      </c>
      <c r="F910" s="41"/>
    </row>
    <row r="911">
      <c r="A911" s="59" t="str">
        <f>IFERROR(__xludf.DUMMYFUNCTION("""COMPUTED_VALUE"""),"Yeti Town")</f>
        <v>Yeti Town</v>
      </c>
      <c r="B911" s="60"/>
      <c r="C911" s="61" t="str">
        <f>IFERROR(__xludf.DUMMYFUNCTION("""COMPUTED_VALUE"""),"Yes")</f>
        <v>Yes</v>
      </c>
      <c r="D911" s="62" t="str">
        <f>IFERROR(__xludf.DUMMYFUNCTION("""COMPUTED_VALUE"""),"Buy coins &amp; stuff - Perfect")</f>
        <v>Buy coins &amp; stuff - Perfect</v>
      </c>
      <c r="E911" s="61" t="str">
        <f>IFERROR(__xludf.DUMMYFUNCTION("""COMPUTED_VALUE"""),"Hamad")</f>
        <v>Hamad</v>
      </c>
      <c r="F911" s="63">
        <f>IFERROR(__xludf.DUMMYFUNCTION("""COMPUTED_VALUE"""),40947.0)</f>
        <v>40947</v>
      </c>
    </row>
    <row r="912">
      <c r="A912" s="59" t="str">
        <f>IFERROR(__xludf.DUMMYFUNCTION("""COMPUTED_VALUE"""),"YoFilm")</f>
        <v>YoFilm</v>
      </c>
      <c r="B912" s="60"/>
      <c r="C912" s="61" t="str">
        <f>IFERROR(__xludf.DUMMYFUNCTION("""COMPUTED_VALUE"""),"Yes")</f>
        <v>Yes</v>
      </c>
      <c r="D912" s="62"/>
      <c r="E912" s="61"/>
      <c r="F912" s="41"/>
    </row>
    <row r="913">
      <c r="A913" s="59" t="str">
        <f>IFERROR(__xludf.DUMMYFUNCTION("""COMPUTED_VALUE"""),"Youda Survivor")</f>
        <v>Youda Survivor</v>
      </c>
      <c r="B913" s="60"/>
      <c r="C913" s="61" t="str">
        <f>IFERROR(__xludf.DUMMYFUNCTION("""COMPUTED_VALUE"""),"Yes")</f>
        <v>Yes</v>
      </c>
      <c r="D913" s="62" t="str">
        <f>IFERROR(__xludf.DUMMYFUNCTION("""COMPUTED_VALUE"""),"Free →  Full")</f>
        <v>Free →  Full</v>
      </c>
      <c r="E913" s="61" t="str">
        <f>IFERROR(__xludf.DUMMYFUNCTION("""COMPUTED_VALUE"""),"phatpham")</f>
        <v>phatpham</v>
      </c>
      <c r="F913" s="63">
        <f>IFERROR(__xludf.DUMMYFUNCTION("""COMPUTED_VALUE"""),40901.0)</f>
        <v>40901</v>
      </c>
    </row>
    <row r="914">
      <c r="A914" s="59" t="str">
        <f>IFERROR(__xludf.DUMMYFUNCTION("""COMPUTED_VALUE"""),"Zap2It What's On? (TV listings)")</f>
        <v>Zap2It What's On? (TV listings)</v>
      </c>
      <c r="B914" s="60"/>
      <c r="C914" s="61" t="str">
        <f>IFERROR(__xludf.DUMMYFUNCTION("""COMPUTED_VALUE"""),"Yes")</f>
        <v>Yes</v>
      </c>
      <c r="D914" s="62" t="str">
        <f>IFERROR(__xludf.DUMMYFUNCTION("""COMPUTED_VALUE"""),"Make account, tap a remove ad subscription")</f>
        <v>Make account, tap a remove ad subscription</v>
      </c>
      <c r="E914" s="61" t="str">
        <f>IFERROR(__xludf.DUMMYFUNCTION("""COMPUTED_VALUE"""),"Moose")</f>
        <v>Moose</v>
      </c>
      <c r="F914" s="63">
        <f>IFERROR(__xludf.DUMMYFUNCTION("""COMPUTED_VALUE"""),40903.0)</f>
        <v>40903</v>
      </c>
    </row>
    <row r="915">
      <c r="A915" s="59" t="str">
        <f>IFERROR(__xludf.DUMMYFUNCTION("""COMPUTED_VALUE"""),"zaTelnet")</f>
        <v>zaTelnet</v>
      </c>
      <c r="B915" s="60"/>
      <c r="C915" s="61" t="str">
        <f>IFERROR(__xludf.DUMMYFUNCTION("""COMPUTED_VALUE"""),"Yes")</f>
        <v>Yes</v>
      </c>
      <c r="D915" s="62" t="str">
        <f>IFERROR(__xludf.DUMMYFUNCTION("""COMPUTED_VALUE"""),"Requires password. Use at own risk.")</f>
        <v>Requires password. Use at own risk.</v>
      </c>
      <c r="E915" s="61" t="str">
        <f>IFERROR(__xludf.DUMMYFUNCTION("""COMPUTED_VALUE"""),"Dansco")</f>
        <v>Dansco</v>
      </c>
      <c r="F915" s="63">
        <f>IFERROR(__xludf.DUMMYFUNCTION("""COMPUTED_VALUE"""),40793.9138888889)</f>
        <v>40793.91389</v>
      </c>
    </row>
    <row r="916">
      <c r="A916" s="59" t="str">
        <f>IFERROR(__xludf.DUMMYFUNCTION("""COMPUTED_VALUE"""),"Zen of Snow HD")</f>
        <v>Zen of Snow HD</v>
      </c>
      <c r="B916" s="60"/>
      <c r="C916" s="61" t="str">
        <f>IFERROR(__xludf.DUMMYFUNCTION("""COMPUTED_VALUE"""),"Yes")</f>
        <v>Yes</v>
      </c>
      <c r="D916" s="62" t="str">
        <f>IFERROR(__xludf.DUMMYFUNCTION("""COMPUTED_VALUE"""),"Purchases Rabbit Food perfectly")</f>
        <v>Purchases Rabbit Food perfectly</v>
      </c>
      <c r="E916" s="61" t="str">
        <f>IFERROR(__xludf.DUMMYFUNCTION("""COMPUTED_VALUE"""),"raptorV")</f>
        <v>raptorV</v>
      </c>
      <c r="F916" s="63">
        <f>IFERROR(__xludf.DUMMYFUNCTION("""COMPUTED_VALUE"""),40920.0)</f>
        <v>40920</v>
      </c>
    </row>
    <row r="917">
      <c r="A917" s="59" t="str">
        <f>IFERROR(__xludf.DUMMYFUNCTION("""COMPUTED_VALUE"""),"Zen Warrior")</f>
        <v>Zen Warrior</v>
      </c>
      <c r="B917" s="60"/>
      <c r="C917" s="61" t="str">
        <f>IFERROR(__xludf.DUMMYFUNCTION("""COMPUTED_VALUE"""),"Yes")</f>
        <v>Yes</v>
      </c>
      <c r="D917" s="62" t="str">
        <f>IFERROR(__xludf.DUMMYFUNCTION("""COMPUTED_VALUE"""),"You can buy a coins.")</f>
        <v>You can buy a coins.</v>
      </c>
      <c r="E917" s="61" t="str">
        <f>IFERROR(__xludf.DUMMYFUNCTION("""COMPUTED_VALUE"""),"Sir SkinowZ")</f>
        <v>Sir SkinowZ</v>
      </c>
      <c r="F917" s="63">
        <f>IFERROR(__xludf.DUMMYFUNCTION("""COMPUTED_VALUE"""),40948.0)</f>
        <v>40948</v>
      </c>
    </row>
    <row r="918">
      <c r="A918" s="59" t="str">
        <f>IFERROR(__xludf.DUMMYFUNCTION("""COMPUTED_VALUE"""),"Zenonia 2")</f>
        <v>Zenonia 2</v>
      </c>
      <c r="B918" s="60"/>
      <c r="C918" s="61" t="str">
        <f>IFERROR(__xludf.DUMMYFUNCTION("""COMPUTED_VALUE"""),"Yes")</f>
        <v>Yes</v>
      </c>
      <c r="D918" s="62" t="str">
        <f>IFERROR(__xludf.DUMMYFUNCTION("""COMPUTED_VALUE"""),"Can Purchase all")</f>
        <v>Can Purchase all</v>
      </c>
      <c r="E918" s="61" t="str">
        <f>IFERROR(__xludf.DUMMYFUNCTION("""COMPUTED_VALUE"""),"mytich, passarbye")</f>
        <v>mytich, passarbye</v>
      </c>
      <c r="F918" s="63">
        <f>IFERROR(__xludf.DUMMYFUNCTION("""COMPUTED_VALUE"""),40794.0)</f>
        <v>40794</v>
      </c>
    </row>
    <row r="919">
      <c r="A919" s="59" t="str">
        <f>IFERROR(__xludf.DUMMYFUNCTION("""COMPUTED_VALUE"""),"Zenonia 3 (Both Versions)")</f>
        <v>Zenonia 3 (Both Versions)</v>
      </c>
      <c r="B919" s="60"/>
      <c r="C919" s="61" t="str">
        <f>IFERROR(__xludf.DUMMYFUNCTION("""COMPUTED_VALUE"""),"Yes")</f>
        <v>Yes</v>
      </c>
      <c r="D919" s="62" t="str">
        <f>IFERROR(__xludf.DUMMYFUNCTION("""COMPUTED_VALUE"""),"Able to buy Zen")</f>
        <v>Able to buy Zen</v>
      </c>
      <c r="E919" s="61" t="str">
        <f>IFERROR(__xludf.DUMMYFUNCTION("""COMPUTED_VALUE"""),"JD")</f>
        <v>JD</v>
      </c>
      <c r="F919" s="63">
        <f>IFERROR(__xludf.DUMMYFUNCTION("""COMPUTED_VALUE"""),40918.0)</f>
        <v>40918</v>
      </c>
    </row>
    <row r="920">
      <c r="A920" s="59" t="str">
        <f>IFERROR(__xludf.DUMMYFUNCTION("""COMPUTED_VALUE"""),"Zippo Lighter")</f>
        <v>Zippo Lighter</v>
      </c>
      <c r="B920" s="60"/>
      <c r="C920" s="61" t="str">
        <f>IFERROR(__xludf.DUMMYFUNCTION("""COMPUTED_VALUE"""),"Yes")</f>
        <v>Yes</v>
      </c>
      <c r="D920" s="62"/>
      <c r="E920" s="61" t="str">
        <f>IFERROR(__xludf.DUMMYFUNCTION("""COMPUTED_VALUE"""),"Dav")</f>
        <v>Dav</v>
      </c>
      <c r="F920" s="63">
        <f>IFERROR(__xludf.DUMMYFUNCTION("""COMPUTED_VALUE"""),40848.0)</f>
        <v>40848</v>
      </c>
    </row>
    <row r="921">
      <c r="A921" s="59" t="str">
        <f>IFERROR(__xludf.DUMMYFUNCTION("""COMPUTED_VALUE"""),"Zombie Cafe")</f>
        <v>Zombie Cafe</v>
      </c>
      <c r="B921" s="60"/>
      <c r="C921" s="61" t="str">
        <f>IFERROR(__xludf.DUMMYFUNCTION("""COMPUTED_VALUE"""),"Yes")</f>
        <v>Yes</v>
      </c>
      <c r="D921" s="62"/>
      <c r="E921" s="61" t="str">
        <f>IFERROR(__xludf.DUMMYFUNCTION("""COMPUTED_VALUE"""),"Mik")</f>
        <v>Mik</v>
      </c>
      <c r="F921" s="63">
        <f>IFERROR(__xludf.DUMMYFUNCTION("""COMPUTED_VALUE"""),40828.0)</f>
        <v>40828</v>
      </c>
    </row>
    <row r="922">
      <c r="A922" s="59" t="str">
        <f>IFERROR(__xludf.DUMMYFUNCTION("""COMPUTED_VALUE"""),"Zombie Carnival")</f>
        <v>Zombie Carnival</v>
      </c>
      <c r="B922" s="60"/>
      <c r="C922" s="61" t="str">
        <f>IFERROR(__xludf.DUMMYFUNCTION("""COMPUTED_VALUE"""),"Yes")</f>
        <v>Yes</v>
      </c>
      <c r="D922" s="62" t="str">
        <f>IFERROR(__xludf.DUMMYFUNCTION("""COMPUTED_VALUE"""),"Works on everything, hearts, zombills and the swipe enemies in invading battles")</f>
        <v>Works on everything, hearts, zombills and the swipe enemies in invading battles</v>
      </c>
      <c r="E922" s="61" t="str">
        <f>IFERROR(__xludf.DUMMYFUNCTION("""COMPUTED_VALUE"""),"JanJR10785")</f>
        <v>JanJR10785</v>
      </c>
      <c r="F922" s="41"/>
    </row>
    <row r="923">
      <c r="A923" s="59" t="str">
        <f>IFERROR(__xludf.DUMMYFUNCTION("""COMPUTED_VALUE"""),"Zombie Crisis 2")</f>
        <v>Zombie Crisis 2</v>
      </c>
      <c r="B923" s="60"/>
      <c r="C923" s="61" t="str">
        <f>IFERROR(__xludf.DUMMYFUNCTION("""COMPUTED_VALUE"""),"Yes")</f>
        <v>Yes</v>
      </c>
      <c r="D923" s="62" t="str">
        <f>IFERROR(__xludf.DUMMYFUNCTION("""COMPUTED_VALUE"""),"Works for unlocked inf ammo for all guns")</f>
        <v>Works for unlocked inf ammo for all guns</v>
      </c>
      <c r="E923" s="61"/>
      <c r="F923" s="41"/>
    </row>
    <row r="924">
      <c r="A924" s="59" t="str">
        <f>IFERROR(__xludf.DUMMYFUNCTION("""COMPUTED_VALUE"""),"Zombie Crisis 3D")</f>
        <v>Zombie Crisis 3D</v>
      </c>
      <c r="B924" s="60"/>
      <c r="C924" s="61" t="str">
        <f>IFERROR(__xludf.DUMMYFUNCTION("""COMPUTED_VALUE"""),"Yes")</f>
        <v>Yes</v>
      </c>
      <c r="D924" s="62" t="str">
        <f>IFERROR(__xludf.DUMMYFUNCTION("""COMPUTED_VALUE"""),"Gets you inf ammo for machinegun and shotgun")</f>
        <v>Gets you inf ammo for machinegun and shotgun</v>
      </c>
      <c r="E924" s="61"/>
      <c r="F924" s="41"/>
    </row>
    <row r="925">
      <c r="A925" s="59" t="str">
        <f>IFERROR(__xludf.DUMMYFUNCTION("""COMPUTED_VALUE"""),"Zombie Farm")</f>
        <v>Zombie Farm</v>
      </c>
      <c r="B925" s="60"/>
      <c r="C925" s="61" t="str">
        <f>IFERROR(__xludf.DUMMYFUNCTION("""COMPUTED_VALUE"""),"Yes")</f>
        <v>Yes</v>
      </c>
      <c r="D925" s="62" t="str">
        <f>IFERROR(__xludf.DUMMYFUNCTION("""COMPUTED_VALUE"""),"Can buy brains. Mmmmm, brains.")</f>
        <v>Can buy brains. Mmmmm, brains.</v>
      </c>
      <c r="E925" s="61" t="str">
        <f>IFERROR(__xludf.DUMMYFUNCTION("""COMPUTED_VALUE"""),"Nukie")</f>
        <v>Nukie</v>
      </c>
      <c r="F925" s="63">
        <f>IFERROR(__xludf.DUMMYFUNCTION("""COMPUTED_VALUE"""),40870.0)</f>
        <v>40870</v>
      </c>
    </row>
    <row r="926">
      <c r="A926" s="59" t="str">
        <f>IFERROR(__xludf.DUMMYFUNCTION("""COMPUTED_VALUE"""),"Zombie Gunship")</f>
        <v>Zombie Gunship</v>
      </c>
      <c r="B926" s="60"/>
      <c r="C926" s="61" t="str">
        <f>IFERROR(__xludf.DUMMYFUNCTION("""COMPUTED_VALUE"""),"Yes")</f>
        <v>Yes</v>
      </c>
      <c r="D926" s="62" t="str">
        <f>IFERROR(__xludf.DUMMYFUNCTION("""COMPUTED_VALUE"""),"coins")</f>
        <v>coins</v>
      </c>
      <c r="E926" s="61">
        <f>IFERROR(__xludf.DUMMYFUNCTION("""COMPUTED_VALUE"""),6102.0)</f>
        <v>6102</v>
      </c>
      <c r="F926" s="63">
        <f>IFERROR(__xludf.DUMMYFUNCTION("""COMPUTED_VALUE"""),40885.0)</f>
        <v>40885</v>
      </c>
    </row>
    <row r="927">
      <c r="A927" s="59" t="str">
        <f>IFERROR(__xludf.DUMMYFUNCTION("""COMPUTED_VALUE"""),"Zombie Highway")</f>
        <v>Zombie Highway</v>
      </c>
      <c r="B927" s="60"/>
      <c r="C927" s="61" t="str">
        <f>IFERROR(__xludf.DUMMYFUNCTION("""COMPUTED_VALUE"""),"Yes")</f>
        <v>Yes</v>
      </c>
      <c r="D927" s="62" t="str">
        <f>IFERROR(__xludf.DUMMYFUNCTION("""COMPUTED_VALUE"""),"Gun Shop")</f>
        <v>Gun Shop</v>
      </c>
      <c r="E927" s="61"/>
      <c r="F927" s="63">
        <f>IFERROR(__xludf.DUMMYFUNCTION("""COMPUTED_VALUE"""),40892.0)</f>
        <v>40892</v>
      </c>
    </row>
    <row r="928">
      <c r="A928" s="59" t="str">
        <f>IFERROR(__xludf.DUMMYFUNCTION("""COMPUTED_VALUE"""),"Zombie HQ")</f>
        <v>Zombie HQ</v>
      </c>
      <c r="B928" s="60"/>
      <c r="C928" s="61" t="str">
        <f>IFERROR(__xludf.DUMMYFUNCTION("""COMPUTED_VALUE"""),"Yes")</f>
        <v>Yes</v>
      </c>
      <c r="D928" s="62"/>
      <c r="E928" s="61"/>
      <c r="F928" s="41"/>
    </row>
    <row r="929">
      <c r="A929" s="59" t="str">
        <f>IFERROR(__xludf.DUMMYFUNCTION("""COMPUTED_VALUE"""),"Zombie Lane")</f>
        <v>Zombie Lane</v>
      </c>
      <c r="B929" s="60"/>
      <c r="C929" s="61" t="str">
        <f>IFERROR(__xludf.DUMMYFUNCTION("""COMPUTED_VALUE"""),"Yes")</f>
        <v>Yes</v>
      </c>
      <c r="D929" s="62" t="str">
        <f>IFERROR(__xludf.DUMMYFUNCTION("""COMPUTED_VALUE"""),"works like charm!")</f>
        <v>works like charm!</v>
      </c>
      <c r="E929" s="61" t="str">
        <f>IFERROR(__xludf.DUMMYFUNCTION("""COMPUTED_VALUE"""),"Greek-Immortal")</f>
        <v>Greek-Immortal</v>
      </c>
      <c r="F929" s="63">
        <f>IFERROR(__xludf.DUMMYFUNCTION("""COMPUTED_VALUE"""),40908.0)</f>
        <v>40908</v>
      </c>
    </row>
    <row r="930">
      <c r="A930" s="59" t="str">
        <f>IFERROR(__xludf.DUMMYFUNCTION("""COMPUTED_VALUE"""),"Zombie Life")</f>
        <v>Zombie Life</v>
      </c>
      <c r="B930" s="60"/>
      <c r="C930" s="61" t="str">
        <f>IFERROR(__xludf.DUMMYFUNCTION("""COMPUTED_VALUE"""),"Yes")</f>
        <v>Yes</v>
      </c>
      <c r="D930" s="62" t="str">
        <f>IFERROR(__xludf.DUMMYFUNCTION("""COMPUTED_VALUE"""),"Works perfectly good!!")</f>
        <v>Works perfectly good!!</v>
      </c>
      <c r="E930" s="61" t="str">
        <f>IFERROR(__xludf.DUMMYFUNCTION("""COMPUTED_VALUE"""),"Greek-Immortal")</f>
        <v>Greek-Immortal</v>
      </c>
      <c r="F930" s="63">
        <f>IFERROR(__xludf.DUMMYFUNCTION("""COMPUTED_VALUE"""),40905.0)</f>
        <v>40905</v>
      </c>
    </row>
    <row r="931">
      <c r="A931" s="59" t="str">
        <f>IFERROR(__xludf.DUMMYFUNCTION("""COMPUTED_VALUE"""),"Zombie Panic in Wonderland")</f>
        <v>Zombie Panic in Wonderland</v>
      </c>
      <c r="B931" s="60">
        <f>IFERROR(__xludf.DUMMYFUNCTION("""COMPUTED_VALUE"""),1.0)</f>
        <v>1</v>
      </c>
      <c r="C931" s="61" t="str">
        <f>IFERROR(__xludf.DUMMYFUNCTION("""COMPUTED_VALUE"""),"Yes")</f>
        <v>Yes</v>
      </c>
      <c r="D931" s="62" t="str">
        <f>IFERROR(__xludf.DUMMYFUNCTION("""COMPUTED_VALUE"""),"Can buy everything")</f>
        <v>Can buy everything</v>
      </c>
      <c r="E931" s="61" t="str">
        <f>IFERROR(__xludf.DUMMYFUNCTION("""COMPUTED_VALUE"""),"DuDu")</f>
        <v>DuDu</v>
      </c>
      <c r="F931" s="63">
        <f>IFERROR(__xludf.DUMMYFUNCTION("""COMPUTED_VALUE"""),40969.0)</f>
        <v>40969</v>
      </c>
    </row>
    <row r="932">
      <c r="A932" s="59" t="str">
        <f>IFERROR(__xludf.DUMMYFUNCTION("""COMPUTED_VALUE"""),"Zombie Revolution")</f>
        <v>Zombie Revolution</v>
      </c>
      <c r="B932" s="60"/>
      <c r="C932" s="61" t="str">
        <f>IFERROR(__xludf.DUMMYFUNCTION("""COMPUTED_VALUE"""),"Yes")</f>
        <v>Yes</v>
      </c>
      <c r="D932" s="62" t="str">
        <f>IFERROR(__xludf.DUMMYFUNCTION("""COMPUTED_VALUE"""),"Works great!")</f>
        <v>Works great!</v>
      </c>
      <c r="E932" s="61" t="str">
        <f>IFERROR(__xludf.DUMMYFUNCTION("""COMPUTED_VALUE"""),"Greek-Immortal")</f>
        <v>Greek-Immortal</v>
      </c>
      <c r="F932" s="63">
        <f>IFERROR(__xludf.DUMMYFUNCTION("""COMPUTED_VALUE"""),40915.0)</f>
        <v>40915</v>
      </c>
    </row>
    <row r="933">
      <c r="A933" s="59" t="str">
        <f>IFERROR(__xludf.DUMMYFUNCTION("""COMPUTED_VALUE"""),"Zombie Samurai")</f>
        <v>Zombie Samurai</v>
      </c>
      <c r="B933" s="60"/>
      <c r="C933" s="61" t="str">
        <f>IFERROR(__xludf.DUMMYFUNCTION("""COMPUTED_VALUE"""),"Yes")</f>
        <v>Yes</v>
      </c>
      <c r="D933" s="62" t="str">
        <f>IFERROR(__xludf.DUMMYFUNCTION("""COMPUTED_VALUE"""),"Can purchase everything with coins")</f>
        <v>Can purchase everything with coins</v>
      </c>
      <c r="E933" s="61" t="str">
        <f>IFERROR(__xludf.DUMMYFUNCTION("""COMPUTED_VALUE"""),"Ryou")</f>
        <v>Ryou</v>
      </c>
      <c r="F933" s="63">
        <f>IFERROR(__xludf.DUMMYFUNCTION("""COMPUTED_VALUE"""),40937.0)</f>
        <v>40937</v>
      </c>
    </row>
    <row r="934">
      <c r="A934" s="59" t="str">
        <f>IFERROR(__xludf.DUMMYFUNCTION("""COMPUTED_VALUE"""),"Zombie Smash")</f>
        <v>Zombie Smash</v>
      </c>
      <c r="B934" s="60"/>
      <c r="C934" s="61" t="str">
        <f>IFERROR(__xludf.DUMMYFUNCTION("""COMPUTED_VALUE"""),"Yes")</f>
        <v>Yes</v>
      </c>
      <c r="D934" s="62" t="str">
        <f>IFERROR(__xludf.DUMMYFUNCTION("""COMPUTED_VALUE"""),"buy all the addons")</f>
        <v>buy all the addons</v>
      </c>
      <c r="E934" s="61" t="str">
        <f>IFERROR(__xludf.DUMMYFUNCTION("""COMPUTED_VALUE"""),"epictoxic")</f>
        <v>epictoxic</v>
      </c>
      <c r="F934" s="63">
        <f>IFERROR(__xludf.DUMMYFUNCTION("""COMPUTED_VALUE"""),40957.0)</f>
        <v>40957</v>
      </c>
    </row>
    <row r="935">
      <c r="A935" s="59" t="str">
        <f>IFERROR(__xludf.DUMMYFUNCTION("""COMPUTED_VALUE"""),"Zombie Sweeper")</f>
        <v>Zombie Sweeper</v>
      </c>
      <c r="B935" s="60"/>
      <c r="C935" s="61" t="str">
        <f>IFERROR(__xludf.DUMMYFUNCTION("""COMPUTED_VALUE"""),"Yes")</f>
        <v>Yes</v>
      </c>
      <c r="D935" s="62" t="str">
        <f>IFERROR(__xludf.DUMMYFUNCTION("""COMPUTED_VALUE"""),"Purchase Gems")</f>
        <v>Purchase Gems</v>
      </c>
      <c r="E935" s="61" t="str">
        <f>IFERROR(__xludf.DUMMYFUNCTION("""COMPUTED_VALUE"""),"noache")</f>
        <v>noache</v>
      </c>
      <c r="F935" s="63">
        <f>IFERROR(__xludf.DUMMYFUNCTION("""COMPUTED_VALUE"""),40898.0)</f>
        <v>40898</v>
      </c>
    </row>
    <row r="936">
      <c r="A936" s="59" t="str">
        <f>IFERROR(__xludf.DUMMYFUNCTION("""COMPUTED_VALUE"""),"Zombie Wonderland 2: Outta Time!")</f>
        <v>Zombie Wonderland 2: Outta Time!</v>
      </c>
      <c r="B936" s="60"/>
      <c r="C936" s="61" t="str">
        <f>IFERROR(__xludf.DUMMYFUNCTION("""COMPUTED_VALUE"""),"Yes")</f>
        <v>Yes</v>
      </c>
      <c r="D936" s="62" t="str">
        <f>IFERROR(__xludf.DUMMYFUNCTION("""COMPUTED_VALUE"""),"Everything")</f>
        <v>Everything</v>
      </c>
      <c r="E936" s="61" t="str">
        <f>IFERROR(__xludf.DUMMYFUNCTION("""COMPUTED_VALUE"""),"luudaigiang")</f>
        <v>luudaigiang</v>
      </c>
      <c r="F936" s="63">
        <f>IFERROR(__xludf.DUMMYFUNCTION("""COMPUTED_VALUE"""),40923.0)</f>
        <v>40923</v>
      </c>
    </row>
    <row r="937">
      <c r="A937" s="59" t="str">
        <f>IFERROR(__xludf.DUMMYFUNCTION("""COMPUTED_VALUE"""),"ZombieLife")</f>
        <v>ZombieLife</v>
      </c>
      <c r="B937" s="60"/>
      <c r="C937" s="61" t="str">
        <f>IFERROR(__xludf.DUMMYFUNCTION("""COMPUTED_VALUE"""),"Yes")</f>
        <v>Yes</v>
      </c>
      <c r="D937" s="62" t="str">
        <f>IFERROR(__xludf.DUMMYFUNCTION("""COMPUTED_VALUE"""),"It buys coins/diamonds great!")</f>
        <v>It buys coins/diamonds great!</v>
      </c>
      <c r="E937" s="61" t="str">
        <f>IFERROR(__xludf.DUMMYFUNCTION("""COMPUTED_VALUE"""),"TomRBify")</f>
        <v>TomRBify</v>
      </c>
      <c r="F937" s="63">
        <f>IFERROR(__xludf.DUMMYFUNCTION("""COMPUTED_VALUE"""),40932.0)</f>
        <v>40932</v>
      </c>
    </row>
  </sheetData>
  <mergeCells count="2">
    <mergeCell ref="A1:F1"/>
    <mergeCell ref="A2:F2"/>
  </mergeCells>
  <conditionalFormatting sqref="C1">
    <cfRule type="cellIs" dxfId="3" priority="1" operator="equal">
      <formula>"Yes"</formula>
    </cfRule>
  </conditionalFormatting>
  <conditionalFormatting sqref="C3:C869">
    <cfRule type="cellIs" dxfId="3" priority="2" operator="equal">
      <formula>"Yes"</formula>
    </cfRule>
  </conditionalFormatting>
  <conditionalFormatting sqref="C1">
    <cfRule type="containsText" dxfId="4" priority="3" operator="containsText" text="No">
      <formula>NOT(ISERROR(SEARCH(("No"),(C1))))</formula>
    </cfRule>
  </conditionalFormatting>
  <conditionalFormatting sqref="C3:C869">
    <cfRule type="containsText" dxfId="4" priority="4" operator="containsText" text="No">
      <formula>NOT(ISERROR(SEARCH(("No"),(C3))))</formula>
    </cfRule>
  </conditionalFormatting>
  <conditionalFormatting sqref="C1">
    <cfRule type="containsText" dxfId="5" priority="5" operator="containsText" text="Partially">
      <formula>NOT(ISERROR(SEARCH(("Partially"),(C1))))</formula>
    </cfRule>
  </conditionalFormatting>
  <conditionalFormatting sqref="C3:C869">
    <cfRule type="containsText" dxfId="5" priority="6" operator="containsText" text="Partially">
      <formula>NOT(ISERROR(SEARCH(("Partially"),(C3))))</formula>
    </cfRule>
  </conditionalFormatting>
  <hyperlinks>
    <hyperlink r:id="rId1" ref="D270"/>
    <hyperlink r:id="rId2" ref="A55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35.86"/>
    <col customWidth="1" min="2" max="2" width="13.71"/>
    <col customWidth="1" min="3" max="3" width="17.29"/>
    <col customWidth="1" min="4" max="4" width="57.29"/>
    <col customWidth="1" min="5" max="5" width="21.57"/>
    <col customWidth="1" min="6" max="6" width="27.29"/>
  </cols>
  <sheetData>
    <row r="1" ht="15.0" customHeight="1">
      <c r="A1" s="1" t="s">
        <v>3082</v>
      </c>
    </row>
    <row r="2">
      <c r="A2" s="2" t="str">
        <f>HYPERLINK("http://bit.ly/iapfreesheet","Please keep ALL iAPFree apps in the iAPFree Compatibility list, which can be found by clicking here.")</f>
        <v>Please keep ALL iAPFree apps in the iAPFree Compatibility list, which can be found by clicking here.</v>
      </c>
    </row>
    <row r="3">
      <c r="A3" s="3" t="s">
        <v>1</v>
      </c>
      <c r="B3" s="3" t="s">
        <v>2</v>
      </c>
      <c r="C3" s="3" t="s">
        <v>3</v>
      </c>
      <c r="D3" s="3" t="s">
        <v>4</v>
      </c>
      <c r="E3" s="3" t="s">
        <v>5</v>
      </c>
      <c r="F3" s="4" t="s">
        <v>6</v>
      </c>
    </row>
    <row r="4">
      <c r="A4" s="59" t="str">
        <f>IFERROR(__xludf.DUMMYFUNCTION("SORT(FILTER('iAPCracker Compatibility List'!A:F, 'iAPCracker Compatibility List'!C:C=""Yes""), FILTER('iAPCracker Compatibility List'!F:F, 'iAPCracker Compatibility List'!C:C=""Yes""), FALSE)"),"Fresh Tracks Snowboarding")</f>
        <v>Fresh Tracks Snowboarding</v>
      </c>
      <c r="B4" s="60"/>
      <c r="C4" s="61" t="str">
        <f>IFERROR(__xludf.DUMMYFUNCTION("""COMPUTED_VALUE"""),"Yes")</f>
        <v>Yes</v>
      </c>
      <c r="D4" s="62" t="str">
        <f>IFERROR(__xludf.DUMMYFUNCTION("""COMPUTED_VALUE"""),"Purchases work perfectly.")</f>
        <v>Purchases work perfectly.</v>
      </c>
      <c r="E4" s="61" t="str">
        <f>IFERROR(__xludf.DUMMYFUNCTION("""COMPUTED_VALUE"""),"kickinthemix")</f>
        <v>kickinthemix</v>
      </c>
      <c r="F4" s="41" t="str">
        <f>IFERROR(__xludf.DUMMYFUNCTION("""COMPUTED_VALUE"""),"29-06-12")</f>
        <v>29-06-12</v>
      </c>
    </row>
    <row r="5">
      <c r="A5" s="59" t="str">
        <f>IFERROR(__xludf.DUMMYFUNCTION("""COMPUTED_VALUE"""),"Deer Hunter Reloaded")</f>
        <v>Deer Hunter Reloaded</v>
      </c>
      <c r="B5" s="60" t="str">
        <f>IFERROR(__xludf.DUMMYFUNCTION("""COMPUTED_VALUE"""),"2.0.0")</f>
        <v>2.0.0</v>
      </c>
      <c r="C5" s="61" t="str">
        <f>IFERROR(__xludf.DUMMYFUNCTION("""COMPUTED_VALUE"""),"Yes")</f>
        <v>Yes</v>
      </c>
      <c r="D5" s="62" t="str">
        <f>IFERROR(__xludf.DUMMYFUNCTION("""COMPUTED_VALUE"""),"You can buy Hunter Buck and Gold")</f>
        <v>You can buy Hunter Buck and Gold</v>
      </c>
      <c r="E5" s="61" t="str">
        <f>IFERROR(__xludf.DUMMYFUNCTION("""COMPUTED_VALUE"""),"rroyy")</f>
        <v>rroyy</v>
      </c>
      <c r="F5" s="41" t="str">
        <f>IFERROR(__xludf.DUMMYFUNCTION("""COMPUTED_VALUE"""),"28-06-2012
")</f>
        <v>28-06-2012
</v>
      </c>
    </row>
    <row r="6">
      <c r="A6" s="59" t="str">
        <f>IFERROR(__xludf.DUMMYFUNCTION("""COMPUTED_VALUE"""),"Smurfs Village")</f>
        <v>Smurfs Village</v>
      </c>
      <c r="B6" s="60" t="str">
        <f>IFERROR(__xludf.DUMMYFUNCTION("""COMPUTED_VALUE"""),"1.2.1")</f>
        <v>1.2.1</v>
      </c>
      <c r="C6" s="61" t="str">
        <f>IFERROR(__xludf.DUMMYFUNCTION("""COMPUTED_VALUE"""),"Yes")</f>
        <v>Yes</v>
      </c>
      <c r="D6" s="62" t="str">
        <f>IFERROR(__xludf.DUMMYFUNCTION("""COMPUTED_VALUE"""),"App updated to 1.2.1 on June 22nd")</f>
        <v>App updated to 1.2.1 on June 22nd</v>
      </c>
      <c r="E6" s="61" t="str">
        <f>IFERROR(__xludf.DUMMYFUNCTION("""COMPUTED_VALUE"""),"mattchuu")</f>
        <v>mattchuu</v>
      </c>
      <c r="F6" s="41" t="str">
        <f>IFERROR(__xludf.DUMMYFUNCTION("""COMPUTED_VALUE"""),"27-06-2012")</f>
        <v>27-06-2012</v>
      </c>
    </row>
    <row r="7">
      <c r="A7" s="59" t="str">
        <f>IFERROR(__xludf.DUMMYFUNCTION("""COMPUTED_VALUE"""),"Pocket Tanks Del")</f>
        <v>Pocket Tanks Del</v>
      </c>
      <c r="B7" s="60" t="str">
        <f>IFERROR(__xludf.DUMMYFUNCTION("""COMPUTED_VALUE"""),"v1.5")</f>
        <v>v1.5</v>
      </c>
      <c r="C7" s="61" t="str">
        <f>IFERROR(__xludf.DUMMYFUNCTION("""COMPUTED_VALUE"""),"Yes")</f>
        <v>Yes</v>
      </c>
      <c r="D7" s="62" t="str">
        <f>IFERROR(__xludf.DUMMYFUNCTION("""COMPUTED_VALUE"""),"Can purchase all weapon packs")</f>
        <v>Can purchase all weapon packs</v>
      </c>
      <c r="E7" s="61" t="str">
        <f>IFERROR(__xludf.DUMMYFUNCTION("""COMPUTED_VALUE"""),"sandertrieu1995")</f>
        <v>sandertrieu1995</v>
      </c>
      <c r="F7" s="41" t="str">
        <f>IFERROR(__xludf.DUMMYFUNCTION("""COMPUTED_VALUE"""),"26-06-2012")</f>
        <v>26-06-2012</v>
      </c>
    </row>
    <row r="8">
      <c r="A8" s="59" t="str">
        <f>IFERROR(__xludf.DUMMYFUNCTION("""COMPUTED_VALUE"""),"MotoHeroz")</f>
        <v>MotoHeroz</v>
      </c>
      <c r="B8" s="60"/>
      <c r="C8" s="61" t="str">
        <f>IFERROR(__xludf.DUMMYFUNCTION("""COMPUTED_VALUE"""),"Yes")</f>
        <v>Yes</v>
      </c>
      <c r="D8" s="62" t="str">
        <f>IFERROR(__xludf.DUMMYFUNCTION("""COMPUTED_VALUE"""),"All Purchases Work")</f>
        <v>All Purchases Work</v>
      </c>
      <c r="E8" s="61" t="str">
        <f>IFERROR(__xludf.DUMMYFUNCTION("""COMPUTED_VALUE"""),"FalconUruguay")</f>
        <v>FalconUruguay</v>
      </c>
      <c r="F8" s="41" t="str">
        <f>IFERROR(__xludf.DUMMYFUNCTION("""COMPUTED_VALUE"""),"25-05-12")</f>
        <v>25-05-12</v>
      </c>
    </row>
    <row r="9">
      <c r="A9" s="59" t="str">
        <f>IFERROR(__xludf.DUMMYFUNCTION("""COMPUTED_VALUE"""),"Survival Run With Bear Grylls")</f>
        <v>Survival Run With Bear Grylls</v>
      </c>
      <c r="B9" s="60"/>
      <c r="C9" s="61" t="str">
        <f>IFERROR(__xludf.DUMMYFUNCTION("""COMPUTED_VALUE"""),"Yes")</f>
        <v>Yes</v>
      </c>
      <c r="D9" s="62" t="str">
        <f>IFERROR(__xludf.DUMMYFUNCTION("""COMPUTED_VALUE"""),"All Purchases Work")</f>
        <v>All Purchases Work</v>
      </c>
      <c r="E9" s="61" t="str">
        <f>IFERROR(__xludf.DUMMYFUNCTION("""COMPUTED_VALUE"""),"FalconUruguay")</f>
        <v>FalconUruguay</v>
      </c>
      <c r="F9" s="41" t="str">
        <f>IFERROR(__xludf.DUMMYFUNCTION("""COMPUTED_VALUE"""),"21-06-2012")</f>
        <v>21-06-2012</v>
      </c>
    </row>
    <row r="10">
      <c r="A10" s="59" t="str">
        <f>IFERROR(__xludf.DUMMYFUNCTION("""COMPUTED_VALUE"""),"Intellivision")</f>
        <v>Intellivision</v>
      </c>
      <c r="B10" s="60"/>
      <c r="C10" s="61" t="str">
        <f>IFERROR(__xludf.DUMMYFUNCTION("""COMPUTED_VALUE"""),"Yes")</f>
        <v>Yes</v>
      </c>
      <c r="D10" s="62" t="str">
        <f>IFERROR(__xludf.DUMMYFUNCTION("""COMPUTED_VALUE"""),"All Purchases Work")</f>
        <v>All Purchases Work</v>
      </c>
      <c r="E10" s="61" t="str">
        <f>IFERROR(__xludf.DUMMYFUNCTION("""COMPUTED_VALUE"""),"FalconUruguay")</f>
        <v>FalconUruguay</v>
      </c>
      <c r="F10" s="41" t="str">
        <f>IFERROR(__xludf.DUMMYFUNCTION("""COMPUTED_VALUE"""),"18-06-2012")</f>
        <v>18-06-2012</v>
      </c>
    </row>
    <row r="11">
      <c r="A11" s="59" t="str">
        <f>IFERROR(__xludf.DUMMYFUNCTION("""COMPUTED_VALUE"""),"Heroes in Time")</f>
        <v>Heroes in Time</v>
      </c>
      <c r="B11" s="60" t="str">
        <f>IFERROR(__xludf.DUMMYFUNCTION("""COMPUTED_VALUE"""),"1.0")</f>
        <v>1.0</v>
      </c>
      <c r="C11" s="61" t="str">
        <f>IFERROR(__xludf.DUMMYFUNCTION("""COMPUTED_VALUE"""),"Yes")</f>
        <v>Yes</v>
      </c>
      <c r="D11" s="62"/>
      <c r="E11" s="61" t="str">
        <f>IFERROR(__xludf.DUMMYFUNCTION("""COMPUTED_VALUE"""),"FrUct1s")</f>
        <v>FrUct1s</v>
      </c>
      <c r="F11" s="41" t="str">
        <f>IFERROR(__xludf.DUMMYFUNCTION("""COMPUTED_VALUE"""),"09-Jul-12")</f>
        <v>09-Jul-12</v>
      </c>
    </row>
    <row r="12">
      <c r="A12" s="59" t="str">
        <f>IFERROR(__xludf.DUMMYFUNCTION("""COMPUTED_VALUE"""),"ALL APPS by: My First App")</f>
        <v>ALL APPS by: My First App</v>
      </c>
      <c r="B12" s="60"/>
      <c r="C12" s="61" t="str">
        <f>IFERROR(__xludf.DUMMYFUNCTION("""COMPUTED_VALUE"""),"Yes")</f>
        <v>Yes</v>
      </c>
      <c r="D12" s="62" t="str">
        <f>IFERROR(__xludf.DUMMYFUNCTION("""COMPUTED_VALUE"""),"Purchase Full/ Gets All Boards UNLOCKED")</f>
        <v>Purchase Full/ Gets All Boards UNLOCKED</v>
      </c>
      <c r="E12" s="61" t="str">
        <f>IFERROR(__xludf.DUMMYFUNCTION("""COMPUTED_VALUE"""),"Azh")</f>
        <v>Azh</v>
      </c>
      <c r="F12" s="63">
        <f>IFERROR(__xludf.DUMMYFUNCTION("""COMPUTED_VALUE"""),41178.0)</f>
        <v>41178</v>
      </c>
    </row>
    <row r="13">
      <c r="A13" s="59" t="str">
        <f>IFERROR(__xludf.DUMMYFUNCTION("""COMPUTED_VALUE"""),"Baby TV (education)")</f>
        <v>Baby TV (education)</v>
      </c>
      <c r="B13" s="60"/>
      <c r="C13" s="61" t="str">
        <f>IFERROR(__xludf.DUMMYFUNCTION("""COMPUTED_VALUE"""),"Yes")</f>
        <v>Yes</v>
      </c>
      <c r="D13" s="62" t="str">
        <f>IFERROR(__xludf.DUMMYFUNCTION("""COMPUTED_VALUE"""),"Can download ALL EDUCATIONAL MOVIES ")</f>
        <v>Can download ALL EDUCATIONAL MOVIES </v>
      </c>
      <c r="E13" s="61" t="str">
        <f>IFERROR(__xludf.DUMMYFUNCTION("""COMPUTED_VALUE"""),"AZh")</f>
        <v>AZh</v>
      </c>
      <c r="F13" s="63">
        <f>IFERROR(__xludf.DUMMYFUNCTION("""COMPUTED_VALUE"""),41178.0)</f>
        <v>41178</v>
      </c>
    </row>
    <row r="14">
      <c r="A14" s="59" t="str">
        <f>IFERROR(__xludf.DUMMYFUNCTION("""COMPUTED_VALUE"""),"Bubble Bust ")</f>
        <v>Bubble Bust </v>
      </c>
      <c r="B14" s="60"/>
      <c r="C14" s="61" t="str">
        <f>IFERROR(__xludf.DUMMYFUNCTION("""COMPUTED_VALUE"""),"Yes")</f>
        <v>Yes</v>
      </c>
      <c r="D14" s="62" t="str">
        <f>IFERROR(__xludf.DUMMYFUNCTION("""COMPUTED_VALUE"""),"PURCHASE ANYTHING IN THE POWER UP STORE")</f>
        <v>PURCHASE ANYTHING IN THE POWER UP STORE</v>
      </c>
      <c r="E14" s="61" t="str">
        <f>IFERROR(__xludf.DUMMYFUNCTION("""COMPUTED_VALUE"""),"Azh")</f>
        <v>Azh</v>
      </c>
      <c r="F14" s="63">
        <f>IFERROR(__xludf.DUMMYFUNCTION("""COMPUTED_VALUE"""),41178.0)</f>
        <v>41178</v>
      </c>
    </row>
    <row r="15">
      <c r="A15" s="59" t="str">
        <f>IFERROR(__xludf.DUMMYFUNCTION("""COMPUTED_VALUE"""),"Freaky Face")</f>
        <v>Freaky Face</v>
      </c>
      <c r="B15" s="60"/>
      <c r="C15" s="61" t="str">
        <f>IFERROR(__xludf.DUMMYFUNCTION("""COMPUTED_VALUE"""),"Yes")</f>
        <v>Yes</v>
      </c>
      <c r="D15" s="62" t="str">
        <f>IFERROR(__xludf.DUMMYFUNCTION("""COMPUTED_VALUE"""),"Purchase All Paid Packs")</f>
        <v>Purchase All Paid Packs</v>
      </c>
      <c r="E15" s="61" t="str">
        <f>IFERROR(__xludf.DUMMYFUNCTION("""COMPUTED_VALUE"""),"Azh")</f>
        <v>Azh</v>
      </c>
      <c r="F15" s="63">
        <f>IFERROR(__xludf.DUMMYFUNCTION("""COMPUTED_VALUE"""),41178.0)</f>
        <v>41178</v>
      </c>
    </row>
    <row r="16">
      <c r="A16" s="59" t="str">
        <f>IFERROR(__xludf.DUMMYFUNCTION("""COMPUTED_VALUE"""),"How to make Origami")</f>
        <v>How to make Origami</v>
      </c>
      <c r="B16" s="60"/>
      <c r="C16" s="61" t="str">
        <f>IFERROR(__xludf.DUMMYFUNCTION("""COMPUTED_VALUE"""),"Yes")</f>
        <v>Yes</v>
      </c>
      <c r="D16" s="62" t="str">
        <f>IFERROR(__xludf.DUMMYFUNCTION("""COMPUTED_VALUE"""),"Ad removal")</f>
        <v>Ad removal</v>
      </c>
      <c r="E16" s="61" t="str">
        <f>IFERROR(__xludf.DUMMYFUNCTION("""COMPUTED_VALUE"""),"azh")</f>
        <v>azh</v>
      </c>
      <c r="F16" s="63">
        <f>IFERROR(__xludf.DUMMYFUNCTION("""COMPUTED_VALUE"""),41178.0)</f>
        <v>41178</v>
      </c>
    </row>
    <row r="17">
      <c r="A17" s="59" t="str">
        <f>IFERROR(__xludf.DUMMYFUNCTION("""COMPUTED_VALUE"""),"Orc Vengeance ")</f>
        <v>Orc Vengeance </v>
      </c>
      <c r="B17" s="60" t="str">
        <f>IFERROR(__xludf.DUMMYFUNCTION("""COMPUTED_VALUE"""),"v1.1")</f>
        <v>v1.1</v>
      </c>
      <c r="C17" s="61" t="str">
        <f>IFERROR(__xludf.DUMMYFUNCTION("""COMPUTED_VALUE"""),"Yes")</f>
        <v>Yes</v>
      </c>
      <c r="D17" s="62" t="str">
        <f>IFERROR(__xludf.DUMMYFUNCTION("""COMPUTED_VALUE"""),"BUY ALL GOLD ")</f>
        <v>BUY ALL GOLD </v>
      </c>
      <c r="E17" s="61" t="str">
        <f>IFERROR(__xludf.DUMMYFUNCTION("""COMPUTED_VALUE"""),"AZh")</f>
        <v>AZh</v>
      </c>
      <c r="F17" s="63">
        <f>IFERROR(__xludf.DUMMYFUNCTION("""COMPUTED_VALUE"""),41178.0)</f>
        <v>41178</v>
      </c>
    </row>
    <row r="18">
      <c r="A18" s="59" t="str">
        <f>IFERROR(__xludf.DUMMYFUNCTION("""COMPUTED_VALUE"""),"DrakeRider")</f>
        <v>DrakeRider</v>
      </c>
      <c r="B18" s="60"/>
      <c r="C18" s="61" t="str">
        <f>IFERROR(__xludf.DUMMYFUNCTION("""COMPUTED_VALUE"""),"Yes")</f>
        <v>Yes</v>
      </c>
      <c r="D18" s="62" t="str">
        <f>IFERROR(__xludf.DUMMYFUNCTION("""COMPUTED_VALUE"""),"Unlock all chapters. Buy all content")</f>
        <v>Unlock all chapters. Buy all content</v>
      </c>
      <c r="E18" s="61" t="str">
        <f>IFERROR(__xludf.DUMMYFUNCTION("""COMPUTED_VALUE"""),"AquaKev")</f>
        <v>AquaKev</v>
      </c>
      <c r="F18" s="63">
        <f>IFERROR(__xludf.DUMMYFUNCTION("""COMPUTED_VALUE"""),41177.0)</f>
        <v>41177</v>
      </c>
    </row>
    <row r="19">
      <c r="A19" s="59" t="str">
        <f>IFERROR(__xludf.DUMMYFUNCTION("""COMPUTED_VALUE"""),"Kingdom Rush")</f>
        <v>Kingdom Rush</v>
      </c>
      <c r="B19" s="60">
        <f>IFERROR(__xludf.DUMMYFUNCTION("""COMPUTED_VALUE"""),1.5)</f>
        <v>1.5</v>
      </c>
      <c r="C19" s="61" t="str">
        <f>IFERROR(__xludf.DUMMYFUNCTION("""COMPUTED_VALUE"""),"Yes")</f>
        <v>Yes</v>
      </c>
      <c r="D19" s="62" t="str">
        <f>IFERROR(__xludf.DUMMYFUNCTION("""COMPUTED_VALUE"""),"Everything works")</f>
        <v>Everything works</v>
      </c>
      <c r="E19" s="61" t="str">
        <f>IFERROR(__xludf.DUMMYFUNCTION("""COMPUTED_VALUE"""),"Shin")</f>
        <v>Shin</v>
      </c>
      <c r="F19" s="63">
        <f>IFERROR(__xludf.DUMMYFUNCTION("""COMPUTED_VALUE"""),41175.0)</f>
        <v>41175</v>
      </c>
    </row>
    <row r="20">
      <c r="A20" s="59" t="str">
        <f>IFERROR(__xludf.DUMMYFUNCTION("""COMPUTED_VALUE"""),"My dragon")</f>
        <v>My dragon</v>
      </c>
      <c r="B20" s="60"/>
      <c r="C20" s="61" t="str">
        <f>IFERROR(__xludf.DUMMYFUNCTION("""COMPUTED_VALUE"""),"Yes")</f>
        <v>Yes</v>
      </c>
      <c r="D20" s="62" t="str">
        <f>IFERROR(__xludf.DUMMYFUNCTION("""COMPUTED_VALUE"""),"Everything works")</f>
        <v>Everything works</v>
      </c>
      <c r="E20" s="61" t="str">
        <f>IFERROR(__xludf.DUMMYFUNCTION("""COMPUTED_VALUE"""),"Psychoticske")</f>
        <v>Psychoticske</v>
      </c>
      <c r="F20" s="63">
        <f>IFERROR(__xludf.DUMMYFUNCTION("""COMPUTED_VALUE"""),41171.0)</f>
        <v>41171</v>
      </c>
    </row>
    <row r="21">
      <c r="A21" s="59" t="str">
        <f>IFERROR(__xludf.DUMMYFUNCTION("""COMPUTED_VALUE"""),"PowerCam")</f>
        <v>PowerCam</v>
      </c>
      <c r="B21" s="60" t="str">
        <f>IFERROR(__xludf.DUMMYFUNCTION("""COMPUTED_VALUE"""),"2.0.3.0")</f>
        <v>2.0.3.0</v>
      </c>
      <c r="C21" s="61" t="str">
        <f>IFERROR(__xludf.DUMMYFUNCTION("""COMPUTED_VALUE"""),"Yes")</f>
        <v>Yes</v>
      </c>
      <c r="D21" s="62" t="str">
        <f>IFERROR(__xludf.DUMMYFUNCTION("""COMPUTED_VALUE"""),"Was able to unlock full version")</f>
        <v>Was able to unlock full version</v>
      </c>
      <c r="E21" s="61" t="str">
        <f>IFERROR(__xludf.DUMMYFUNCTION("""COMPUTED_VALUE"""),"Jim
")</f>
        <v>Jim
</v>
      </c>
      <c r="F21" s="63">
        <f>IFERROR(__xludf.DUMMYFUNCTION("""COMPUTED_VALUE"""),41165.0)</f>
        <v>41165</v>
      </c>
    </row>
    <row r="22">
      <c r="A22" s="59" t="str">
        <f>IFERROR(__xludf.DUMMYFUNCTION("""COMPUTED_VALUE"""),"Whale Trails")</f>
        <v>Whale Trails</v>
      </c>
      <c r="B22" s="60" t="str">
        <f>IFERROR(__xludf.DUMMYFUNCTION("""COMPUTED_VALUE"""),"2.0.1")</f>
        <v>2.0.1</v>
      </c>
      <c r="C22" s="61" t="str">
        <f>IFERROR(__xludf.DUMMYFUNCTION("""COMPUTED_VALUE"""),"Yes")</f>
        <v>Yes</v>
      </c>
      <c r="D22" s="62" t="str">
        <f>IFERROR(__xludf.DUMMYFUNCTION("""COMPUTED_VALUE"""),"All Works")</f>
        <v>All Works</v>
      </c>
      <c r="E22" s="61" t="str">
        <f>IFERROR(__xludf.DUMMYFUNCTION("""COMPUTED_VALUE"""),"EliTehNinja")</f>
        <v>EliTehNinja</v>
      </c>
      <c r="F22" s="63">
        <f>IFERROR(__xludf.DUMMYFUNCTION("""COMPUTED_VALUE"""),41165.0)</f>
        <v>41165</v>
      </c>
    </row>
    <row r="23">
      <c r="A23" s="59" t="str">
        <f>IFERROR(__xludf.DUMMYFUNCTION("""COMPUTED_VALUE"""),"Ninja saga")</f>
        <v>Ninja saga</v>
      </c>
      <c r="B23" s="60" t="str">
        <f>IFERROR(__xludf.DUMMYFUNCTION("""COMPUTED_VALUE"""),"2.1.15")</f>
        <v>2.1.15</v>
      </c>
      <c r="C23" s="61" t="str">
        <f>IFERROR(__xludf.DUMMYFUNCTION("""COMPUTED_VALUE"""),"Yes")</f>
        <v>Yes</v>
      </c>
      <c r="D23" s="62" t="str">
        <f>IFERROR(__xludf.DUMMYFUNCTION("""COMPUTED_VALUE"""),"Buy tonkes ,coins purchase.
")</f>
        <v>Buy tonkes ,coins purchase.
</v>
      </c>
      <c r="E23" s="61" t="str">
        <f>IFERROR(__xludf.DUMMYFUNCTION("""COMPUTED_VALUE"""),"Jesus1000
")</f>
        <v>Jesus1000
</v>
      </c>
      <c r="F23" s="63">
        <f>IFERROR(__xludf.DUMMYFUNCTION("""COMPUTED_VALUE"""),41164.0)</f>
        <v>41164</v>
      </c>
    </row>
    <row r="24">
      <c r="A24" s="59" t="str">
        <f>IFERROR(__xludf.DUMMYFUNCTION("""COMPUTED_VALUE"""),"FIFA12")</f>
        <v>FIFA12</v>
      </c>
      <c r="B24" s="60" t="str">
        <f>IFERROR(__xludf.DUMMYFUNCTION("""COMPUTED_VALUE"""),"1.0.3")</f>
        <v>1.0.3</v>
      </c>
      <c r="C24" s="61" t="str">
        <f>IFERROR(__xludf.DUMMYFUNCTION("""COMPUTED_VALUE"""),"Yes")</f>
        <v>Yes</v>
      </c>
      <c r="D24" s="62" t="str">
        <f>IFERROR(__xludf.DUMMYFUNCTION("""COMPUTED_VALUE"""),"Buy coins manager.")</f>
        <v>Buy coins manager.</v>
      </c>
      <c r="E24" s="61" t="str">
        <f>IFERROR(__xludf.DUMMYFUNCTION("""COMPUTED_VALUE"""),"XxXreyXxX")</f>
        <v>XxXreyXxX</v>
      </c>
      <c r="F24" s="63">
        <f>IFERROR(__xludf.DUMMYFUNCTION("""COMPUTED_VALUE"""),41162.0)</f>
        <v>41162</v>
      </c>
    </row>
    <row r="25">
      <c r="A25" s="59" t="str">
        <f>IFERROR(__xludf.DUMMYFUNCTION("""COMPUTED_VALUE"""),"Airport Scanner")</f>
        <v>Airport Scanner</v>
      </c>
      <c r="B25" s="60"/>
      <c r="C25" s="61" t="str">
        <f>IFERROR(__xludf.DUMMYFUNCTION("""COMPUTED_VALUE"""),"Yes")</f>
        <v>Yes</v>
      </c>
      <c r="D25" s="62" t="str">
        <f>IFERROR(__xludf.DUMMYFUNCTION("""COMPUTED_VALUE"""),"Buy all shop items. ")</f>
        <v>Buy all shop items. </v>
      </c>
      <c r="E25" s="61" t="str">
        <f>IFERROR(__xludf.DUMMYFUNCTION("""COMPUTED_VALUE"""),"Zukagraf")</f>
        <v>Zukagraf</v>
      </c>
      <c r="F25" s="63">
        <f>IFERROR(__xludf.DUMMYFUNCTION("""COMPUTED_VALUE"""),41161.0)</f>
        <v>41161</v>
      </c>
    </row>
    <row r="26">
      <c r="A26" s="59" t="str">
        <f>IFERROR(__xludf.DUMMYFUNCTION("""COMPUTED_VALUE"""),"AngerOfStick 2")</f>
        <v>AngerOfStick 2</v>
      </c>
      <c r="B26" s="60" t="str">
        <f>IFERROR(__xludf.DUMMYFUNCTION("""COMPUTED_VALUE"""),"1.1.3")</f>
        <v>1.1.3</v>
      </c>
      <c r="C26" s="61" t="str">
        <f>IFERROR(__xludf.DUMMYFUNCTION("""COMPUTED_VALUE"""),"Yes")</f>
        <v>Yes</v>
      </c>
      <c r="D26" s="62" t="str">
        <f>IFERROR(__xludf.DUMMYFUNCTION("""COMPUTED_VALUE"""),"Can Buy Everything")</f>
        <v>Can Buy Everything</v>
      </c>
      <c r="E26" s="61" t="str">
        <f>IFERROR(__xludf.DUMMYFUNCTION("""COMPUTED_VALUE"""),"CruNkS")</f>
        <v>CruNkS</v>
      </c>
      <c r="F26" s="63">
        <f>IFERROR(__xludf.DUMMYFUNCTION("""COMPUTED_VALUE"""),41161.0)</f>
        <v>41161</v>
      </c>
    </row>
    <row r="27">
      <c r="A27" s="59" t="str">
        <f>IFERROR(__xludf.DUMMYFUNCTION("""COMPUTED_VALUE"""),"Cartoon Wars")</f>
        <v>Cartoon Wars</v>
      </c>
      <c r="B27" s="60" t="str">
        <f>IFERROR(__xludf.DUMMYFUNCTION("""COMPUTED_VALUE"""),"1.1.3")</f>
        <v>1.1.3</v>
      </c>
      <c r="C27" s="61" t="str">
        <f>IFERROR(__xludf.DUMMYFUNCTION("""COMPUTED_VALUE"""),"Yes")</f>
        <v>Yes</v>
      </c>
      <c r="D27" s="62" t="str">
        <f>IFERROR(__xludf.DUMMYFUNCTION("""COMPUTED_VALUE"""),"Everything fine")</f>
        <v>Everything fine</v>
      </c>
      <c r="E27" s="61" t="str">
        <f>IFERROR(__xludf.DUMMYFUNCTION("""COMPUTED_VALUE"""),"CruNkS")</f>
        <v>CruNkS</v>
      </c>
      <c r="F27" s="63">
        <f>IFERROR(__xludf.DUMMYFUNCTION("""COMPUTED_VALUE"""),41161.0)</f>
        <v>41161</v>
      </c>
    </row>
    <row r="28">
      <c r="A28" s="59" t="str">
        <f>IFERROR(__xludf.DUMMYFUNCTION("""COMPUTED_VALUE"""),"Cartoon Wars Gunner+")</f>
        <v>Cartoon Wars Gunner+</v>
      </c>
      <c r="B28" s="60" t="str">
        <f>IFERROR(__xludf.DUMMYFUNCTION("""COMPUTED_VALUE"""),"1.1.1")</f>
        <v>1.1.1</v>
      </c>
      <c r="C28" s="61" t="str">
        <f>IFERROR(__xludf.DUMMYFUNCTION("""COMPUTED_VALUE"""),"Yes")</f>
        <v>Yes</v>
      </c>
      <c r="D28" s="62" t="str">
        <f>IFERROR(__xludf.DUMMYFUNCTION("""COMPUTED_VALUE"""),"Everything fine")</f>
        <v>Everything fine</v>
      </c>
      <c r="E28" s="61" t="str">
        <f>IFERROR(__xludf.DUMMYFUNCTION("""COMPUTED_VALUE"""),"CruNkS")</f>
        <v>CruNkS</v>
      </c>
      <c r="F28" s="63">
        <f>IFERROR(__xludf.DUMMYFUNCTION("""COMPUTED_VALUE"""),41161.0)</f>
        <v>41161</v>
      </c>
    </row>
    <row r="29">
      <c r="A29" s="59" t="str">
        <f>IFERROR(__xludf.DUMMYFUNCTION("""COMPUTED_VALUE"""),"Devils Quest")</f>
        <v>Devils Quest</v>
      </c>
      <c r="B29" s="60" t="str">
        <f>IFERROR(__xludf.DUMMYFUNCTION("""COMPUTED_VALUE"""),"1.2.2")</f>
        <v>1.2.2</v>
      </c>
      <c r="C29" s="61" t="str">
        <f>IFERROR(__xludf.DUMMYFUNCTION("""COMPUTED_VALUE"""),"Yes")</f>
        <v>Yes</v>
      </c>
      <c r="D29" s="62" t="str">
        <f>IFERROR(__xludf.DUMMYFUNCTION("""COMPUTED_VALUE"""),"Everything fine, but can't decide how much")</f>
        <v>Everything fine, but can't decide how much</v>
      </c>
      <c r="E29" s="61" t="str">
        <f>IFERROR(__xludf.DUMMYFUNCTION("""COMPUTED_VALUE"""),"CruNkS")</f>
        <v>CruNkS</v>
      </c>
      <c r="F29" s="63">
        <f>IFERROR(__xludf.DUMMYFUNCTION("""COMPUTED_VALUE"""),41161.0)</f>
        <v>41161</v>
      </c>
    </row>
    <row r="30">
      <c r="A30" s="59" t="str">
        <f>IFERROR(__xludf.DUMMYFUNCTION("""COMPUTED_VALUE"""),"Head Soccer")</f>
        <v>Head Soccer</v>
      </c>
      <c r="B30" s="60" t="str">
        <f>IFERROR(__xludf.DUMMYFUNCTION("""COMPUTED_VALUE"""),"1.2.0")</f>
        <v>1.2.0</v>
      </c>
      <c r="C30" s="61" t="str">
        <f>IFERROR(__xludf.DUMMYFUNCTION("""COMPUTED_VALUE"""),"Yes")</f>
        <v>Yes</v>
      </c>
      <c r="D30" s="62" t="str">
        <f>IFERROR(__xludf.DUMMYFUNCTION("""COMPUTED_VALUE"""),"Can Buy Everything")</f>
        <v>Can Buy Everything</v>
      </c>
      <c r="E30" s="61" t="str">
        <f>IFERROR(__xludf.DUMMYFUNCTION("""COMPUTED_VALUE"""),"CruNkS")</f>
        <v>CruNkS</v>
      </c>
      <c r="F30" s="63">
        <f>IFERROR(__xludf.DUMMYFUNCTION("""COMPUTED_VALUE"""),41161.0)</f>
        <v>41161</v>
      </c>
    </row>
    <row r="31">
      <c r="A31" s="59" t="str">
        <f>IFERROR(__xludf.DUMMYFUNCTION("""COMPUTED_VALUE"""),"Final Fantasy Dimensions")</f>
        <v>Final Fantasy Dimensions</v>
      </c>
      <c r="B31" s="60" t="str">
        <f>IFERROR(__xludf.DUMMYFUNCTION("""COMPUTED_VALUE"""),"1.0.1")</f>
        <v>1.0.1</v>
      </c>
      <c r="C31" s="61" t="str">
        <f>IFERROR(__xludf.DUMMYFUNCTION("""COMPUTED_VALUE"""),"Yes")</f>
        <v>Yes</v>
      </c>
      <c r="D31" s="62" t="str">
        <f>IFERROR(__xludf.DUMMYFUNCTION("""COMPUTED_VALUE"""),"Works on all store purchases.")</f>
        <v>Works on all store purchases.</v>
      </c>
      <c r="E31" s="61" t="str">
        <f>IFERROR(__xludf.DUMMYFUNCTION("""COMPUTED_VALUE"""),"It's_Matt_XD")</f>
        <v>It's_Matt_XD</v>
      </c>
      <c r="F31" s="63">
        <f>IFERROR(__xludf.DUMMYFUNCTION("""COMPUTED_VALUE"""),41160.0)</f>
        <v>41160</v>
      </c>
    </row>
    <row r="32">
      <c r="A32" s="59" t="str">
        <f>IFERROR(__xludf.DUMMYFUNCTION("""COMPUTED_VALUE"""),"Tap Store")</f>
        <v>Tap Store</v>
      </c>
      <c r="B32" s="60"/>
      <c r="C32" s="61" t="str">
        <f>IFERROR(__xludf.DUMMYFUNCTION("""COMPUTED_VALUE"""),"Yes")</f>
        <v>Yes</v>
      </c>
      <c r="D32" s="62" t="str">
        <f>IFERROR(__xludf.DUMMYFUNCTION("""COMPUTED_VALUE"""),"Can Buy Everything")</f>
        <v>Can Buy Everything</v>
      </c>
      <c r="E32" s="61" t="str">
        <f>IFERROR(__xludf.DUMMYFUNCTION("""COMPUTED_VALUE"""),"Chantelle3107")</f>
        <v>Chantelle3107</v>
      </c>
      <c r="F32" s="63">
        <f>IFERROR(__xludf.DUMMYFUNCTION("""COMPUTED_VALUE"""),41160.0)</f>
        <v>41160</v>
      </c>
    </row>
    <row r="33">
      <c r="A33" s="59" t="str">
        <f>IFERROR(__xludf.DUMMYFUNCTION("""COMPUTED_VALUE"""),"Ultralingua dictionaries")</f>
        <v>Ultralingua dictionaries</v>
      </c>
      <c r="B33" s="60"/>
      <c r="C33" s="61" t="str">
        <f>IFERROR(__xludf.DUMMYFUNCTION("""COMPUTED_VALUE"""),"Yes")</f>
        <v>Yes</v>
      </c>
      <c r="D33" s="62" t="str">
        <f>IFERROR(__xludf.DUMMYFUNCTION("""COMPUTED_VALUE"""),"Works on all dictionaries")</f>
        <v>Works on all dictionaries</v>
      </c>
      <c r="E33" s="61" t="str">
        <f>IFERROR(__xludf.DUMMYFUNCTION("""COMPUTED_VALUE"""),"kanjo")</f>
        <v>kanjo</v>
      </c>
      <c r="F33" s="63">
        <f>IFERROR(__xludf.DUMMYFUNCTION("""COMPUTED_VALUE"""),41160.0)</f>
        <v>41160</v>
      </c>
    </row>
    <row r="34">
      <c r="A34" s="59" t="str">
        <f>IFERROR(__xludf.DUMMYFUNCTION("""COMPUTED_VALUE"""),"Baseball Superstars II")</f>
        <v>Baseball Superstars II</v>
      </c>
      <c r="B34" s="60" t="str">
        <f>IFERROR(__xludf.DUMMYFUNCTION("""COMPUTED_VALUE"""),"1.0.4")</f>
        <v>1.0.4</v>
      </c>
      <c r="C34" s="61" t="str">
        <f>IFERROR(__xludf.DUMMYFUNCTION("""COMPUTED_VALUE"""),"Yes")</f>
        <v>Yes</v>
      </c>
      <c r="D34" s="62" t="str">
        <f>IFERROR(__xludf.DUMMYFUNCTION("""COMPUTED_VALUE"""),"Can buy Alots of G points and other purcharses")</f>
        <v>Can buy Alots of G points and other purcharses</v>
      </c>
      <c r="E34" s="61" t="str">
        <f>IFERROR(__xludf.DUMMYFUNCTION("""COMPUTED_VALUE"""),"Luizoe")</f>
        <v>Luizoe</v>
      </c>
      <c r="F34" s="63">
        <f>IFERROR(__xludf.DUMMYFUNCTION("""COMPUTED_VALUE"""),41159.0)</f>
        <v>41159</v>
      </c>
    </row>
    <row r="35">
      <c r="A35" s="59" t="str">
        <f>IFERROR(__xludf.DUMMYFUNCTION("""COMPUTED_VALUE"""),"EnchantU")</f>
        <v>EnchantU</v>
      </c>
      <c r="B35" s="60"/>
      <c r="C35" s="61" t="str">
        <f>IFERROR(__xludf.DUMMYFUNCTION("""COMPUTED_VALUE"""),"Yes")</f>
        <v>Yes</v>
      </c>
      <c r="D35" s="62" t="str">
        <f>IFERROR(__xludf.DUMMYFUNCTION("""COMPUTED_VALUE"""),"Can Buy Everything")</f>
        <v>Can Buy Everything</v>
      </c>
      <c r="E35" s="61">
        <f>IFERROR(__xludf.DUMMYFUNCTION("""COMPUTED_VALUE"""),3.21650103E8)</f>
        <v>321650103</v>
      </c>
      <c r="F35" s="63">
        <f>IFERROR(__xludf.DUMMYFUNCTION("""COMPUTED_VALUE"""),41159.0)</f>
        <v>41159</v>
      </c>
    </row>
    <row r="36">
      <c r="A36" s="59" t="str">
        <f>IFERROR(__xludf.DUMMYFUNCTION("""COMPUTED_VALUE"""),"Mall Stars")</f>
        <v>Mall Stars</v>
      </c>
      <c r="B36" s="60" t="str">
        <f>IFERROR(__xludf.DUMMYFUNCTION("""COMPUTED_VALUE"""),"1.4.12")</f>
        <v>1.4.12</v>
      </c>
      <c r="C36" s="61" t="str">
        <f>IFERROR(__xludf.DUMMYFUNCTION("""COMPUTED_VALUE"""),"Yes")</f>
        <v>Yes</v>
      </c>
      <c r="D36" s="62" t="str">
        <f>IFERROR(__xludf.DUMMYFUNCTION("""COMPUTED_VALUE"""),"Can Buy Everything")</f>
        <v>Can Buy Everything</v>
      </c>
      <c r="E36" s="61" t="str">
        <f>IFERROR(__xludf.DUMMYFUNCTION("""COMPUTED_VALUE"""),"someone")</f>
        <v>someone</v>
      </c>
      <c r="F36" s="63">
        <f>IFERROR(__xludf.DUMMYFUNCTION("""COMPUTED_VALUE"""),41159.0)</f>
        <v>41159</v>
      </c>
    </row>
    <row r="37">
      <c r="A37" s="59" t="str">
        <f>IFERROR(__xludf.DUMMYFUNCTION("""COMPUTED_VALUE"""),"Nitro Drag Racing")</f>
        <v>Nitro Drag Racing</v>
      </c>
      <c r="B37" s="60">
        <f>IFERROR(__xludf.DUMMYFUNCTION("""COMPUTED_VALUE"""),1.5)</f>
        <v>1.5</v>
      </c>
      <c r="C37" s="61" t="str">
        <f>IFERROR(__xludf.DUMMYFUNCTION("""COMPUTED_VALUE"""),"Yes")</f>
        <v>Yes</v>
      </c>
      <c r="D37" s="62" t="str">
        <f>IFERROR(__xludf.DUMMYFUNCTION("""COMPUTED_VALUE"""),"Can buy everything")</f>
        <v>Can buy everything</v>
      </c>
      <c r="E37" s="61" t="str">
        <f>IFERROR(__xludf.DUMMYFUNCTION("""COMPUTED_VALUE"""),"CruNkS")</f>
        <v>CruNkS</v>
      </c>
      <c r="F37" s="63">
        <f>IFERROR(__xludf.DUMMYFUNCTION("""COMPUTED_VALUE"""),41159.0)</f>
        <v>41159</v>
      </c>
    </row>
    <row r="38">
      <c r="A38" s="59" t="str">
        <f>IFERROR(__xludf.DUMMYFUNCTION("""COMPUTED_VALUE"""),"Nitro Nation: Drag Racing")</f>
        <v>Nitro Nation: Drag Racing</v>
      </c>
      <c r="B38" s="60" t="str">
        <f>IFERROR(__xludf.DUMMYFUNCTION("""COMPUTED_VALUE"""),"1.0.6")</f>
        <v>1.0.6</v>
      </c>
      <c r="C38" s="61" t="str">
        <f>IFERROR(__xludf.DUMMYFUNCTION("""COMPUTED_VALUE"""),"Yes")</f>
        <v>Yes</v>
      </c>
      <c r="D38" s="62" t="str">
        <f>IFERROR(__xludf.DUMMYFUNCTION("""COMPUTED_VALUE"""),"Respect Points")</f>
        <v>Respect Points</v>
      </c>
      <c r="E38" s="61" t="str">
        <f>IFERROR(__xludf.DUMMYFUNCTION("""COMPUTED_VALUE"""),"NakedFury")</f>
        <v>NakedFury</v>
      </c>
      <c r="F38" s="63">
        <f>IFERROR(__xludf.DUMMYFUNCTION("""COMPUTED_VALUE"""),41159.0)</f>
        <v>41159</v>
      </c>
    </row>
    <row r="39">
      <c r="A39" s="59" t="str">
        <f>IFERROR(__xludf.DUMMYFUNCTION("""COMPUTED_VALUE"""),"Neander Block")</f>
        <v>Neander Block</v>
      </c>
      <c r="B39" s="60" t="str">
        <f>IFERROR(__xludf.DUMMYFUNCTION("""COMPUTED_VALUE"""),"Latest")</f>
        <v>Latest</v>
      </c>
      <c r="C39" s="61" t="str">
        <f>IFERROR(__xludf.DUMMYFUNCTION("""COMPUTED_VALUE"""),"Yes")</f>
        <v>Yes</v>
      </c>
      <c r="D39" s="62" t="str">
        <f>IFERROR(__xludf.DUMMYFUNCTION("""COMPUTED_VALUE"""),"Buy Coin Easily")</f>
        <v>Buy Coin Easily</v>
      </c>
      <c r="E39" s="61" t="str">
        <f>IFERROR(__xludf.DUMMYFUNCTION("""COMPUTED_VALUE"""),"baomdc")</f>
        <v>baomdc</v>
      </c>
      <c r="F39" s="63">
        <f>IFERROR(__xludf.DUMMYFUNCTION("""COMPUTED_VALUE"""),41157.0)</f>
        <v>41157</v>
      </c>
    </row>
    <row r="40">
      <c r="A40" s="59" t="str">
        <f>IFERROR(__xludf.DUMMYFUNCTION("""COMPUTED_VALUE"""),"Robbery Bob")</f>
        <v>Robbery Bob</v>
      </c>
      <c r="B40" s="60"/>
      <c r="C40" s="61" t="str">
        <f>IFERROR(__xludf.DUMMYFUNCTION("""COMPUTED_VALUE"""),"Yes")</f>
        <v>Yes</v>
      </c>
      <c r="D40" s="62" t="str">
        <f>IFERROR(__xludf.DUMMYFUNCTION("""COMPUTED_VALUE"""),"Buy Coin Easily")</f>
        <v>Buy Coin Easily</v>
      </c>
      <c r="E40" s="61" t="str">
        <f>IFERROR(__xludf.DUMMYFUNCTION("""COMPUTED_VALUE"""),"Ace9311")</f>
        <v>Ace9311</v>
      </c>
      <c r="F40" s="63">
        <f>IFERROR(__xludf.DUMMYFUNCTION("""COMPUTED_VALUE"""),41157.0)</f>
        <v>41157</v>
      </c>
    </row>
    <row r="41">
      <c r="A41" s="59" t="str">
        <f>IFERROR(__xludf.DUMMYFUNCTION("""COMPUTED_VALUE"""),"Sky Gamblers:Air Supremacy")</f>
        <v>Sky Gamblers:Air Supremacy</v>
      </c>
      <c r="B41" s="60"/>
      <c r="C41" s="61" t="str">
        <f>IFERROR(__xludf.DUMMYFUNCTION("""COMPUTED_VALUE"""),"Yes")</f>
        <v>Yes</v>
      </c>
      <c r="D41" s="62" t="str">
        <f>IFERROR(__xludf.DUMMYFUNCTION("""COMPUTED_VALUE"""),"Can Purchase Planes")</f>
        <v>Can Purchase Planes</v>
      </c>
      <c r="E41" s="61" t="str">
        <f>IFERROR(__xludf.DUMMYFUNCTION("""COMPUTED_VALUE"""),"uk0512")</f>
        <v>uk0512</v>
      </c>
      <c r="F41" s="63">
        <f>IFERROR(__xludf.DUMMYFUNCTION("""COMPUTED_VALUE"""),41157.0)</f>
        <v>41157</v>
      </c>
    </row>
    <row r="42">
      <c r="A42" s="59" t="str">
        <f>IFERROR(__xludf.DUMMYFUNCTION("""COMPUTED_VALUE"""),"Tightwire HD")</f>
        <v>Tightwire HD</v>
      </c>
      <c r="B42" s="60"/>
      <c r="C42" s="61" t="str">
        <f>IFERROR(__xludf.DUMMYFUNCTION("""COMPUTED_VALUE"""),"Yes")</f>
        <v>Yes</v>
      </c>
      <c r="D42" s="62" t="str">
        <f>IFERROR(__xludf.DUMMYFUNCTION("""COMPUTED_VALUE"""),"Can buy all levels and equipments")</f>
        <v>Can buy all levels and equipments</v>
      </c>
      <c r="E42" s="61"/>
      <c r="F42" s="63">
        <f>IFERROR(__xludf.DUMMYFUNCTION("""COMPUTED_VALUE"""),41109.0)</f>
        <v>41109</v>
      </c>
    </row>
    <row r="43">
      <c r="A43" s="59" t="str">
        <f>IFERROR(__xludf.DUMMYFUNCTION("""COMPUTED_VALUE"""),"#WayCooler")</f>
        <v>#WayCooler</v>
      </c>
      <c r="B43" s="60" t="str">
        <f>IFERROR(__xludf.DUMMYFUNCTION("""COMPUTED_VALUE"""),"1.0.0")</f>
        <v>1.0.0</v>
      </c>
      <c r="C43" s="61" t="str">
        <f>IFERROR(__xludf.DUMMYFUNCTION("""COMPUTED_VALUE"""),"Yes")</f>
        <v>Yes</v>
      </c>
      <c r="D43" s="62" t="str">
        <f>IFERROR(__xludf.DUMMYFUNCTION("""COMPUTED_VALUE"""),"You can purchase all premium packs")</f>
        <v>You can purchase all premium packs</v>
      </c>
      <c r="E43" s="61" t="str">
        <f>IFERROR(__xludf.DUMMYFUNCTION("""COMPUTED_VALUE"""),"Jtlogiks")</f>
        <v>Jtlogiks</v>
      </c>
      <c r="F43" s="63">
        <f>IFERROR(__xludf.DUMMYFUNCTION("""COMPUTED_VALUE"""),41106.0)</f>
        <v>41106</v>
      </c>
    </row>
    <row r="44">
      <c r="A44" s="59" t="str">
        <f>IFERROR(__xludf.DUMMYFUNCTION("""COMPUTED_VALUE"""),"Mafia Vs Police")</f>
        <v>Mafia Vs Police</v>
      </c>
      <c r="B44" s="60"/>
      <c r="C44" s="61" t="str">
        <f>IFERROR(__xludf.DUMMYFUNCTION("""COMPUTED_VALUE"""),"Yes")</f>
        <v>Yes</v>
      </c>
      <c r="D44" s="62" t="str">
        <f>IFERROR(__xludf.DUMMYFUNCTION("""COMPUTED_VALUE"""),"Unlocks full version and buys all items.")</f>
        <v>Unlocks full version and buys all items.</v>
      </c>
      <c r="E44" s="61"/>
      <c r="F44" s="63">
        <f>IFERROR(__xludf.DUMMYFUNCTION("""COMPUTED_VALUE"""),41106.0)</f>
        <v>41106</v>
      </c>
    </row>
    <row r="45">
      <c r="A45" s="59" t="str">
        <f>IFERROR(__xludf.DUMMYFUNCTION("""COMPUTED_VALUE"""),"ChasinYello")</f>
        <v>ChasinYello</v>
      </c>
      <c r="B45" s="60" t="str">
        <f>IFERROR(__xludf.DUMMYFUNCTION("""COMPUTED_VALUE"""),"1.0.3")</f>
        <v>1.0.3</v>
      </c>
      <c r="C45" s="61" t="str">
        <f>IFERROR(__xludf.DUMMYFUNCTION("""COMPUTED_VALUE"""),"Yes")</f>
        <v>Yes</v>
      </c>
      <c r="D45" s="62" t="str">
        <f>IFERROR(__xludf.DUMMYFUNCTION("""COMPUTED_VALUE"""),"Can buy all")</f>
        <v>Can buy all</v>
      </c>
      <c r="E45" s="61"/>
      <c r="F45" s="63">
        <f>IFERROR(__xludf.DUMMYFUNCTION("""COMPUTED_VALUE"""),41104.0)</f>
        <v>41104</v>
      </c>
    </row>
    <row r="46">
      <c r="A46" s="59" t="str">
        <f>IFERROR(__xludf.DUMMYFUNCTION("""COMPUTED_VALUE"""),"Prince of Persia Classic HD")</f>
        <v>Prince of Persia Classic HD</v>
      </c>
      <c r="B46" s="60" t="str">
        <f>IFERROR(__xludf.DUMMYFUNCTION("""COMPUTED_VALUE"""),"2.0.1")</f>
        <v>2.0.1</v>
      </c>
      <c r="C46" s="61" t="str">
        <f>IFERROR(__xludf.DUMMYFUNCTION("""COMPUTED_VALUE"""),"Yes")</f>
        <v>Yes</v>
      </c>
      <c r="D46" s="62" t="str">
        <f>IFERROR(__xludf.DUMMYFUNCTION("""COMPUTED_VALUE"""),"Can buy lifes")</f>
        <v>Can buy lifes</v>
      </c>
      <c r="E46" s="61"/>
      <c r="F46" s="63">
        <f>IFERROR(__xludf.DUMMYFUNCTION("""COMPUTED_VALUE"""),41104.0)</f>
        <v>41104</v>
      </c>
    </row>
    <row r="47">
      <c r="A47" s="59" t="str">
        <f>IFERROR(__xludf.DUMMYFUNCTION("""COMPUTED_VALUE"""),"IMDB Trivia")</f>
        <v>IMDB Trivia</v>
      </c>
      <c r="B47" s="60"/>
      <c r="C47" s="61" t="str">
        <f>IFERROR(__xludf.DUMMYFUNCTION("""COMPUTED_VALUE"""),"Yes")</f>
        <v>Yes</v>
      </c>
      <c r="D47" s="62" t="str">
        <f>IFERROR(__xludf.DUMMYFUNCTION("""COMPUTED_VALUE"""),"Unlock all trivia quizes")</f>
        <v>Unlock all trivia quizes</v>
      </c>
      <c r="E47" s="61" t="str">
        <f>IFERROR(__xludf.DUMMYFUNCTION("""COMPUTED_VALUE"""),"dr3van")</f>
        <v>dr3van</v>
      </c>
      <c r="F47" s="63">
        <f>IFERROR(__xludf.DUMMYFUNCTION("""COMPUTED_VALUE"""),41103.0)</f>
        <v>41103</v>
      </c>
    </row>
    <row r="48">
      <c r="A48" s="59" t="str">
        <f>IFERROR(__xludf.DUMMYFUNCTION("""COMPUTED_VALUE"""),"Sounddrop")</f>
        <v>Sounddrop</v>
      </c>
      <c r="B48" s="60"/>
      <c r="C48" s="61" t="str">
        <f>IFERROR(__xludf.DUMMYFUNCTION("""COMPUTED_VALUE"""),"Yes")</f>
        <v>Yes</v>
      </c>
      <c r="D48" s="62" t="str">
        <f>IFERROR(__xludf.DUMMYFUNCTION("""COMPUTED_VALUE"""),"Upgrade to pro ($2.99)")</f>
        <v>Upgrade to pro ($2.99)</v>
      </c>
      <c r="E48" s="61" t="str">
        <f>IFERROR(__xludf.DUMMYFUNCTION("""COMPUTED_VALUE"""),"dr3van")</f>
        <v>dr3van</v>
      </c>
      <c r="F48" s="63">
        <f>IFERROR(__xludf.DUMMYFUNCTION("""COMPUTED_VALUE"""),41103.0)</f>
        <v>41103</v>
      </c>
    </row>
    <row r="49">
      <c r="A49" s="59" t="str">
        <f>IFERROR(__xludf.DUMMYFUNCTION("""COMPUTED_VALUE"""),"StarDunk")</f>
        <v>StarDunk</v>
      </c>
      <c r="B49" s="60">
        <f>IFERROR(__xludf.DUMMYFUNCTION("""COMPUTED_VALUE"""),1.51)</f>
        <v>1.51</v>
      </c>
      <c r="C49" s="61" t="str">
        <f>IFERROR(__xludf.DUMMYFUNCTION("""COMPUTED_VALUE"""),"Yes")</f>
        <v>Yes</v>
      </c>
      <c r="D49" s="62" t="str">
        <f>IFERROR(__xludf.DUMMYFUNCTION("""COMPUTED_VALUE"""),"Can buy unlimited Starpoints and remove in-app ads")</f>
        <v>Can buy unlimited Starpoints and remove in-app ads</v>
      </c>
      <c r="E49" s="61" t="str">
        <f>IFERROR(__xludf.DUMMYFUNCTION("""COMPUTED_VALUE"""),"Sjunk")</f>
        <v>Sjunk</v>
      </c>
      <c r="F49" s="63">
        <f>IFERROR(__xludf.DUMMYFUNCTION("""COMPUTED_VALUE"""),41103.0)</f>
        <v>41103</v>
      </c>
    </row>
    <row r="50">
      <c r="A50" s="59" t="str">
        <f>IFERROR(__xludf.DUMMYFUNCTION("""COMPUTED_VALUE"""),"The Price Is Right Slots")</f>
        <v>The Price Is Right Slots</v>
      </c>
      <c r="B50" s="60" t="str">
        <f>IFERROR(__xludf.DUMMYFUNCTION("""COMPUTED_VALUE"""),"1.0.0")</f>
        <v>1.0.0</v>
      </c>
      <c r="C50" s="61" t="str">
        <f>IFERROR(__xludf.DUMMYFUNCTION("""COMPUTED_VALUE"""),"Yes")</f>
        <v>Yes</v>
      </c>
      <c r="D50" s="62" t="str">
        <f>IFERROR(__xludf.DUMMYFUNCTION("""COMPUTED_VALUE"""),"Buy unlimited coins")</f>
        <v>Buy unlimited coins</v>
      </c>
      <c r="E50" s="61" t="str">
        <f>IFERROR(__xludf.DUMMYFUNCTION("""COMPUTED_VALUE"""),"MRM316")</f>
        <v>MRM316</v>
      </c>
      <c r="F50" s="63">
        <f>IFERROR(__xludf.DUMMYFUNCTION("""COMPUTED_VALUE"""),41103.0)</f>
        <v>41103</v>
      </c>
    </row>
    <row r="51">
      <c r="A51" s="59" t="str">
        <f>IFERROR(__xludf.DUMMYFUNCTION("""COMPUTED_VALUE"""),"Urban Dictionary (slango)")</f>
        <v>Urban Dictionary (slango)</v>
      </c>
      <c r="B51" s="60"/>
      <c r="C51" s="61" t="str">
        <f>IFERROR(__xludf.DUMMYFUNCTION("""COMPUTED_VALUE"""),"Yes")</f>
        <v>Yes</v>
      </c>
      <c r="D51" s="62" t="str">
        <f>IFERROR(__xludf.DUMMYFUNCTION("""COMPUTED_VALUE"""),"Unlock Pro")</f>
        <v>Unlock Pro</v>
      </c>
      <c r="E51" s="61" t="str">
        <f>IFERROR(__xludf.DUMMYFUNCTION("""COMPUTED_VALUE"""),"dr3van")</f>
        <v>dr3van</v>
      </c>
      <c r="F51" s="63">
        <f>IFERROR(__xludf.DUMMYFUNCTION("""COMPUTED_VALUE"""),41103.0)</f>
        <v>41103</v>
      </c>
    </row>
    <row r="52">
      <c r="A52" s="59" t="str">
        <f>IFERROR(__xludf.DUMMYFUNCTION("""COMPUTED_VALUE"""),"Battleloot")</f>
        <v>Battleloot</v>
      </c>
      <c r="B52" s="60" t="str">
        <f>IFERROR(__xludf.DUMMYFUNCTION("""COMPUTED_VALUE"""),"1.0.4")</f>
        <v>1.0.4</v>
      </c>
      <c r="C52" s="61" t="str">
        <f>IFERROR(__xludf.DUMMYFUNCTION("""COMPUTED_VALUE"""),"Yes")</f>
        <v>Yes</v>
      </c>
      <c r="D52" s="62" t="str">
        <f>IFERROR(__xludf.DUMMYFUNCTION("""COMPUTED_VALUE"""),"Can Buy Coins")</f>
        <v>Can Buy Coins</v>
      </c>
      <c r="E52" s="61" t="str">
        <f>IFERROR(__xludf.DUMMYFUNCTION("""COMPUTED_VALUE"""),"NakedFury")</f>
        <v>NakedFury</v>
      </c>
      <c r="F52" s="63">
        <f>IFERROR(__xludf.DUMMYFUNCTION("""COMPUTED_VALUE"""),41099.0)</f>
        <v>41099</v>
      </c>
    </row>
    <row r="53">
      <c r="A53" s="59" t="str">
        <f>IFERROR(__xludf.DUMMYFUNCTION("""COMPUTED_VALUE"""),"Omega Strikefleet")</f>
        <v>Omega Strikefleet</v>
      </c>
      <c r="B53" s="60" t="str">
        <f>IFERROR(__xludf.DUMMYFUNCTION("""COMPUTED_VALUE"""),"1.1.0")</f>
        <v>1.1.0</v>
      </c>
      <c r="C53" s="61" t="str">
        <f>IFERROR(__xludf.DUMMYFUNCTION("""COMPUTED_VALUE"""),"Yes")</f>
        <v>Yes</v>
      </c>
      <c r="D53" s="62" t="str">
        <f>IFERROR(__xludf.DUMMYFUNCTION("""COMPUTED_VALUE"""),"Can buy Alloys and Megacreds")</f>
        <v>Can buy Alloys and Megacreds</v>
      </c>
      <c r="E53" s="61" t="str">
        <f>IFERROR(__xludf.DUMMYFUNCTION("""COMPUTED_VALUE"""),"NakedFury")</f>
        <v>NakedFury</v>
      </c>
      <c r="F53" s="63">
        <f>IFERROR(__xludf.DUMMYFUNCTION("""COMPUTED_VALUE"""),41099.0)</f>
        <v>41099</v>
      </c>
    </row>
    <row r="54">
      <c r="A54" s="59" t="str">
        <f>IFERROR(__xludf.DUMMYFUNCTION("""COMPUTED_VALUE"""),"TopGear Stunt School Revolution")</f>
        <v>TopGear Stunt School Revolution</v>
      </c>
      <c r="B54" s="60" t="str">
        <f>IFERROR(__xludf.DUMMYFUNCTION("""COMPUTED_VALUE"""),"All Versions ")</f>
        <v>All Versions </v>
      </c>
      <c r="C54" s="61" t="str">
        <f>IFERROR(__xludf.DUMMYFUNCTION("""COMPUTED_VALUE"""),"Yes")</f>
        <v>Yes</v>
      </c>
      <c r="D54" s="62" t="str">
        <f>IFERROR(__xludf.DUMMYFUNCTION("""COMPUTED_VALUE"""),"Can purchase everything.")</f>
        <v>Can purchase everything.</v>
      </c>
      <c r="E54" s="61"/>
      <c r="F54" s="63">
        <f>IFERROR(__xludf.DUMMYFUNCTION("""COMPUTED_VALUE"""),41098.0)</f>
        <v>41098</v>
      </c>
    </row>
    <row r="55">
      <c r="A55" s="59" t="str">
        <f>IFERROR(__xludf.DUMMYFUNCTION("""COMPUTED_VALUE"""),"Pocket Planes")</f>
        <v>Pocket Planes</v>
      </c>
      <c r="B55" s="60" t="str">
        <f>IFERROR(__xludf.DUMMYFUNCTION("""COMPUTED_VALUE"""),"All versions")</f>
        <v>All versions</v>
      </c>
      <c r="C55" s="61" t="str">
        <f>IFERROR(__xludf.DUMMYFUNCTION("""COMPUTED_VALUE"""),"Yes")</f>
        <v>Yes</v>
      </c>
      <c r="D55" s="62" t="str">
        <f>IFERROR(__xludf.DUMMYFUNCTION("""COMPUTED_VALUE"""),"All ""Bux"" Purchases immediately go thtough + stack!")</f>
        <v>All "Bux" Purchases immediately go thtough + stack!</v>
      </c>
      <c r="E55" s="61" t="str">
        <f>IFERROR(__xludf.DUMMYFUNCTION("""COMPUTED_VALUE"""),"Andy:)")</f>
        <v>Andy:)</v>
      </c>
      <c r="F55" s="63">
        <f>IFERROR(__xludf.DUMMYFUNCTION("""COMPUTED_VALUE"""),41097.0)</f>
        <v>41097</v>
      </c>
    </row>
    <row r="56">
      <c r="A56" s="59" t="str">
        <f>IFERROR(__xludf.DUMMYFUNCTION("""COMPUTED_VALUE"""),"Dinner Dash Deluxe")</f>
        <v>Dinner Dash Deluxe</v>
      </c>
      <c r="B56" s="60" t="str">
        <f>IFERROR(__xludf.DUMMYFUNCTION("""COMPUTED_VALUE"""),"3.14.S")</f>
        <v>3.14.S</v>
      </c>
      <c r="C56" s="61" t="str">
        <f>IFERROR(__xludf.DUMMYFUNCTION("""COMPUTED_VALUE"""),"Yes")</f>
        <v>Yes</v>
      </c>
      <c r="D56" s="62" t="str">
        <f>IFERROR(__xludf.DUMMYFUNCTION("""COMPUTED_VALUE"""),"Can purchase everything like levels, items. Purchase window pop up, but you will get what you need right after you hit the button. ")</f>
        <v>Can purchase everything like levels, items. Purchase window pop up, but you will get what you need right after you hit the button. </v>
      </c>
      <c r="E56" s="61" t="str">
        <f>IFERROR(__xludf.DUMMYFUNCTION("""COMPUTED_VALUE"""),"alanle92")</f>
        <v>alanle92</v>
      </c>
      <c r="F56" s="63">
        <f>IFERROR(__xludf.DUMMYFUNCTION("""COMPUTED_VALUE"""),41096.0)</f>
        <v>41096</v>
      </c>
    </row>
    <row r="57">
      <c r="A57" s="59" t="str">
        <f>IFERROR(__xludf.DUMMYFUNCTION("""COMPUTED_VALUE"""),"Plague Inc.")</f>
        <v>Plague Inc.</v>
      </c>
      <c r="B57" s="60" t="str">
        <f>IFERROR(__xludf.DUMMYFUNCTION("""COMPUTED_VALUE"""),"All Versions")</f>
        <v>All Versions</v>
      </c>
      <c r="C57" s="61" t="str">
        <f>IFERROR(__xludf.DUMMYFUNCTION("""COMPUTED_VALUE"""),"Yes")</f>
        <v>Yes</v>
      </c>
      <c r="D57" s="62" t="str">
        <f>IFERROR(__xludf.DUMMYFUNCTION("""COMPUTED_VALUE"""),"Purchase Succesful")</f>
        <v>Purchase Succesful</v>
      </c>
      <c r="E57" s="61" t="str">
        <f>IFERROR(__xludf.DUMMYFUNCTION("""COMPUTED_VALUE"""),"X--LeThaLzz")</f>
        <v>X--LeThaLzz</v>
      </c>
      <c r="F57" s="63">
        <f>IFERROR(__xludf.DUMMYFUNCTION("""COMPUTED_VALUE"""),41096.0)</f>
        <v>41096</v>
      </c>
    </row>
    <row r="58">
      <c r="A58" s="59" t="str">
        <f>IFERROR(__xludf.DUMMYFUNCTION("""COMPUTED_VALUE"""),"Toy Defense")</f>
        <v>Toy Defense</v>
      </c>
      <c r="B58" s="60" t="str">
        <f>IFERROR(__xludf.DUMMYFUNCTION("""COMPUTED_VALUE"""),"1.2.1")</f>
        <v>1.2.1</v>
      </c>
      <c r="C58" s="61" t="str">
        <f>IFERROR(__xludf.DUMMYFUNCTION("""COMPUTED_VALUE"""),"Yes")</f>
        <v>Yes</v>
      </c>
      <c r="D58" s="62" t="str">
        <f>IFERROR(__xludf.DUMMYFUNCTION("""COMPUTED_VALUE"""),"Purchase Succesful")</f>
        <v>Purchase Succesful</v>
      </c>
      <c r="E58" s="61" t="str">
        <f>IFERROR(__xludf.DUMMYFUNCTION("""COMPUTED_VALUE"""),"Hobgoblin")</f>
        <v>Hobgoblin</v>
      </c>
      <c r="F58" s="63">
        <f>IFERROR(__xludf.DUMMYFUNCTION("""COMPUTED_VALUE"""),41096.0)</f>
        <v>41096</v>
      </c>
    </row>
    <row r="59">
      <c r="A59" s="59" t="str">
        <f>IFERROR(__xludf.DUMMYFUNCTION("""COMPUTED_VALUE"""),"DragonVale")</f>
        <v>DragonVale</v>
      </c>
      <c r="B59" s="60" t="str">
        <f>IFERROR(__xludf.DUMMYFUNCTION("""COMPUTED_VALUE"""),"1.8.1")</f>
        <v>1.8.1</v>
      </c>
      <c r="C59" s="61" t="str">
        <f>IFERROR(__xludf.DUMMYFUNCTION("""COMPUTED_VALUE"""),"Yes")</f>
        <v>Yes</v>
      </c>
      <c r="D59" s="62" t="str">
        <f>IFERROR(__xludf.DUMMYFUNCTION("""COMPUTED_VALUE"""),"Still works on everything")</f>
        <v>Still works on everything</v>
      </c>
      <c r="E59" s="61"/>
      <c r="F59" s="63">
        <f>IFERROR(__xludf.DUMMYFUNCTION("""COMPUTED_VALUE"""),41095.0)</f>
        <v>41095</v>
      </c>
    </row>
    <row r="60">
      <c r="A60" s="59" t="str">
        <f>IFERROR(__xludf.DUMMYFUNCTION("""COMPUTED_VALUE"""),"Tiny Troopers")</f>
        <v>Tiny Troopers</v>
      </c>
      <c r="B60" s="60">
        <f>IFERROR(__xludf.DUMMYFUNCTION("""COMPUTED_VALUE"""),1.1)</f>
        <v>1.1</v>
      </c>
      <c r="C60" s="61" t="str">
        <f>IFERROR(__xludf.DUMMYFUNCTION("""COMPUTED_VALUE"""),"Yes")</f>
        <v>Yes</v>
      </c>
      <c r="D60" s="62" t="str">
        <f>IFERROR(__xludf.DUMMYFUNCTION("""COMPUTED_VALUE"""),"Can purchase everything. You have to push buy repeatedly fast and it will work. Works great. ")</f>
        <v>Can purchase everything. You have to push buy repeatedly fast and it will work. Works great. </v>
      </c>
      <c r="E60" s="61"/>
      <c r="F60" s="63">
        <f>IFERROR(__xludf.DUMMYFUNCTION("""COMPUTED_VALUE"""),41095.0)</f>
        <v>41095</v>
      </c>
    </row>
    <row r="61">
      <c r="A61" s="59" t="str">
        <f>IFERROR(__xludf.DUMMYFUNCTION("""COMPUTED_VALUE"""),"Flow Free")</f>
        <v>Flow Free</v>
      </c>
      <c r="B61" s="60" t="str">
        <f>IFERROR(__xludf.DUMMYFUNCTION("""COMPUTED_VALUE"""),"1.0")</f>
        <v>1.0</v>
      </c>
      <c r="C61" s="61" t="str">
        <f>IFERROR(__xludf.DUMMYFUNCTION("""COMPUTED_VALUE"""),"Yes")</f>
        <v>Yes</v>
      </c>
      <c r="D61" s="62" t="str">
        <f>IFERROR(__xludf.DUMMYFUNCTION("""COMPUTED_VALUE"""),"Purchase new puzzle packs")</f>
        <v>Purchase new puzzle packs</v>
      </c>
      <c r="E61" s="61" t="str">
        <f>IFERROR(__xludf.DUMMYFUNCTION("""COMPUTED_VALUE"""),"carlinhos")</f>
        <v>carlinhos</v>
      </c>
      <c r="F61" s="63">
        <f>IFERROR(__xludf.DUMMYFUNCTION("""COMPUTED_VALUE"""),41092.0)</f>
        <v>41092</v>
      </c>
    </row>
    <row r="62">
      <c r="A62" s="59" t="str">
        <f>IFERROR(__xludf.DUMMYFUNCTION("""COMPUTED_VALUE"""),"MailShot")</f>
        <v>MailShot</v>
      </c>
      <c r="B62" s="60" t="str">
        <f>IFERROR(__xludf.DUMMYFUNCTION("""COMPUTED_VALUE"""),"2.0")</f>
        <v>2.0</v>
      </c>
      <c r="C62" s="61" t="str">
        <f>IFERROR(__xludf.DUMMYFUNCTION("""COMPUTED_VALUE"""),"Yes")</f>
        <v>Yes</v>
      </c>
      <c r="D62" s="62" t="str">
        <f>IFERROR(__xludf.DUMMYFUNCTION("""COMPUTED_VALUE"""),"Upgrade to be able to add more than 6 contacts")</f>
        <v>Upgrade to be able to add more than 6 contacts</v>
      </c>
      <c r="E62" s="61" t="str">
        <f>IFERROR(__xludf.DUMMYFUNCTION("""COMPUTED_VALUE"""),"carlinhos")</f>
        <v>carlinhos</v>
      </c>
      <c r="F62" s="63">
        <f>IFERROR(__xludf.DUMMYFUNCTION("""COMPUTED_VALUE"""),41092.0)</f>
        <v>41092</v>
      </c>
    </row>
    <row r="63">
      <c r="A63" s="59" t="str">
        <f>IFERROR(__xludf.DUMMYFUNCTION("""COMPUTED_VALUE"""),"Logo Quiz")</f>
        <v>Logo Quiz</v>
      </c>
      <c r="B63" s="60" t="str">
        <f>IFERROR(__xludf.DUMMYFUNCTION("""COMPUTED_VALUE"""),"1.3.0")</f>
        <v>1.3.0</v>
      </c>
      <c r="C63" s="61" t="str">
        <f>IFERROR(__xludf.DUMMYFUNCTION("""COMPUTED_VALUE"""),"Yes")</f>
        <v>Yes</v>
      </c>
      <c r="D63" s="62" t="str">
        <f>IFERROR(__xludf.DUMMYFUNCTION("""COMPUTED_VALUE"""),"Can purchase more hints")</f>
        <v>Can purchase more hints</v>
      </c>
      <c r="E63" s="61" t="str">
        <f>IFERROR(__xludf.DUMMYFUNCTION("""COMPUTED_VALUE"""),"JJaquez")</f>
        <v>JJaquez</v>
      </c>
      <c r="F63" s="63">
        <f>IFERROR(__xludf.DUMMYFUNCTION("""COMPUTED_VALUE"""),41090.0)</f>
        <v>41090</v>
      </c>
    </row>
    <row r="64">
      <c r="A64" s="59" t="str">
        <f>IFERROR(__xludf.DUMMYFUNCTION("""COMPUTED_VALUE"""),"Temple Run Brave")</f>
        <v>Temple Run Brave</v>
      </c>
      <c r="B64" s="60"/>
      <c r="C64" s="61" t="str">
        <f>IFERROR(__xludf.DUMMYFUNCTION("""COMPUTED_VALUE"""),"Yes")</f>
        <v>Yes</v>
      </c>
      <c r="D64" s="62" t="str">
        <f>IFERROR(__xludf.DUMMYFUNCTION("""COMPUTED_VALUE"""),"Purchase everything from store (coins)")</f>
        <v>Purchase everything from store (coins)</v>
      </c>
      <c r="E64" s="61" t="str">
        <f>IFERROR(__xludf.DUMMYFUNCTION("""COMPUTED_VALUE"""),"DemonicZeus")</f>
        <v>DemonicZeus</v>
      </c>
      <c r="F64" s="63">
        <f>IFERROR(__xludf.DUMMYFUNCTION("""COMPUTED_VALUE"""),41067.0)</f>
        <v>41067</v>
      </c>
    </row>
    <row r="65">
      <c r="A65" s="59" t="str">
        <f>IFERROR(__xludf.DUMMYFUNCTION("""COMPUTED_VALUE"""),"Cheats for PS3")</f>
        <v>Cheats for PS3</v>
      </c>
      <c r="B65" s="60">
        <f>IFERROR(__xludf.DUMMYFUNCTION("""COMPUTED_VALUE"""),1.6)</f>
        <v>1.6</v>
      </c>
      <c r="C65" s="61" t="str">
        <f>IFERROR(__xludf.DUMMYFUNCTION("""COMPUTED_VALUE"""),"Yes")</f>
        <v>Yes</v>
      </c>
      <c r="D65" s="62" t="str">
        <f>IFERROR(__xludf.DUMMYFUNCTION("""COMPUTED_VALUE"""),"It works I bought the cheat of FIFA 12")</f>
        <v>It works I bought the cheat of FIFA 12</v>
      </c>
      <c r="E65" s="61" t="str">
        <f>IFERROR(__xludf.DUMMYFUNCTION("""COMPUTED_VALUE"""),"Michael Joel")</f>
        <v>Michael Joel</v>
      </c>
      <c r="F65" s="63">
        <f>IFERROR(__xludf.DUMMYFUNCTION("""COMPUTED_VALUE"""),41043.0)</f>
        <v>41043</v>
      </c>
    </row>
    <row r="66">
      <c r="A66" s="59" t="str">
        <f>IFERROR(__xludf.DUMMYFUNCTION("""COMPUTED_VALUE"""),"Legend of Master+")</f>
        <v>Legend of Master+</v>
      </c>
      <c r="B66" s="60" t="str">
        <f>IFERROR(__xludf.DUMMYFUNCTION("""COMPUTED_VALUE"""),"1.0.1")</f>
        <v>1.0.1</v>
      </c>
      <c r="C66" s="61" t="str">
        <f>IFERROR(__xludf.DUMMYFUNCTION("""COMPUTED_VALUE"""),"Yes")</f>
        <v>Yes</v>
      </c>
      <c r="D66" s="62" t="str">
        <f>IFERROR(__xludf.DUMMYFUNCTION("""COMPUTED_VALUE"""),"Can purchase from shop")</f>
        <v>Can purchase from shop</v>
      </c>
      <c r="E66" s="61" t="str">
        <f>IFERROR(__xludf.DUMMYFUNCTION("""COMPUTED_VALUE"""),"Hibang")</f>
        <v>Hibang</v>
      </c>
      <c r="F66" s="63">
        <f>IFERROR(__xludf.DUMMYFUNCTION("""COMPUTED_VALUE"""),41043.0)</f>
        <v>41043</v>
      </c>
    </row>
    <row r="67">
      <c r="A67" s="19" t="str">
        <f>IFERROR(__xludf.DUMMYFUNCTION("""COMPUTED_VALUE"""),"NBA.TV")</f>
        <v>NBA.TV</v>
      </c>
      <c r="B67" s="60">
        <f>IFERROR(__xludf.DUMMYFUNCTION("""COMPUTED_VALUE"""),1.3)</f>
        <v>1.3</v>
      </c>
      <c r="C67" s="61" t="str">
        <f>IFERROR(__xludf.DUMMYFUNCTION("""COMPUTED_VALUE"""),"Yes")</f>
        <v>Yes</v>
      </c>
      <c r="D67" s="62" t="str">
        <f>IFERROR(__xludf.DUMMYFUNCTION("""COMPUTED_VALUE"""),"You buy the TV pass and you will get it")</f>
        <v>You buy the TV pass and you will get it</v>
      </c>
      <c r="E67" s="61" t="str">
        <f>IFERROR(__xludf.DUMMYFUNCTION("""COMPUTED_VALUE"""),"Michael Joel")</f>
        <v>Michael Joel</v>
      </c>
      <c r="F67" s="63">
        <f>IFERROR(__xludf.DUMMYFUNCTION("""COMPUTED_VALUE"""),41043.0)</f>
        <v>41043</v>
      </c>
    </row>
    <row r="68">
      <c r="A68" s="59" t="str">
        <f>IFERROR(__xludf.DUMMYFUNCTION("""COMPUTED_VALUE"""),"Official UEFA EURO 2012")</f>
        <v>Official UEFA EURO 2012</v>
      </c>
      <c r="B68" s="60">
        <f>IFERROR(__xludf.DUMMYFUNCTION("""COMPUTED_VALUE"""),1.1)</f>
        <v>1.1</v>
      </c>
      <c r="C68" s="61" t="str">
        <f>IFERROR(__xludf.DUMMYFUNCTION("""COMPUTED_VALUE"""),"Yes")</f>
        <v>Yes</v>
      </c>
      <c r="D68" s="62" t="str">
        <f>IFERROR(__xludf.DUMMYFUNCTION("""COMPUTED_VALUE"""),"You buy the season pass and you will get it")</f>
        <v>You buy the season pass and you will get it</v>
      </c>
      <c r="E68" s="61" t="str">
        <f>IFERROR(__xludf.DUMMYFUNCTION("""COMPUTED_VALUE"""),"Michael Joel")</f>
        <v>Michael Joel</v>
      </c>
      <c r="F68" s="63">
        <f>IFERROR(__xludf.DUMMYFUNCTION("""COMPUTED_VALUE"""),41043.0)</f>
        <v>41043</v>
      </c>
    </row>
    <row r="69">
      <c r="A69" s="59" t="str">
        <f>IFERROR(__xludf.DUMMYFUNCTION("""COMPUTED_VALUE"""),"Australias Got Talent")</f>
        <v>Australias Got Talent</v>
      </c>
      <c r="B69" s="60"/>
      <c r="C69" s="61" t="str">
        <f>IFERROR(__xludf.DUMMYFUNCTION("""COMPUTED_VALUE"""),"Yes")</f>
        <v>Yes</v>
      </c>
      <c r="D69" s="62" t="str">
        <f>IFERROR(__xludf.DUMMYFUNCTION("""COMPUTED_VALUE"""),"Can purchase free votes...I CAN RIG AGT")</f>
        <v>Can purchase free votes...I CAN RIG AGT</v>
      </c>
      <c r="E69" s="61" t="str">
        <f>IFERROR(__xludf.DUMMYFUNCTION("""COMPUTED_VALUE"""),"Pitto")</f>
        <v>Pitto</v>
      </c>
      <c r="F69" s="63">
        <f>IFERROR(__xludf.DUMMYFUNCTION("""COMPUTED_VALUE"""),41042.0)</f>
        <v>41042</v>
      </c>
    </row>
    <row r="70">
      <c r="A70" s="59" t="str">
        <f>IFERROR(__xludf.DUMMYFUNCTION("""COMPUTED_VALUE"""),"Adventure Bar Story")</f>
        <v>Adventure Bar Story</v>
      </c>
      <c r="B70" s="60">
        <f>IFERROR(__xludf.DUMMYFUNCTION("""COMPUTED_VALUE"""),1.1)</f>
        <v>1.1</v>
      </c>
      <c r="C70" s="61" t="str">
        <f>IFERROR(__xludf.DUMMYFUNCTION("""COMPUTED_VALUE"""),"Yes")</f>
        <v>Yes</v>
      </c>
      <c r="D70" s="62" t="str">
        <f>IFERROR(__xludf.DUMMYFUNCTION("""COMPUTED_VALUE"""),"Can purchase Jewels")</f>
        <v>Can purchase Jewels</v>
      </c>
      <c r="E70" s="61" t="str">
        <f>IFERROR(__xludf.DUMMYFUNCTION("""COMPUTED_VALUE"""),"Natsuu")</f>
        <v>Natsuu</v>
      </c>
      <c r="F70" s="63">
        <f>IFERROR(__xludf.DUMMYFUNCTION("""COMPUTED_VALUE"""),41041.0)</f>
        <v>41041</v>
      </c>
    </row>
    <row r="71">
      <c r="A71" s="59" t="str">
        <f>IFERROR(__xludf.DUMMYFUNCTION("""COMPUTED_VALUE"""),"Chicken Rain")</f>
        <v>Chicken Rain</v>
      </c>
      <c r="B71" s="60"/>
      <c r="C71" s="61" t="str">
        <f>IFERROR(__xludf.DUMMYFUNCTION("""COMPUTED_VALUE"""),"Yes")</f>
        <v>Yes</v>
      </c>
      <c r="D71" s="62" t="str">
        <f>IFERROR(__xludf.DUMMYFUNCTION("""COMPUTED_VALUE"""),"Can purchase coins")</f>
        <v>Can purchase coins</v>
      </c>
      <c r="E71" s="61" t="str">
        <f>IFERROR(__xludf.DUMMYFUNCTION("""COMPUTED_VALUE"""),"Natsuu")</f>
        <v>Natsuu</v>
      </c>
      <c r="F71" s="63">
        <f>IFERROR(__xludf.DUMMYFUNCTION("""COMPUTED_VALUE"""),41041.0)</f>
        <v>41041</v>
      </c>
    </row>
    <row r="72">
      <c r="A72" s="59" t="str">
        <f>IFERROR(__xludf.DUMMYFUNCTION("""COMPUTED_VALUE"""),"Madcoaster")</f>
        <v>Madcoaster</v>
      </c>
      <c r="B72" s="60">
        <f>IFERROR(__xludf.DUMMYFUNCTION("""COMPUTED_VALUE"""),1.2)</f>
        <v>1.2</v>
      </c>
      <c r="C72" s="61" t="str">
        <f>IFERROR(__xludf.DUMMYFUNCTION("""COMPUTED_VALUE"""),"Yes")</f>
        <v>Yes</v>
      </c>
      <c r="D72" s="62" t="str">
        <f>IFERROR(__xludf.DUMMYFUNCTION("""COMPUTED_VALUE"""),"Can buy coins to use in store.")</f>
        <v>Can buy coins to use in store.</v>
      </c>
      <c r="E72" s="61" t="str">
        <f>IFERROR(__xludf.DUMMYFUNCTION("""COMPUTED_VALUE"""),"Natsuu")</f>
        <v>Natsuu</v>
      </c>
      <c r="F72" s="63">
        <f>IFERROR(__xludf.DUMMYFUNCTION("""COMPUTED_VALUE"""),41041.0)</f>
        <v>41041</v>
      </c>
    </row>
    <row r="73">
      <c r="A73" s="59" t="str">
        <f>IFERROR(__xludf.DUMMYFUNCTION("""COMPUTED_VALUE"""),"Muffin Knight FREE")</f>
        <v>Muffin Knight FREE</v>
      </c>
      <c r="B73" s="60">
        <f>IFERROR(__xludf.DUMMYFUNCTION("""COMPUTED_VALUE"""),1.5)</f>
        <v>1.5</v>
      </c>
      <c r="C73" s="61" t="str">
        <f>IFERROR(__xludf.DUMMYFUNCTION("""COMPUTED_VALUE"""),"Yes")</f>
        <v>Yes</v>
      </c>
      <c r="D73" s="62" t="str">
        <f>IFERROR(__xludf.DUMMYFUNCTION("""COMPUTED_VALUE"""),"Can purchase level up points.")</f>
        <v>Can purchase level up points.</v>
      </c>
      <c r="E73" s="61" t="str">
        <f>IFERROR(__xludf.DUMMYFUNCTION("""COMPUTED_VALUE"""),"Natsuu")</f>
        <v>Natsuu</v>
      </c>
      <c r="F73" s="63">
        <f>IFERROR(__xludf.DUMMYFUNCTION("""COMPUTED_VALUE"""),41041.0)</f>
        <v>41041</v>
      </c>
    </row>
    <row r="74">
      <c r="A74" s="59" t="str">
        <f>IFERROR(__xludf.DUMMYFUNCTION("""COMPUTED_VALUE"""),"Angry Birds: Space")</f>
        <v>Angry Birds: Space</v>
      </c>
      <c r="B74" s="60"/>
      <c r="C74" s="61" t="str">
        <f>IFERROR(__xludf.DUMMYFUNCTION("""COMPUTED_VALUE"""),"Yes")</f>
        <v>Yes</v>
      </c>
      <c r="D74" s="62" t="str">
        <f>IFERROR(__xludf.DUMMYFUNCTION("""COMPUTED_VALUE"""),"Gives Space Eagle")</f>
        <v>Gives Space Eagle</v>
      </c>
      <c r="E74" s="61" t="str">
        <f>IFERROR(__xludf.DUMMYFUNCTION("""COMPUTED_VALUE"""),"anonymous")</f>
        <v>anonymous</v>
      </c>
      <c r="F74" s="63">
        <f>IFERROR(__xludf.DUMMYFUNCTION("""COMPUTED_VALUE"""),41009.0)</f>
        <v>41009</v>
      </c>
    </row>
    <row r="75">
      <c r="A75" s="59" t="str">
        <f>IFERROR(__xludf.DUMMYFUNCTION("""COMPUTED_VALUE"""),"Virtual City 2")</f>
        <v>Virtual City 2</v>
      </c>
      <c r="B75" s="60"/>
      <c r="C75" s="61" t="str">
        <f>IFERROR(__xludf.DUMMYFUNCTION("""COMPUTED_VALUE"""),"Yes")</f>
        <v>Yes</v>
      </c>
      <c r="D75" s="62"/>
      <c r="E75" s="61"/>
      <c r="F75" s="63">
        <f>IFERROR(__xludf.DUMMYFUNCTION("""COMPUTED_VALUE"""),41007.0)</f>
        <v>41007</v>
      </c>
    </row>
    <row r="76">
      <c r="A76" s="59" t="str">
        <f>IFERROR(__xludf.DUMMYFUNCTION("""COMPUTED_VALUE"""),"Dino Zoo")</f>
        <v>Dino Zoo</v>
      </c>
      <c r="B76" s="60"/>
      <c r="C76" s="61" t="str">
        <f>IFERROR(__xludf.DUMMYFUNCTION("""COMPUTED_VALUE"""),"Yes")</f>
        <v>Yes</v>
      </c>
      <c r="D76" s="62" t="str">
        <f>IFERROR(__xludf.DUMMYFUNCTION("""COMPUTED_VALUE"""),"Works for everything")</f>
        <v>Works for everything</v>
      </c>
      <c r="E76" s="61"/>
      <c r="F76" s="63">
        <f>IFERROR(__xludf.DUMMYFUNCTION("""COMPUTED_VALUE"""),41005.0)</f>
        <v>41005</v>
      </c>
    </row>
    <row r="77">
      <c r="A77" s="59" t="str">
        <f>IFERROR(__xludf.DUMMYFUNCTION("""COMPUTED_VALUE"""),"Illusia")</f>
        <v>Illusia</v>
      </c>
      <c r="B77" s="60"/>
      <c r="C77" s="61" t="str">
        <f>IFERROR(__xludf.DUMMYFUNCTION("""COMPUTED_VALUE"""),"Yes")</f>
        <v>Yes</v>
      </c>
      <c r="D77" s="62" t="str">
        <f>IFERROR(__xludf.DUMMYFUNCTION("""COMPUTED_VALUE"""),"Purchase perfectly all paid items from the booth! ( can buy level 200 armor packs then expand them and sell them again.. repeat for infinite money :D)")</f>
        <v>Purchase perfectly all paid items from the booth! ( can buy level 200 armor packs then expand them and sell them again.. repeat for infinite money :D)</v>
      </c>
      <c r="E77" s="61" t="str">
        <f>IFERROR(__xludf.DUMMYFUNCTION("""COMPUTED_VALUE"""),"Spirit2")</f>
        <v>Spirit2</v>
      </c>
      <c r="F77" s="63">
        <f>IFERROR(__xludf.DUMMYFUNCTION("""COMPUTED_VALUE"""),41005.0)</f>
        <v>41005</v>
      </c>
    </row>
    <row r="78">
      <c r="A78" s="59" t="str">
        <f>IFERROR(__xludf.DUMMYFUNCTION("""COMPUTED_VALUE"""),"Monster City")</f>
        <v>Monster City</v>
      </c>
      <c r="B78" s="60"/>
      <c r="C78" s="61" t="str">
        <f>IFERROR(__xludf.DUMMYFUNCTION("""COMPUTED_VALUE"""),"Yes")</f>
        <v>Yes</v>
      </c>
      <c r="D78" s="62" t="str">
        <f>IFERROR(__xludf.DUMMYFUNCTION("""COMPUTED_VALUE"""),"Works for everything")</f>
        <v>Works for everything</v>
      </c>
      <c r="E78" s="61"/>
      <c r="F78" s="63">
        <f>IFERROR(__xludf.DUMMYFUNCTION("""COMPUTED_VALUE"""),41005.0)</f>
        <v>41005</v>
      </c>
    </row>
    <row r="79">
      <c r="A79" s="59" t="str">
        <f>IFERROR(__xludf.DUMMYFUNCTION("""COMPUTED_VALUE"""),"The Tribez")</f>
        <v>The Tribez</v>
      </c>
      <c r="B79" s="60"/>
      <c r="C79" s="61" t="str">
        <f>IFERROR(__xludf.DUMMYFUNCTION("""COMPUTED_VALUE"""),"Yes")</f>
        <v>Yes</v>
      </c>
      <c r="D79" s="62" t="str">
        <f>IFERROR(__xludf.DUMMYFUNCTION("""COMPUTED_VALUE"""),"Works for Gold and Gems")</f>
        <v>Works for Gold and Gems</v>
      </c>
      <c r="E79" s="61" t="str">
        <f>IFERROR(__xludf.DUMMYFUNCTION("""COMPUTED_VALUE"""),"Perry")</f>
        <v>Perry</v>
      </c>
      <c r="F79" s="63">
        <f>IFERROR(__xludf.DUMMYFUNCTION("""COMPUTED_VALUE"""),41005.0)</f>
        <v>41005</v>
      </c>
    </row>
    <row r="80">
      <c r="A80" s="59" t="str">
        <f>IFERROR(__xludf.DUMMYFUNCTION("""COMPUTED_VALUE"""),"Autotrader")</f>
        <v>Autotrader</v>
      </c>
      <c r="B80" s="60" t="str">
        <f>IFERROR(__xludf.DUMMYFUNCTION("""COMPUTED_VALUE"""),"V.2.2.0")</f>
        <v>V.2.2.0</v>
      </c>
      <c r="C80" s="61" t="str">
        <f>IFERROR(__xludf.DUMMYFUNCTION("""COMPUTED_VALUE"""),"Yes")</f>
        <v>Yes</v>
      </c>
      <c r="D80" s="62" t="str">
        <f>IFERROR(__xludf.DUMMYFUNCTION("""COMPUTED_VALUE"""),"Works on vehicle check, usually £3.99")</f>
        <v>Works on vehicle check, usually £3.99</v>
      </c>
      <c r="E80" s="61" t="str">
        <f>IFERROR(__xludf.DUMMYFUNCTION("""COMPUTED_VALUE"""),"Stiggyb1234")</f>
        <v>Stiggyb1234</v>
      </c>
      <c r="F80" s="63">
        <f>IFERROR(__xludf.DUMMYFUNCTION("""COMPUTED_VALUE"""),41004.0)</f>
        <v>41004</v>
      </c>
    </row>
    <row r="81">
      <c r="A81" s="59" t="str">
        <f>IFERROR(__xludf.DUMMYFUNCTION("""COMPUTED_VALUE"""),"Cocktail Flow")</f>
        <v>Cocktail Flow</v>
      </c>
      <c r="B81" s="60" t="str">
        <f>IFERROR(__xludf.DUMMYFUNCTION("""COMPUTED_VALUE"""),"1.0.2")</f>
        <v>1.0.2</v>
      </c>
      <c r="C81" s="61" t="str">
        <f>IFERROR(__xludf.DUMMYFUNCTION("""COMPUTED_VALUE"""),"Yes")</f>
        <v>Yes</v>
      </c>
      <c r="D81" s="62" t="str">
        <f>IFERROR(__xludf.DUMMYFUNCTION("""COMPUTED_VALUE"""),"Can purchase all store premium packages.")</f>
        <v>Can purchase all store premium packages.</v>
      </c>
      <c r="E81" s="61" t="str">
        <f>IFERROR(__xludf.DUMMYFUNCTION("""COMPUTED_VALUE"""),"QretywX")</f>
        <v>QretywX</v>
      </c>
      <c r="F81" s="63">
        <f>IFERROR(__xludf.DUMMYFUNCTION("""COMPUTED_VALUE"""),40973.0)</f>
        <v>40973</v>
      </c>
    </row>
    <row r="82">
      <c r="A82" s="59" t="str">
        <f>IFERROR(__xludf.DUMMYFUNCTION("""COMPUTED_VALUE"""),"Diamond Dash")</f>
        <v>Diamond Dash</v>
      </c>
      <c r="B82" s="60" t="str">
        <f>IFERROR(__xludf.DUMMYFUNCTION("""COMPUTED_VALUE"""),"2.0.1")</f>
        <v>2.0.1</v>
      </c>
      <c r="C82" s="61" t="str">
        <f>IFERROR(__xludf.DUMMYFUNCTION("""COMPUTED_VALUE"""),"Yes")</f>
        <v>Yes</v>
      </c>
      <c r="D82" s="62" t="str">
        <f>IFERROR(__xludf.DUMMYFUNCTION("""COMPUTED_VALUE"""),"It works if you have not log in appstore yet.")</f>
        <v>It works if you have not log in appstore yet.</v>
      </c>
      <c r="E82" s="61" t="str">
        <f>IFERROR(__xludf.DUMMYFUNCTION("""COMPUTED_VALUE"""),"ShadowDArK")</f>
        <v>ShadowDArK</v>
      </c>
      <c r="F82" s="63">
        <f>IFERROR(__xludf.DUMMYFUNCTION("""COMPUTED_VALUE"""),40973.0)</f>
        <v>40973</v>
      </c>
    </row>
    <row r="83">
      <c r="A83" s="59" t="str">
        <f>IFERROR(__xludf.DUMMYFUNCTION("""COMPUTED_VALUE"""),"Overkill")</f>
        <v>Overkill</v>
      </c>
      <c r="B83" s="60" t="str">
        <f>IFERROR(__xludf.DUMMYFUNCTION("""COMPUTED_VALUE"""),"2.0.0")</f>
        <v>2.0.0</v>
      </c>
      <c r="C83" s="61" t="str">
        <f>IFERROR(__xludf.DUMMYFUNCTION("""COMPUTED_VALUE"""),"Yes")</f>
        <v>Yes</v>
      </c>
      <c r="D83" s="62" t="str">
        <f>IFERROR(__xludf.DUMMYFUNCTION("""COMPUTED_VALUE"""),"It works if you have not log in appstore yet.")</f>
        <v>It works if you have not log in appstore yet.</v>
      </c>
      <c r="E83" s="61" t="str">
        <f>IFERROR(__xludf.DUMMYFUNCTION("""COMPUTED_VALUE"""),"ShadowDArK")</f>
        <v>ShadowDArK</v>
      </c>
      <c r="F83" s="63">
        <f>IFERROR(__xludf.DUMMYFUNCTION("""COMPUTED_VALUE"""),40973.0)</f>
        <v>40973</v>
      </c>
    </row>
    <row r="84">
      <c r="A84" s="59" t="str">
        <f>IFERROR(__xludf.DUMMYFUNCTION("""COMPUTED_VALUE"""),"Frontline Commando")</f>
        <v>Frontline Commando</v>
      </c>
      <c r="B84" s="60">
        <f>IFERROR(__xludf.DUMMYFUNCTION("""COMPUTED_VALUE"""),1.1)</f>
        <v>1.1</v>
      </c>
      <c r="C84" s="61" t="str">
        <f>IFERROR(__xludf.DUMMYFUNCTION("""COMPUTED_VALUE"""),"Yes")</f>
        <v>Yes</v>
      </c>
      <c r="D84" s="62" t="str">
        <f>IFERROR(__xludf.DUMMYFUNCTION("""COMPUTED_VALUE"""),"Can purchase all store upgrades")</f>
        <v>Can purchase all store upgrades</v>
      </c>
      <c r="E84" s="61" t="str">
        <f>IFERROR(__xludf.DUMMYFUNCTION("""COMPUTED_VALUE"""),"mashinganJo")</f>
        <v>mashinganJo</v>
      </c>
      <c r="F84" s="63">
        <f>IFERROR(__xludf.DUMMYFUNCTION("""COMPUTED_VALUE"""),40972.0)</f>
        <v>40972</v>
      </c>
    </row>
    <row r="85">
      <c r="A85" s="59" t="str">
        <f>IFERROR(__xludf.DUMMYFUNCTION("""COMPUTED_VALUE"""),"Koredoko")</f>
        <v>Koredoko</v>
      </c>
      <c r="B85" s="60" t="str">
        <f>IFERROR(__xludf.DUMMYFUNCTION("""COMPUTED_VALUE"""),"4.2.2")</f>
        <v>4.2.2</v>
      </c>
      <c r="C85" s="61" t="str">
        <f>IFERROR(__xludf.DUMMYFUNCTION("""COMPUTED_VALUE"""),"Yes")</f>
        <v>Yes</v>
      </c>
      <c r="D85" s="62" t="str">
        <f>IFERROR(__xludf.DUMMYFUNCTION("""COMPUTED_VALUE"""),"Turn ads off and it registers as Paid")</f>
        <v>Turn ads off and it registers as Paid</v>
      </c>
      <c r="E85" s="61" t="str">
        <f>IFERROR(__xludf.DUMMYFUNCTION("""COMPUTED_VALUE"""),"djpark")</f>
        <v>djpark</v>
      </c>
      <c r="F85" s="63">
        <f>IFERROR(__xludf.DUMMYFUNCTION("""COMPUTED_VALUE"""),40972.0)</f>
        <v>40972</v>
      </c>
    </row>
    <row r="86">
      <c r="A86" s="59" t="str">
        <f>IFERROR(__xludf.DUMMYFUNCTION("""COMPUTED_VALUE"""),"modalityBODY")</f>
        <v>modalityBODY</v>
      </c>
      <c r="B86" s="60">
        <f>IFERROR(__xludf.DUMMYFUNCTION("""COMPUTED_VALUE"""),1.5)</f>
        <v>1.5</v>
      </c>
      <c r="C86" s="61" t="str">
        <f>IFERROR(__xludf.DUMMYFUNCTION("""COMPUTED_VALUE"""),"Yes")</f>
        <v>Yes</v>
      </c>
      <c r="D86" s="62" t="str">
        <f>IFERROR(__xludf.DUMMYFUNCTION("""COMPUTED_VALUE"""),"Works, but ask for AppleID. Use at own risk.")</f>
        <v>Works, but ask for AppleID. Use at own risk.</v>
      </c>
      <c r="E86" s="61" t="str">
        <f>IFERROR(__xludf.DUMMYFUNCTION("""COMPUTED_VALUE"""),"kokswtsih")</f>
        <v>kokswtsih</v>
      </c>
      <c r="F86" s="63">
        <f>IFERROR(__xludf.DUMMYFUNCTION("""COMPUTED_VALUE"""),40972.0)</f>
        <v>40972</v>
      </c>
    </row>
    <row r="87">
      <c r="A87" s="59" t="str">
        <f>IFERROR(__xludf.DUMMYFUNCTION("""COMPUTED_VALUE"""),"Area 51 Defense")</f>
        <v>Area 51 Defense</v>
      </c>
      <c r="B87" s="60">
        <f>IFERROR(__xludf.DUMMYFUNCTION("""COMPUTED_VALUE"""),1.4)</f>
        <v>1.4</v>
      </c>
      <c r="C87" s="61" t="str">
        <f>IFERROR(__xludf.DUMMYFUNCTION("""COMPUTED_VALUE"""),"Yes")</f>
        <v>Yes</v>
      </c>
      <c r="D87" s="62" t="str">
        <f>IFERROR(__xludf.DUMMYFUNCTION("""COMPUTED_VALUE"""),"Can purchase all store upgrades except 'Upgrade to Pro'")</f>
        <v>Can purchase all store upgrades except 'Upgrade to Pro'</v>
      </c>
      <c r="E87" s="61" t="str">
        <f>IFERROR(__xludf.DUMMYFUNCTION("""COMPUTED_VALUE"""),"Exhausted81")</f>
        <v>Exhausted81</v>
      </c>
      <c r="F87" s="63">
        <f>IFERROR(__xludf.DUMMYFUNCTION("""COMPUTED_VALUE"""),40971.0)</f>
        <v>40971</v>
      </c>
    </row>
    <row r="88">
      <c r="A88" s="59" t="str">
        <f>IFERROR(__xludf.DUMMYFUNCTION("""COMPUTED_VALUE"""),"Pinball HD Collection for iPhone")</f>
        <v>Pinball HD Collection for iPhone</v>
      </c>
      <c r="B88" s="60" t="str">
        <f>IFERROR(__xludf.DUMMYFUNCTION("""COMPUTED_VALUE"""),"'1.0")</f>
        <v>'1.0</v>
      </c>
      <c r="C88" s="61" t="str">
        <f>IFERROR(__xludf.DUMMYFUNCTION("""COMPUTED_VALUE"""),"Yes")</f>
        <v>Yes</v>
      </c>
      <c r="D88" s="62" t="str">
        <f>IFERROR(__xludf.DUMMYFUNCTION("""COMPUTED_VALUE"""),"All tables unlocked")</f>
        <v>All tables unlocked</v>
      </c>
      <c r="E88" s="61" t="str">
        <f>IFERROR(__xludf.DUMMYFUNCTION("""COMPUTED_VALUE"""),"Kev63")</f>
        <v>Kev63</v>
      </c>
      <c r="F88" s="63">
        <f>IFERROR(__xludf.DUMMYFUNCTION("""COMPUTED_VALUE"""),40971.0)</f>
        <v>40971</v>
      </c>
    </row>
    <row r="89">
      <c r="A89" s="59" t="str">
        <f>IFERROR(__xludf.DUMMYFUNCTION("""COMPUTED_VALUE"""),"Zombie Panic in Wonderland")</f>
        <v>Zombie Panic in Wonderland</v>
      </c>
      <c r="B89" s="60">
        <f>IFERROR(__xludf.DUMMYFUNCTION("""COMPUTED_VALUE"""),1.0)</f>
        <v>1</v>
      </c>
      <c r="C89" s="61" t="str">
        <f>IFERROR(__xludf.DUMMYFUNCTION("""COMPUTED_VALUE"""),"Yes")</f>
        <v>Yes</v>
      </c>
      <c r="D89" s="62" t="str">
        <f>IFERROR(__xludf.DUMMYFUNCTION("""COMPUTED_VALUE"""),"Can buy everything")</f>
        <v>Can buy everything</v>
      </c>
      <c r="E89" s="61" t="str">
        <f>IFERROR(__xludf.DUMMYFUNCTION("""COMPUTED_VALUE"""),"DuDu")</f>
        <v>DuDu</v>
      </c>
      <c r="F89" s="63">
        <f>IFERROR(__xludf.DUMMYFUNCTION("""COMPUTED_VALUE"""),40969.0)</f>
        <v>40969</v>
      </c>
    </row>
    <row r="90">
      <c r="A90" s="59" t="str">
        <f>IFERROR(__xludf.DUMMYFUNCTION("""COMPUTED_VALUE"""),"Art of war 2")</f>
        <v>Art of war 2</v>
      </c>
      <c r="B90" s="60" t="str">
        <f>IFERROR(__xludf.DUMMYFUNCTION("""COMPUTED_VALUE"""),"1.5.6/1.5.4")</f>
        <v>1.5.6/1.5.4</v>
      </c>
      <c r="C90" s="61" t="str">
        <f>IFERROR(__xludf.DUMMYFUNCTION("""COMPUTED_VALUE"""),"Yes")</f>
        <v>Yes</v>
      </c>
      <c r="D90" s="62" t="str">
        <f>IFERROR(__xludf.DUMMYFUNCTION("""COMPUTED_VALUE"""),"Free -&gt; Full and buy everything (packs and textures import)")</f>
        <v>Free -&gt; Full and buy everything (packs and textures import)</v>
      </c>
      <c r="E90" s="61" t="str">
        <f>IFERROR(__xludf.DUMMYFUNCTION("""COMPUTED_VALUE"""),"Kev63")</f>
        <v>Kev63</v>
      </c>
      <c r="F90" s="63">
        <f>IFERROR(__xludf.DUMMYFUNCTION("""COMPUTED_VALUE"""),40968.0)</f>
        <v>40968</v>
      </c>
    </row>
    <row r="91">
      <c r="A91" s="59" t="str">
        <f>IFERROR(__xludf.DUMMYFUNCTION("""COMPUTED_VALUE"""),"Bloons TD 4")</f>
        <v>Bloons TD 4</v>
      </c>
      <c r="B91" s="60">
        <f>IFERROR(__xludf.DUMMYFUNCTION("""COMPUTED_VALUE"""),2.9)</f>
        <v>2.9</v>
      </c>
      <c r="C91" s="61" t="str">
        <f>IFERROR(__xludf.DUMMYFUNCTION("""COMPUTED_VALUE"""),"Yes")</f>
        <v>Yes</v>
      </c>
      <c r="D91" s="62" t="str">
        <f>IFERROR(__xludf.DUMMYFUNCTION("""COMPUTED_VALUE"""),"Unlocks all upgrades and extreme maps")</f>
        <v>Unlocks all upgrades and extreme maps</v>
      </c>
      <c r="E91" s="61" t="str">
        <f>IFERROR(__xludf.DUMMYFUNCTION("""COMPUTED_VALUE"""),"BraveTitan22")</f>
        <v>BraveTitan22</v>
      </c>
      <c r="F91" s="63">
        <f>IFERROR(__xludf.DUMMYFUNCTION("""COMPUTED_VALUE"""),40967.0)</f>
        <v>40967</v>
      </c>
    </row>
    <row r="92">
      <c r="A92" s="59" t="str">
        <f>IFERROR(__xludf.DUMMYFUNCTION("""COMPUTED_VALUE"""),"Epic Gladiator")</f>
        <v>Epic Gladiator</v>
      </c>
      <c r="B92" s="60">
        <f>IFERROR(__xludf.DUMMYFUNCTION("""COMPUTED_VALUE"""),1.0)</f>
        <v>1</v>
      </c>
      <c r="C92" s="61" t="str">
        <f>IFERROR(__xludf.DUMMYFUNCTION("""COMPUTED_VALUE"""),"Yes")</f>
        <v>Yes</v>
      </c>
      <c r="D92" s="62" t="str">
        <f>IFERROR(__xludf.DUMMYFUNCTION("""COMPUTED_VALUE"""),"Unlocks glory and gold")</f>
        <v>Unlocks glory and gold</v>
      </c>
      <c r="E92" s="61" t="str">
        <f>IFERROR(__xludf.DUMMYFUNCTION("""COMPUTED_VALUE"""),"BraveTitan22")</f>
        <v>BraveTitan22</v>
      </c>
      <c r="F92" s="63">
        <f>IFERROR(__xludf.DUMMYFUNCTION("""COMPUTED_VALUE"""),40967.0)</f>
        <v>40967</v>
      </c>
    </row>
    <row r="93">
      <c r="A93" s="59" t="str">
        <f>IFERROR(__xludf.DUMMYFUNCTION("""COMPUTED_VALUE"""),"Legendary Wars")</f>
        <v>Legendary Wars</v>
      </c>
      <c r="B93" s="60" t="str">
        <f>IFERROR(__xludf.DUMMYFUNCTION("""COMPUTED_VALUE"""),"1.7.7")</f>
        <v>1.7.7</v>
      </c>
      <c r="C93" s="61" t="str">
        <f>IFERROR(__xludf.DUMMYFUNCTION("""COMPUTED_VALUE"""),"Yes")</f>
        <v>Yes</v>
      </c>
      <c r="D93" s="62" t="str">
        <f>IFERROR(__xludf.DUMMYFUNCTION("""COMPUTED_VALUE"""),"Works great on all IAP! Gems/Coins/Moonstones")</f>
        <v>Works great on all IAP! Gems/Coins/Moonstones</v>
      </c>
      <c r="E93" s="61" t="str">
        <f>IFERROR(__xludf.DUMMYFUNCTION("""COMPUTED_VALUE"""),"Squalion")</f>
        <v>Squalion</v>
      </c>
      <c r="F93" s="63">
        <f>IFERROR(__xludf.DUMMYFUNCTION("""COMPUTED_VALUE"""),40967.0)</f>
        <v>40967</v>
      </c>
    </row>
    <row r="94">
      <c r="A94" s="59" t="str">
        <f>IFERROR(__xludf.DUMMYFUNCTION("""COMPUTED_VALUE"""),"Online Sniper League")</f>
        <v>Online Sniper League</v>
      </c>
      <c r="B94" s="60">
        <f>IFERROR(__xludf.DUMMYFUNCTION("""COMPUTED_VALUE"""),1.6)</f>
        <v>1.6</v>
      </c>
      <c r="C94" s="61" t="str">
        <f>IFERROR(__xludf.DUMMYFUNCTION("""COMPUTED_VALUE"""),"Yes")</f>
        <v>Yes</v>
      </c>
      <c r="D94" s="62" t="str">
        <f>IFERROR(__xludf.DUMMYFUNCTION("""COMPUTED_VALUE"""),"Works for all options")</f>
        <v>Works for all options</v>
      </c>
      <c r="E94" s="61" t="str">
        <f>IFERROR(__xludf.DUMMYFUNCTION("""COMPUTED_VALUE"""),"BraveTitan22")</f>
        <v>BraveTitan22</v>
      </c>
      <c r="F94" s="63">
        <f>IFERROR(__xludf.DUMMYFUNCTION("""COMPUTED_VALUE"""),40967.0)</f>
        <v>40967</v>
      </c>
    </row>
    <row r="95">
      <c r="A95" s="59" t="str">
        <f>IFERROR(__xludf.DUMMYFUNCTION("""COMPUTED_VALUE"""),"Triple Town - update item please.")</f>
        <v>Triple Town - update item please.</v>
      </c>
      <c r="B95" s="60">
        <f>IFERROR(__xludf.DUMMYFUNCTION("""COMPUTED_VALUE"""),1.1)</f>
        <v>1.1</v>
      </c>
      <c r="C95" s="61" t="str">
        <f>IFERROR(__xludf.DUMMYFUNCTION("""COMPUTED_VALUE"""),"Yes")</f>
        <v>Yes</v>
      </c>
      <c r="D95" s="62" t="str">
        <f>IFERROR(__xludf.DUMMYFUNCTION("""COMPUTED_VALUE"""),"Works, but annoying message ""purchasing failed"" appears.")</f>
        <v>Works, but annoying message "purchasing failed" appears.</v>
      </c>
      <c r="E95" s="61"/>
      <c r="F95" s="63">
        <f>IFERROR(__xludf.DUMMYFUNCTION("""COMPUTED_VALUE"""),40967.0)</f>
        <v>40967</v>
      </c>
    </row>
    <row r="96">
      <c r="A96" s="59" t="str">
        <f>IFERROR(__xludf.DUMMYFUNCTION("""COMPUTED_VALUE"""),"World War 2 Hills Of Glory")</f>
        <v>World War 2 Hills Of Glory</v>
      </c>
      <c r="B96" s="60"/>
      <c r="C96" s="61" t="str">
        <f>IFERROR(__xludf.DUMMYFUNCTION("""COMPUTED_VALUE"""),"Yes")</f>
        <v>Yes</v>
      </c>
      <c r="D96" s="62" t="str">
        <f>IFERROR(__xludf.DUMMYFUNCTION("""COMPUTED_VALUE"""),"Unlocks cash purchases")</f>
        <v>Unlocks cash purchases</v>
      </c>
      <c r="E96" s="61" t="str">
        <f>IFERROR(__xludf.DUMMYFUNCTION("""COMPUTED_VALUE"""),"BraveTitan22")</f>
        <v>BraveTitan22</v>
      </c>
      <c r="F96" s="63">
        <f>IFERROR(__xludf.DUMMYFUNCTION("""COMPUTED_VALUE"""),40967.0)</f>
        <v>40967</v>
      </c>
    </row>
    <row r="97">
      <c r="A97" s="59" t="str">
        <f>IFERROR(__xludf.DUMMYFUNCTION("""COMPUTED_VALUE"""),"Battle Fury")</f>
        <v>Battle Fury</v>
      </c>
      <c r="B97" s="60">
        <f>IFERROR(__xludf.DUMMYFUNCTION("""COMPUTED_VALUE"""),1.6)</f>
        <v>1.6</v>
      </c>
      <c r="C97" s="61" t="str">
        <f>IFERROR(__xludf.DUMMYFUNCTION("""COMPUTED_VALUE"""),"Yes")</f>
        <v>Yes</v>
      </c>
      <c r="D97" s="62" t="str">
        <f>IFERROR(__xludf.DUMMYFUNCTION("""COMPUTED_VALUE"""),"Works for buying gems, gold, etc.")</f>
        <v>Works for buying gems, gold, etc.</v>
      </c>
      <c r="E97" s="61" t="str">
        <f>IFERROR(__xludf.DUMMYFUNCTION("""COMPUTED_VALUE"""),"J")</f>
        <v>J</v>
      </c>
      <c r="F97" s="63">
        <f>IFERROR(__xludf.DUMMYFUNCTION("""COMPUTED_VALUE"""),40966.0)</f>
        <v>40966</v>
      </c>
    </row>
    <row r="98">
      <c r="A98" s="59" t="str">
        <f>IFERROR(__xludf.DUMMYFUNCTION("""COMPUTED_VALUE"""),"Panda vs. Zombies Free")</f>
        <v>Panda vs. Zombies Free</v>
      </c>
      <c r="B98" s="60" t="str">
        <f>IFERROR(__xludf.DUMMYFUNCTION("""COMPUTED_VALUE"""),"1.0.1")</f>
        <v>1.0.1</v>
      </c>
      <c r="C98" s="61" t="str">
        <f>IFERROR(__xludf.DUMMYFUNCTION("""COMPUTED_VALUE"""),"Yes")</f>
        <v>Yes</v>
      </c>
      <c r="D98" s="62" t="str">
        <f>IFERROR(__xludf.DUMMYFUNCTION("""COMPUTED_VALUE"""),"Works like a charm")</f>
        <v>Works like a charm</v>
      </c>
      <c r="E98" s="61" t="str">
        <f>IFERROR(__xludf.DUMMYFUNCTION("""COMPUTED_VALUE"""),"vidolaem")</f>
        <v>vidolaem</v>
      </c>
      <c r="F98" s="63">
        <f>IFERROR(__xludf.DUMMYFUNCTION("""COMPUTED_VALUE"""),40966.0)</f>
        <v>40966</v>
      </c>
    </row>
    <row r="99">
      <c r="A99" s="59" t="str">
        <f>IFERROR(__xludf.DUMMYFUNCTION("""COMPUTED_VALUE"""),"Spellcraft : School of Magic")</f>
        <v>Spellcraft : School of Magic</v>
      </c>
      <c r="B99" s="60">
        <f>IFERROR(__xludf.DUMMYFUNCTION("""COMPUTED_VALUE"""),1.1)</f>
        <v>1.1</v>
      </c>
      <c r="C99" s="61" t="str">
        <f>IFERROR(__xludf.DUMMYFUNCTION("""COMPUTED_VALUE"""),"Yes")</f>
        <v>Yes</v>
      </c>
      <c r="D99" s="62" t="str">
        <f>IFERROR(__xludf.DUMMYFUNCTION("""COMPUTED_VALUE"""),"Works for the new version 1.1")</f>
        <v>Works for the new version 1.1</v>
      </c>
      <c r="E99" s="61" t="str">
        <f>IFERROR(__xludf.DUMMYFUNCTION("""COMPUTED_VALUE"""),"Espressella")</f>
        <v>Espressella</v>
      </c>
      <c r="F99" s="63">
        <f>IFERROR(__xludf.DUMMYFUNCTION("""COMPUTED_VALUE"""),40966.0)</f>
        <v>40966</v>
      </c>
    </row>
    <row r="100">
      <c r="A100" s="59" t="str">
        <f>IFERROR(__xludf.DUMMYFUNCTION("""COMPUTED_VALUE"""),"Steel Runner")</f>
        <v>Steel Runner</v>
      </c>
      <c r="B100" s="60" t="str">
        <f>IFERROR(__xludf.DUMMYFUNCTION("""COMPUTED_VALUE"""),"'1.0")</f>
        <v>'1.0</v>
      </c>
      <c r="C100" s="61" t="str">
        <f>IFERROR(__xludf.DUMMYFUNCTION("""COMPUTED_VALUE"""),"Yes")</f>
        <v>Yes</v>
      </c>
      <c r="D100" s="62" t="str">
        <f>IFERROR(__xludf.DUMMYFUNCTION("""COMPUTED_VALUE"""),"nothing more to say, just worked :)")</f>
        <v>nothing more to say, just worked :)</v>
      </c>
      <c r="E100" s="61" t="str">
        <f>IFERROR(__xludf.DUMMYFUNCTION("""COMPUTED_VALUE"""),"fss003124")</f>
        <v>fss003124</v>
      </c>
      <c r="F100" s="63">
        <f>IFERROR(__xludf.DUMMYFUNCTION("""COMPUTED_VALUE"""),40966.0)</f>
        <v>40966</v>
      </c>
    </row>
    <row r="101">
      <c r="A101" s="59" t="str">
        <f>IFERROR(__xludf.DUMMYFUNCTION("""COMPUTED_VALUE"""),"Feast &amp; Famine")</f>
        <v>Feast &amp; Famine</v>
      </c>
      <c r="B101" s="60" t="str">
        <f>IFERROR(__xludf.DUMMYFUNCTION("""COMPUTED_VALUE"""),"2.0.0")</f>
        <v>2.0.0</v>
      </c>
      <c r="C101" s="61" t="str">
        <f>IFERROR(__xludf.DUMMYFUNCTION("""COMPUTED_VALUE"""),"Yes")</f>
        <v>Yes</v>
      </c>
      <c r="D101" s="62" t="str">
        <f>IFERROR(__xludf.DUMMYFUNCTION("""COMPUTED_VALUE"""),"Unlocks Famine")</f>
        <v>Unlocks Famine</v>
      </c>
      <c r="E101" s="61" t="str">
        <f>IFERROR(__xludf.DUMMYFUNCTION("""COMPUTED_VALUE"""),"migui.aguilar")</f>
        <v>migui.aguilar</v>
      </c>
      <c r="F101" s="63">
        <f>IFERROR(__xludf.DUMMYFUNCTION("""COMPUTED_VALUE"""),40965.0)</f>
        <v>40965</v>
      </c>
    </row>
    <row r="102">
      <c r="A102" s="59" t="str">
        <f>IFERROR(__xludf.DUMMYFUNCTION("""COMPUTED_VALUE"""),"9GAG Mobile")</f>
        <v>9GAG Mobile</v>
      </c>
      <c r="B102" s="60">
        <f>IFERROR(__xludf.DUMMYFUNCTION("""COMPUTED_VALUE"""),3.1)</f>
        <v>3.1</v>
      </c>
      <c r="C102" s="61" t="str">
        <f>IFERROR(__xludf.DUMMYFUNCTION("""COMPUTED_VALUE"""),"Yes")</f>
        <v>Yes</v>
      </c>
      <c r="D102" s="62" t="str">
        <f>IFERROR(__xludf.DUMMYFUNCTION("""COMPUTED_VALUE"""),"First crashes, but purchase is succesful")</f>
        <v>First crashes, but purchase is succesful</v>
      </c>
      <c r="E102" s="61" t="str">
        <f>IFERROR(__xludf.DUMMYFUNCTION("""COMPUTED_VALUE"""),"Adriaanzonn")</f>
        <v>Adriaanzonn</v>
      </c>
      <c r="F102" s="63">
        <f>IFERROR(__xludf.DUMMYFUNCTION("""COMPUTED_VALUE"""),40964.0)</f>
        <v>40964</v>
      </c>
    </row>
    <row r="103">
      <c r="A103" s="59" t="str">
        <f>IFERROR(__xludf.DUMMYFUNCTION("""COMPUTED_VALUE"""),"Accura Premium")</f>
        <v>Accura Premium</v>
      </c>
      <c r="B103" s="60">
        <f>IFERROR(__xludf.DUMMYFUNCTION("""COMPUTED_VALUE"""),4.0)</f>
        <v>4</v>
      </c>
      <c r="C103" s="61" t="str">
        <f>IFERROR(__xludf.DUMMYFUNCTION("""COMPUTED_VALUE"""),"Yes")</f>
        <v>Yes</v>
      </c>
      <c r="D103" s="62" t="str">
        <f>IFERROR(__xludf.DUMMYFUNCTION("""COMPUTED_VALUE"""),"Purchase succesful")</f>
        <v>Purchase succesful</v>
      </c>
      <c r="E103" s="61" t="str">
        <f>IFERROR(__xludf.DUMMYFUNCTION("""COMPUTED_VALUE"""),"Adriaanzonn")</f>
        <v>Adriaanzonn</v>
      </c>
      <c r="F103" s="63">
        <f>IFERROR(__xludf.DUMMYFUNCTION("""COMPUTED_VALUE"""),40964.0)</f>
        <v>40964</v>
      </c>
    </row>
    <row r="104">
      <c r="A104" s="59" t="str">
        <f>IFERROR(__xludf.DUMMYFUNCTION("""COMPUTED_VALUE"""),"Nyan cat: Lost in Space")</f>
        <v>Nyan cat: Lost in Space</v>
      </c>
      <c r="B104" s="60">
        <f>IFERROR(__xludf.DUMMYFUNCTION("""COMPUTED_VALUE"""),2.5)</f>
        <v>2.5</v>
      </c>
      <c r="C104" s="61" t="str">
        <f>IFERROR(__xludf.DUMMYFUNCTION("""COMPUTED_VALUE"""),"Yes")</f>
        <v>Yes</v>
      </c>
      <c r="D104" s="62" t="str">
        <f>IFERROR(__xludf.DUMMYFUNCTION("""COMPUTED_VALUE"""),"Works perfectly, can buy every skin!")</f>
        <v>Works perfectly, can buy every skin!</v>
      </c>
      <c r="E104" s="61" t="str">
        <f>IFERROR(__xludf.DUMMYFUNCTION("""COMPUTED_VALUE"""),"Rickjedebeste")</f>
        <v>Rickjedebeste</v>
      </c>
      <c r="F104" s="63">
        <f>IFERROR(__xludf.DUMMYFUNCTION("""COMPUTED_VALUE"""),40964.0)</f>
        <v>40964</v>
      </c>
    </row>
    <row r="105">
      <c r="A105" s="59" t="str">
        <f>IFERROR(__xludf.DUMMYFUNCTION("""COMPUTED_VALUE"""),"Origami Instructions - Easy Paper Folding Lessons")</f>
        <v>Origami Instructions - Easy Paper Folding Lessons</v>
      </c>
      <c r="B105" s="60">
        <f>IFERROR(__xludf.DUMMYFUNCTION("""COMPUTED_VALUE"""),1.4)</f>
        <v>1.4</v>
      </c>
      <c r="C105" s="61" t="str">
        <f>IFERROR(__xludf.DUMMYFUNCTION("""COMPUTED_VALUE"""),"Yes")</f>
        <v>Yes</v>
      </c>
      <c r="D105" s="62" t="str">
        <f>IFERROR(__xludf.DUMMYFUNCTION("""COMPUTED_VALUE"""),"Just get more instructions")</f>
        <v>Just get more instructions</v>
      </c>
      <c r="E105" s="61" t="str">
        <f>IFERROR(__xludf.DUMMYFUNCTION("""COMPUTED_VALUE"""),"Adriaanzonn")</f>
        <v>Adriaanzonn</v>
      </c>
      <c r="F105" s="63">
        <f>IFERROR(__xludf.DUMMYFUNCTION("""COMPUTED_VALUE"""),40964.0)</f>
        <v>40964</v>
      </c>
    </row>
    <row r="106">
      <c r="A106" s="59" t="str">
        <f>IFERROR(__xludf.DUMMYFUNCTION("""COMPUTED_VALUE"""),"Small Street")</f>
        <v>Small Street</v>
      </c>
      <c r="B106" s="60">
        <f>IFERROR(__xludf.DUMMYFUNCTION("""COMPUTED_VALUE"""),1.0)</f>
        <v>1</v>
      </c>
      <c r="C106" s="61" t="str">
        <f>IFERROR(__xludf.DUMMYFUNCTION("""COMPUTED_VALUE"""),"Yes")</f>
        <v>Yes</v>
      </c>
      <c r="D106" s="62" t="str">
        <f>IFERROR(__xludf.DUMMYFUNCTION("""COMPUTED_VALUE"""),"Unlimited coins cash hack.")</f>
        <v>Unlimited coins cash hack.</v>
      </c>
      <c r="E106" s="61" t="str">
        <f>IFERROR(__xludf.DUMMYFUNCTION("""COMPUTED_VALUE"""),"mercia")</f>
        <v>mercia</v>
      </c>
      <c r="F106" s="63">
        <f>IFERROR(__xludf.DUMMYFUNCTION("""COMPUTED_VALUE"""),40964.0)</f>
        <v>40964</v>
      </c>
    </row>
    <row r="107">
      <c r="A107" s="59" t="str">
        <f>IFERROR(__xludf.DUMMYFUNCTION("""COMPUTED_VALUE"""),"Angry Words")</f>
        <v>Angry Words</v>
      </c>
      <c r="B107" s="60" t="str">
        <f>IFERROR(__xludf.DUMMYFUNCTION("""COMPUTED_VALUE"""),"1.2.0")</f>
        <v>1.2.0</v>
      </c>
      <c r="C107" s="61" t="str">
        <f>IFERROR(__xludf.DUMMYFUNCTION("""COMPUTED_VALUE"""),"Yes")</f>
        <v>Yes</v>
      </c>
      <c r="D107" s="62" t="str">
        <f>IFERROR(__xludf.DUMMYFUNCTION("""COMPUTED_VALUE"""),"Remove adds.")</f>
        <v>Remove adds.</v>
      </c>
      <c r="E107" s="61" t="str">
        <f>IFERROR(__xludf.DUMMYFUNCTION("""COMPUTED_VALUE"""),"charly007")</f>
        <v>charly007</v>
      </c>
      <c r="F107" s="63">
        <f>IFERROR(__xludf.DUMMYFUNCTION("""COMPUTED_VALUE"""),40963.0)</f>
        <v>40963</v>
      </c>
    </row>
    <row r="108">
      <c r="A108" s="59" t="str">
        <f>IFERROR(__xludf.DUMMYFUNCTION("""COMPUTED_VALUE"""),"SettleUp")</f>
        <v>SettleUp</v>
      </c>
      <c r="B108" s="60" t="str">
        <f>IFERROR(__xludf.DUMMYFUNCTION("""COMPUTED_VALUE"""),"1.2.2.1")</f>
        <v>1.2.2.1</v>
      </c>
      <c r="C108" s="61" t="str">
        <f>IFERROR(__xludf.DUMMYFUNCTION("""COMPUTED_VALUE"""),"yes")</f>
        <v>yes</v>
      </c>
      <c r="D108" s="62" t="str">
        <f>IFERROR(__xludf.DUMMYFUNCTION("""COMPUTED_VALUE"""),"Removes the Iphone limitation of just 1 Group. It asks you that it is going to the store to buy for $$ money.. just go ahead and App will be cracked")</f>
        <v>Removes the Iphone limitation of just 1 Group. It asks you that it is going to the store to buy for $$ money.. just go ahead and App will be cracked</v>
      </c>
      <c r="E108" s="61" t="str">
        <f>IFERROR(__xludf.DUMMYFUNCTION("""COMPUTED_VALUE"""),"charly007")</f>
        <v>charly007</v>
      </c>
      <c r="F108" s="63">
        <f>IFERROR(__xludf.DUMMYFUNCTION("""COMPUTED_VALUE"""),40963.0)</f>
        <v>40963</v>
      </c>
    </row>
    <row r="109">
      <c r="A109" s="59" t="str">
        <f>IFERROR(__xludf.DUMMYFUNCTION("""COMPUTED_VALUE"""),"Stick Cricket")</f>
        <v>Stick Cricket</v>
      </c>
      <c r="B109" s="60" t="str">
        <f>IFERROR(__xludf.DUMMYFUNCTION("""COMPUTED_VALUE"""),"2.1.0")</f>
        <v>2.1.0</v>
      </c>
      <c r="C109" s="61" t="str">
        <f>IFERROR(__xludf.DUMMYFUNCTION("""COMPUTED_VALUE"""),"Yes")</f>
        <v>Yes</v>
      </c>
      <c r="D109" s="62" t="str">
        <f>IFERROR(__xludf.DUMMYFUNCTION("""COMPUTED_VALUE"""),"works perfectly")</f>
        <v>works perfectly</v>
      </c>
      <c r="E109" s="61" t="str">
        <f>IFERROR(__xludf.DUMMYFUNCTION("""COMPUTED_VALUE"""),"Hasim751")</f>
        <v>Hasim751</v>
      </c>
      <c r="F109" s="63">
        <f>IFERROR(__xludf.DUMMYFUNCTION("""COMPUTED_VALUE"""),40963.0)</f>
        <v>40963</v>
      </c>
    </row>
    <row r="110">
      <c r="A110" s="59" t="str">
        <f>IFERROR(__xludf.DUMMYFUNCTION("""COMPUTED_VALUE"""),"WordPower French")</f>
        <v>WordPower French</v>
      </c>
      <c r="B110" s="60">
        <f>IFERROR(__xludf.DUMMYFUNCTION("""COMPUTED_VALUE"""),3.2)</f>
        <v>3.2</v>
      </c>
      <c r="C110" s="61" t="str">
        <f>IFERROR(__xludf.DUMMYFUNCTION("""COMPUTED_VALUE"""),"Yes")</f>
        <v>Yes</v>
      </c>
      <c r="D110" s="62" t="str">
        <f>IFERROR(__xludf.DUMMYFUNCTION("""COMPUTED_VALUE"""),"Unlocks full version")</f>
        <v>Unlocks full version</v>
      </c>
      <c r="E110" s="61" t="str">
        <f>IFERROR(__xludf.DUMMYFUNCTION("""COMPUTED_VALUE"""),"ml05019")</f>
        <v>ml05019</v>
      </c>
      <c r="F110" s="63">
        <f>IFERROR(__xludf.DUMMYFUNCTION("""COMPUTED_VALUE"""),40963.0)</f>
        <v>40963</v>
      </c>
    </row>
    <row r="111">
      <c r="A111" s="59" t="str">
        <f>IFERROR(__xludf.DUMMYFUNCTION("""COMPUTED_VALUE"""),"Illusia")</f>
        <v>Illusia</v>
      </c>
      <c r="B111" s="60" t="str">
        <f>IFERROR(__xludf.DUMMYFUNCTION("""COMPUTED_VALUE"""),"1.4.1")</f>
        <v>1.4.1</v>
      </c>
      <c r="C111" s="61" t="str">
        <f>IFERROR(__xludf.DUMMYFUNCTION("""COMPUTED_VALUE"""),"Yes")</f>
        <v>Yes</v>
      </c>
      <c r="D111" s="62" t="str">
        <f>IFERROR(__xludf.DUMMYFUNCTION("""COMPUTED_VALUE"""),"Can buy items from store (revive packs, clothing sets, ...) ")</f>
        <v>Can buy items from store (revive packs, clothing sets, ...) </v>
      </c>
      <c r="E111" s="61" t="str">
        <f>IFERROR(__xludf.DUMMYFUNCTION("""COMPUTED_VALUE"""),"Zcyphvr")</f>
        <v>Zcyphvr</v>
      </c>
      <c r="F111" s="63">
        <f>IFERROR(__xludf.DUMMYFUNCTION("""COMPUTED_VALUE"""),40962.0)</f>
        <v>40962</v>
      </c>
    </row>
    <row r="112">
      <c r="A112" s="59" t="str">
        <f>IFERROR(__xludf.DUMMYFUNCTION("""COMPUTED_VALUE"""),"Battle Bears -1")</f>
        <v>Battle Bears -1</v>
      </c>
      <c r="B112" s="60"/>
      <c r="C112" s="61" t="str">
        <f>IFERROR(__xludf.DUMMYFUNCTION("""COMPUTED_VALUE"""),"Yes")</f>
        <v>Yes</v>
      </c>
      <c r="D112" s="62" t="str">
        <f>IFERROR(__xludf.DUMMYFUNCTION("""COMPUTED_VALUE"""),"Gets rid of ads &amp; gives you other stuff")</f>
        <v>Gets rid of ads &amp; gives you other stuff</v>
      </c>
      <c r="E112" s="61" t="str">
        <f>IFERROR(__xludf.DUMMYFUNCTION("""COMPUTED_VALUE"""),"PiggyAmmo")</f>
        <v>PiggyAmmo</v>
      </c>
      <c r="F112" s="63">
        <f>IFERROR(__xludf.DUMMYFUNCTION("""COMPUTED_VALUE"""),40961.0)</f>
        <v>40961</v>
      </c>
    </row>
    <row r="113">
      <c r="A113" s="59" t="str">
        <f>IFERROR(__xludf.DUMMYFUNCTION("""COMPUTED_VALUE"""),"Fairway Solitare")</f>
        <v>Fairway Solitare</v>
      </c>
      <c r="B113" s="60" t="str">
        <f>IFERROR(__xludf.DUMMYFUNCTION("""COMPUTED_VALUE"""),"1.0.0")</f>
        <v>1.0.0</v>
      </c>
      <c r="C113" s="61" t="str">
        <f>IFERROR(__xludf.DUMMYFUNCTION("""COMPUTED_VALUE"""),"Yes")</f>
        <v>Yes</v>
      </c>
      <c r="D113" s="62" t="str">
        <f>IFERROR(__xludf.DUMMYFUNCTION("""COMPUTED_VALUE"""),"You can unlock full game and buy everything")</f>
        <v>You can unlock full game and buy everything</v>
      </c>
      <c r="E113" s="61" t="str">
        <f>IFERROR(__xludf.DUMMYFUNCTION("""COMPUTED_VALUE"""),"Zaraf")</f>
        <v>Zaraf</v>
      </c>
      <c r="F113" s="63">
        <f>IFERROR(__xludf.DUMMYFUNCTION("""COMPUTED_VALUE"""),40961.0)</f>
        <v>40961</v>
      </c>
    </row>
    <row r="114">
      <c r="A114" s="59" t="str">
        <f>IFERROR(__xludf.DUMMYFUNCTION("""COMPUTED_VALUE"""),"iKungFu Master")</f>
        <v>iKungFu Master</v>
      </c>
      <c r="B114" s="60">
        <f>IFERROR(__xludf.DUMMYFUNCTION("""COMPUTED_VALUE"""),1.8)</f>
        <v>1.8</v>
      </c>
      <c r="C114" s="61" t="str">
        <f>IFERROR(__xludf.DUMMYFUNCTION("""COMPUTED_VALUE"""),"Yes")</f>
        <v>Yes</v>
      </c>
      <c r="D114" s="62" t="str">
        <f>IFERROR(__xludf.DUMMYFUNCTION("""COMPUTED_VALUE"""),"Get 40k exp")</f>
        <v>Get 40k exp</v>
      </c>
      <c r="E114" s="61" t="str">
        <f>IFERROR(__xludf.DUMMYFUNCTION("""COMPUTED_VALUE"""),"luudaigiang")</f>
        <v>luudaigiang</v>
      </c>
      <c r="F114" s="63">
        <f>IFERROR(__xludf.DUMMYFUNCTION("""COMPUTED_VALUE"""),40961.0)</f>
        <v>40961</v>
      </c>
    </row>
    <row r="115">
      <c r="A115" s="59" t="str">
        <f>IFERROR(__xludf.DUMMYFUNCTION("""COMPUTED_VALUE"""),"Path")</f>
        <v>Path</v>
      </c>
      <c r="B115" s="60" t="str">
        <f>IFERROR(__xludf.DUMMYFUNCTION("""COMPUTED_VALUE"""),"      2.0.7")</f>
        <v>      2.0.7</v>
      </c>
      <c r="C115" s="61" t="str">
        <f>IFERROR(__xludf.DUMMYFUNCTION("""COMPUTED_VALUE"""),"Yes")</f>
        <v>Yes</v>
      </c>
      <c r="D115" s="62" t="str">
        <f>IFERROR(__xludf.DUMMYFUNCTION("""COMPUTED_VALUE"""),"Filters for photos and videos")</f>
        <v>Filters for photos and videos</v>
      </c>
      <c r="E115" s="61" t="str">
        <f>IFERROR(__xludf.DUMMYFUNCTION("""COMPUTED_VALUE"""),"arteem")</f>
        <v>arteem</v>
      </c>
      <c r="F115" s="63">
        <f>IFERROR(__xludf.DUMMYFUNCTION("""COMPUTED_VALUE"""),40961.0)</f>
        <v>40961</v>
      </c>
    </row>
    <row r="116">
      <c r="A116" s="59" t="str">
        <f>IFERROR(__xludf.DUMMYFUNCTION("""COMPUTED_VALUE"""),"Soccer Scores Pro")</f>
        <v>Soccer Scores Pro</v>
      </c>
      <c r="B116" s="60">
        <f>IFERROR(__xludf.DUMMYFUNCTION("""COMPUTED_VALUE"""),3.5)</f>
        <v>3.5</v>
      </c>
      <c r="C116" s="61" t="str">
        <f>IFERROR(__xludf.DUMMYFUNCTION("""COMPUTED_VALUE"""),"Yes")</f>
        <v>Yes</v>
      </c>
      <c r="D116" s="62" t="str">
        <f>IFERROR(__xludf.DUMMYFUNCTION("""COMPUTED_VALUE"""),"It works perfectly!")</f>
        <v>It works perfectly!</v>
      </c>
      <c r="E116" s="61" t="str">
        <f>IFERROR(__xludf.DUMMYFUNCTION("""COMPUTED_VALUE"""),"Arman")</f>
        <v>Arman</v>
      </c>
      <c r="F116" s="63">
        <f>IFERROR(__xludf.DUMMYFUNCTION("""COMPUTED_VALUE"""),40961.0)</f>
        <v>40961</v>
      </c>
    </row>
    <row r="117">
      <c r="A117" s="59" t="str">
        <f>IFERROR(__xludf.DUMMYFUNCTION("""COMPUTED_VALUE"""),"Stylish Sprint")</f>
        <v>Stylish Sprint</v>
      </c>
      <c r="B117" s="60">
        <f>IFERROR(__xludf.DUMMYFUNCTION("""COMPUTED_VALUE"""),1.5)</f>
        <v>1.5</v>
      </c>
      <c r="C117" s="61" t="str">
        <f>IFERROR(__xludf.DUMMYFUNCTION("""COMPUTED_VALUE"""),"Yes")</f>
        <v>Yes</v>
      </c>
      <c r="D117" s="62" t="str">
        <f>IFERROR(__xludf.DUMMYFUNCTION("""COMPUTED_VALUE"""),"take longer for the first time")</f>
        <v>take longer for the first time</v>
      </c>
      <c r="E117" s="61" t="str">
        <f>IFERROR(__xludf.DUMMYFUNCTION("""COMPUTED_VALUE"""),"fss003124")</f>
        <v>fss003124</v>
      </c>
      <c r="F117" s="63">
        <f>IFERROR(__xludf.DUMMYFUNCTION("""COMPUTED_VALUE"""),40961.0)</f>
        <v>40961</v>
      </c>
    </row>
    <row r="118">
      <c r="A118" s="59" t="str">
        <f>IFERROR(__xludf.DUMMYFUNCTION("""COMPUTED_VALUE"""),"WrestleFest Premium")</f>
        <v>WrestleFest Premium</v>
      </c>
      <c r="B118" s="60">
        <f>IFERROR(__xludf.DUMMYFUNCTION("""COMPUTED_VALUE"""),1.01)</f>
        <v>1.01</v>
      </c>
      <c r="C118" s="61" t="str">
        <f>IFERROR(__xludf.DUMMYFUNCTION("""COMPUTED_VALUE"""),"Yes")</f>
        <v>Yes</v>
      </c>
      <c r="D118" s="62" t="str">
        <f>IFERROR(__xludf.DUMMYFUNCTION("""COMPUTED_VALUE"""),"Purchase Wrestler Pack working")</f>
        <v>Purchase Wrestler Pack working</v>
      </c>
      <c r="E118" s="61" t="str">
        <f>IFERROR(__xludf.DUMMYFUNCTION("""COMPUTED_VALUE"""),"shinobi")</f>
        <v>shinobi</v>
      </c>
      <c r="F118" s="63">
        <f>IFERROR(__xludf.DUMMYFUNCTION("""COMPUTED_VALUE"""),40961.0)</f>
        <v>40961</v>
      </c>
    </row>
    <row r="119">
      <c r="A119" s="59" t="str">
        <f>IFERROR(__xludf.DUMMYFUNCTION("""COMPUTED_VALUE"""),"Blood &amp; Glory (Blood and Glory)")</f>
        <v>Blood &amp; Glory (Blood and Glory)</v>
      </c>
      <c r="B119" s="60" t="str">
        <f>IFERROR(__xludf.DUMMYFUNCTION("""COMPUTED_VALUE"""),"1.1.0")</f>
        <v>1.1.0</v>
      </c>
      <c r="C119" s="61" t="str">
        <f>IFERROR(__xludf.DUMMYFUNCTION("""COMPUTED_VALUE"""),"Yes")</f>
        <v>Yes</v>
      </c>
      <c r="D119" s="62" t="str">
        <f>IFERROR(__xludf.DUMMYFUNCTION("""COMPUTED_VALUE"""),"
")</f>
        <v>
</v>
      </c>
      <c r="E119" s="61" t="str">
        <f>IFERROR(__xludf.DUMMYFUNCTION("""COMPUTED_VALUE"""),"Ninja")</f>
        <v>Ninja</v>
      </c>
      <c r="F119" s="63">
        <f>IFERROR(__xludf.DUMMYFUNCTION("""COMPUTED_VALUE"""),40960.0)</f>
        <v>40960</v>
      </c>
    </row>
    <row r="120">
      <c r="A120" s="59" t="str">
        <f>IFERROR(__xludf.DUMMYFUNCTION("""COMPUTED_VALUE"""),"Seesmic")</f>
        <v>Seesmic</v>
      </c>
      <c r="B120" s="60" t="str">
        <f>IFERROR(__xludf.DUMMYFUNCTION("""COMPUTED_VALUE"""),"1.4.2")</f>
        <v>1.4.2</v>
      </c>
      <c r="C120" s="61" t="str">
        <f>IFERROR(__xludf.DUMMYFUNCTION("""COMPUTED_VALUE"""),"Yes")</f>
        <v>Yes</v>
      </c>
      <c r="D120" s="62" t="str">
        <f>IFERROR(__xludf.DUMMYFUNCTION("""COMPUTED_VALUE"""),"Removes Advertisements")</f>
        <v>Removes Advertisements</v>
      </c>
      <c r="E120" s="61" t="str">
        <f>IFERROR(__xludf.DUMMYFUNCTION("""COMPUTED_VALUE"""),"Qixx")</f>
        <v>Qixx</v>
      </c>
      <c r="F120" s="63">
        <f>IFERROR(__xludf.DUMMYFUNCTION("""COMPUTED_VALUE"""),40960.0)</f>
        <v>40960</v>
      </c>
    </row>
    <row r="121">
      <c r="A121" s="59" t="str">
        <f>IFERROR(__xludf.DUMMYFUNCTION("""COMPUTED_VALUE"""),"Capital Quizzer / Capitales")</f>
        <v>Capital Quizzer / Capitales</v>
      </c>
      <c r="B121" s="60">
        <f>IFERROR(__xludf.DUMMYFUNCTION("""COMPUTED_VALUE"""),8.01)</f>
        <v>8.01</v>
      </c>
      <c r="C121" s="61" t="str">
        <f>IFERROR(__xludf.DUMMYFUNCTION("""COMPUTED_VALUE"""),"Yes")</f>
        <v>Yes</v>
      </c>
      <c r="D121" s="62" t="str">
        <f>IFERROR(__xludf.DUMMYFUNCTION("""COMPUTED_VALUE"""),"You can purchase the golden ticket to unlock all packages or purchase each pack separately")</f>
        <v>You can purchase the golden ticket to unlock all packages or purchase each pack separately</v>
      </c>
      <c r="E121" s="61" t="str">
        <f>IFERROR(__xludf.DUMMYFUNCTION("""COMPUTED_VALUE"""),"Prometeo17")</f>
        <v>Prometeo17</v>
      </c>
      <c r="F121" s="63">
        <f>IFERROR(__xludf.DUMMYFUNCTION("""COMPUTED_VALUE"""),40959.0)</f>
        <v>40959</v>
      </c>
    </row>
    <row r="122">
      <c r="A122" s="59" t="str">
        <f>IFERROR(__xludf.DUMMYFUNCTION("""COMPUTED_VALUE"""),"Catan")</f>
        <v>Catan</v>
      </c>
      <c r="B122" s="60" t="str">
        <f>IFERROR(__xludf.DUMMYFUNCTION("""COMPUTED_VALUE"""),"2.1.4")</f>
        <v>2.1.4</v>
      </c>
      <c r="C122" s="61" t="str">
        <f>IFERROR(__xludf.DUMMYFUNCTION("""COMPUTED_VALUE"""),"Yes")</f>
        <v>Yes</v>
      </c>
      <c r="D122" s="62" t="str">
        <f>IFERROR(__xludf.DUMMYFUNCTION("""COMPUTED_VALUE"""),"Unlock Seafarers on 2.1.4")</f>
        <v>Unlock Seafarers on 2.1.4</v>
      </c>
      <c r="E122" s="61" t="str">
        <f>IFERROR(__xludf.DUMMYFUNCTION("""COMPUTED_VALUE"""),"cytmike")</f>
        <v>cytmike</v>
      </c>
      <c r="F122" s="63">
        <f>IFERROR(__xludf.DUMMYFUNCTION("""COMPUTED_VALUE"""),40959.0)</f>
        <v>40959</v>
      </c>
    </row>
    <row r="123">
      <c r="A123" s="59" t="str">
        <f>IFERROR(__xludf.DUMMYFUNCTION("""COMPUTED_VALUE"""),"Elf Defense Eng")</f>
        <v>Elf Defense Eng</v>
      </c>
      <c r="B123" s="60" t="str">
        <f>IFERROR(__xludf.DUMMYFUNCTION("""COMPUTED_VALUE"""),"v1.0.2")</f>
        <v>v1.0.2</v>
      </c>
      <c r="C123" s="61" t="str">
        <f>IFERROR(__xludf.DUMMYFUNCTION("""COMPUTED_VALUE"""),"Yes")</f>
        <v>Yes</v>
      </c>
      <c r="D123" s="64" t="str">
        <f>IFERROR(__xludf.DUMMYFUNCTION("""COMPUTED_VALUE"""),"Hack is here (post #4).")</f>
        <v>Hack is here (post #4).</v>
      </c>
      <c r="E123" s="61" t="str">
        <f>IFERROR(__xludf.DUMMYFUNCTION("""COMPUTED_VALUE"""),"luudaigiang")</f>
        <v>luudaigiang</v>
      </c>
      <c r="F123" s="63">
        <f>IFERROR(__xludf.DUMMYFUNCTION("""COMPUTED_VALUE"""),40959.0)</f>
        <v>40959</v>
      </c>
    </row>
    <row r="124">
      <c r="A124" s="59" t="str">
        <f>IFERROR(__xludf.DUMMYFUNCTION("""COMPUTED_VALUE"""),"iFighter 1945")</f>
        <v>iFighter 1945</v>
      </c>
      <c r="B124" s="60">
        <f>IFERROR(__xludf.DUMMYFUNCTION("""COMPUTED_VALUE"""),1.9)</f>
        <v>1.9</v>
      </c>
      <c r="C124" s="61" t="str">
        <f>IFERROR(__xludf.DUMMYFUNCTION("""COMPUTED_VALUE"""),"Yes")</f>
        <v>Yes</v>
      </c>
      <c r="D124" s="62" t="str">
        <f>IFERROR(__xludf.DUMMYFUNCTION("""COMPUTED_VALUE"""),"You can purchase additional fighter")</f>
        <v>You can purchase additional fighter</v>
      </c>
      <c r="E124" s="61" t="str">
        <f>IFERROR(__xludf.DUMMYFUNCTION("""COMPUTED_VALUE"""),"Prometeo17")</f>
        <v>Prometeo17</v>
      </c>
      <c r="F124" s="63">
        <f>IFERROR(__xludf.DUMMYFUNCTION("""COMPUTED_VALUE"""),40959.0)</f>
        <v>40959</v>
      </c>
    </row>
    <row r="125">
      <c r="A125" s="59" t="str">
        <f>IFERROR(__xludf.DUMMYFUNCTION("""COMPUTED_VALUE"""),"Move it!")</f>
        <v>Move it!</v>
      </c>
      <c r="B125" s="60">
        <f>IFERROR(__xludf.DUMMYFUNCTION("""COMPUTED_VALUE"""),1.1)</f>
        <v>1.1</v>
      </c>
      <c r="C125" s="61" t="str">
        <f>IFERROR(__xludf.DUMMYFUNCTION("""COMPUTED_VALUE"""),"Yes")</f>
        <v>Yes</v>
      </c>
      <c r="D125" s="62" t="str">
        <f>IFERROR(__xludf.DUMMYFUNCTION("""COMPUTED_VALUE"""),"You can purchase new levels")</f>
        <v>You can purchase new levels</v>
      </c>
      <c r="E125" s="61" t="str">
        <f>IFERROR(__xludf.DUMMYFUNCTION("""COMPUTED_VALUE"""),"Prometeo17")</f>
        <v>Prometeo17</v>
      </c>
      <c r="F125" s="63">
        <f>IFERROR(__xludf.DUMMYFUNCTION("""COMPUTED_VALUE"""),40959.0)</f>
        <v>40959</v>
      </c>
    </row>
    <row r="126">
      <c r="A126" s="59" t="str">
        <f>IFERROR(__xludf.DUMMYFUNCTION("""COMPUTED_VALUE"""),"Siege Hero")</f>
        <v>Siege Hero</v>
      </c>
      <c r="B126" s="60" t="str">
        <f>IFERROR(__xludf.DUMMYFUNCTION("""COMPUTED_VALUE"""),"1.2.1")</f>
        <v>1.2.1</v>
      </c>
      <c r="C126" s="61" t="str">
        <f>IFERROR(__xludf.DUMMYFUNCTION("""COMPUTED_VALUE"""),"Yes")</f>
        <v>Yes</v>
      </c>
      <c r="D126" s="62" t="str">
        <f>IFERROR(__xludf.DUMMYFUNCTION("""COMPUTED_VALUE"""),"You can purchase buster bombs in the siege lab")</f>
        <v>You can purchase buster bombs in the siege lab</v>
      </c>
      <c r="E126" s="61" t="str">
        <f>IFERROR(__xludf.DUMMYFUNCTION("""COMPUTED_VALUE"""),"Prometeo17")</f>
        <v>Prometeo17</v>
      </c>
      <c r="F126" s="63">
        <f>IFERROR(__xludf.DUMMYFUNCTION("""COMPUTED_VALUE"""),40959.0)</f>
        <v>40959</v>
      </c>
    </row>
    <row r="127">
      <c r="A127" s="59" t="str">
        <f>IFERROR(__xludf.DUMMYFUNCTION("""COMPUTED_VALUE"""),"Steve Jobs Biography")</f>
        <v>Steve Jobs Biography</v>
      </c>
      <c r="B127" s="60"/>
      <c r="C127" s="61" t="str">
        <f>IFERROR(__xludf.DUMMYFUNCTION("""COMPUTED_VALUE"""),"Yes")</f>
        <v>Yes</v>
      </c>
      <c r="D127" s="62"/>
      <c r="E127" s="61" t="str">
        <f>IFERROR(__xludf.DUMMYFUNCTION("""COMPUTED_VALUE"""),"Spectrum")</f>
        <v>Spectrum</v>
      </c>
      <c r="F127" s="63">
        <f>IFERROR(__xludf.DUMMYFUNCTION("""COMPUTED_VALUE"""),40959.0)</f>
        <v>40959</v>
      </c>
    </row>
    <row r="128">
      <c r="A128" s="59" t="str">
        <f>IFERROR(__xludf.DUMMYFUNCTION("""COMPUTED_VALUE"""),"The Blocks Cometh By Halfbot")</f>
        <v>The Blocks Cometh By Halfbot</v>
      </c>
      <c r="B128" s="60">
        <f>IFERROR(__xludf.DUMMYFUNCTION("""COMPUTED_VALUE"""),1.5)</f>
        <v>1.5</v>
      </c>
      <c r="C128" s="61" t="str">
        <f>IFERROR(__xludf.DUMMYFUNCTION("""COMPUTED_VALUE"""),"Yes")</f>
        <v>Yes</v>
      </c>
      <c r="D128" s="62" t="str">
        <f>IFERROR(__xludf.DUMMYFUNCTION("""COMPUTED_VALUE"""),"Works Perfectly")</f>
        <v>Works Perfectly</v>
      </c>
      <c r="E128" s="61" t="str">
        <f>IFERROR(__xludf.DUMMYFUNCTION("""COMPUTED_VALUE"""),"luudaigiang")</f>
        <v>luudaigiang</v>
      </c>
      <c r="F128" s="63">
        <f>IFERROR(__xludf.DUMMYFUNCTION("""COMPUTED_VALUE"""),40959.0)</f>
        <v>40959</v>
      </c>
    </row>
    <row r="129">
      <c r="A129" s="59" t="str">
        <f>IFERROR(__xludf.DUMMYFUNCTION("""COMPUTED_VALUE"""),"TRANSFORMERS™ CyberToy Free")</f>
        <v>TRANSFORMERS™ CyberToy Free</v>
      </c>
      <c r="B129" s="60" t="str">
        <f>IFERROR(__xludf.DUMMYFUNCTION("""COMPUTED_VALUE"""),"1.8.0")</f>
        <v>1.8.0</v>
      </c>
      <c r="C129" s="61" t="str">
        <f>IFERROR(__xludf.DUMMYFUNCTION("""COMPUTED_VALUE"""),"Yes")</f>
        <v>Yes</v>
      </c>
      <c r="D129" s="62" t="str">
        <f>IFERROR(__xludf.DUMMYFUNCTION("""COMPUTED_VALUE"""),"You can purchase other robots")</f>
        <v>You can purchase other robots</v>
      </c>
      <c r="E129" s="61" t="str">
        <f>IFERROR(__xludf.DUMMYFUNCTION("""COMPUTED_VALUE"""),"Vhaeraun")</f>
        <v>Vhaeraun</v>
      </c>
      <c r="F129" s="63">
        <f>IFERROR(__xludf.DUMMYFUNCTION("""COMPUTED_VALUE"""),40959.0)</f>
        <v>40959</v>
      </c>
    </row>
    <row r="130">
      <c r="A130" s="59" t="str">
        <f>IFERROR(__xludf.DUMMYFUNCTION("""COMPUTED_VALUE"""),"Translate Professional / Traductor Profesional")</f>
        <v>Translate Professional / Traductor Profesional</v>
      </c>
      <c r="B130" s="60">
        <f>IFERROR(__xludf.DUMMYFUNCTION("""COMPUTED_VALUE"""),3.0)</f>
        <v>3</v>
      </c>
      <c r="C130" s="61" t="str">
        <f>IFERROR(__xludf.DUMMYFUNCTION("""COMPUTED_VALUE"""),"Yes")</f>
        <v>Yes</v>
      </c>
      <c r="D130" s="62" t="str">
        <f>IFERROR(__xludf.DUMMYFUNCTION("""COMPUTED_VALUE"""),"You can purchase additional voices")</f>
        <v>You can purchase additional voices</v>
      </c>
      <c r="E130" s="61" t="str">
        <f>IFERROR(__xludf.DUMMYFUNCTION("""COMPUTED_VALUE"""),"Prometeo17")</f>
        <v>Prometeo17</v>
      </c>
      <c r="F130" s="63">
        <f>IFERROR(__xludf.DUMMYFUNCTION("""COMPUTED_VALUE"""),40959.0)</f>
        <v>40959</v>
      </c>
    </row>
    <row r="131">
      <c r="A131" s="59" t="str">
        <f>IFERROR(__xludf.DUMMYFUNCTION("""COMPUTED_VALUE"""),"Hero TacTics2")</f>
        <v>Hero TacTics2</v>
      </c>
      <c r="B131" s="60">
        <f>IFERROR(__xludf.DUMMYFUNCTION("""COMPUTED_VALUE"""),1.0)</f>
        <v>1</v>
      </c>
      <c r="C131" s="61" t="str">
        <f>IFERROR(__xludf.DUMMYFUNCTION("""COMPUTED_VALUE"""),"Yes")</f>
        <v>Yes</v>
      </c>
      <c r="D131" s="62"/>
      <c r="E131" s="61" t="str">
        <f>IFERROR(__xludf.DUMMYFUNCTION("""COMPUTED_VALUE"""),"luudaigiang")</f>
        <v>luudaigiang</v>
      </c>
      <c r="F131" s="63">
        <f>IFERROR(__xludf.DUMMYFUNCTION("""COMPUTED_VALUE"""),40958.0)</f>
        <v>40958</v>
      </c>
    </row>
    <row r="132">
      <c r="A132" s="59" t="str">
        <f>IFERROR(__xludf.DUMMYFUNCTION("""COMPUTED_VALUE"""),"Color Pencil")</f>
        <v>Color Pencil</v>
      </c>
      <c r="B132" s="60">
        <f>IFERROR(__xludf.DUMMYFUNCTION("""COMPUTED_VALUE"""),1.331)</f>
        <v>1.331</v>
      </c>
      <c r="C132" s="61" t="str">
        <f>IFERROR(__xludf.DUMMYFUNCTION("""COMPUTED_VALUE"""),"Yes")</f>
        <v>Yes</v>
      </c>
      <c r="D132" s="62" t="str">
        <f>IFERROR(__xludf.DUMMYFUNCTION("""COMPUTED_VALUE"""),"Can purchase packs")</f>
        <v>Can purchase packs</v>
      </c>
      <c r="E132" s="61" t="str">
        <f>IFERROR(__xludf.DUMMYFUNCTION("""COMPUTED_VALUE"""),"Keigo@ZA")</f>
        <v>Keigo@ZA</v>
      </c>
      <c r="F132" s="63">
        <f>IFERROR(__xludf.DUMMYFUNCTION("""COMPUTED_VALUE"""),40957.0)</f>
        <v>40957</v>
      </c>
    </row>
    <row r="133">
      <c r="A133" s="59" t="str">
        <f>IFERROR(__xludf.DUMMYFUNCTION("""COMPUTED_VALUE"""),"Design This Home")</f>
        <v>Design This Home</v>
      </c>
      <c r="B133" s="60"/>
      <c r="C133" s="61" t="str">
        <f>IFERROR(__xludf.DUMMYFUNCTION("""COMPUTED_VALUE"""),"Yes")</f>
        <v>Yes</v>
      </c>
      <c r="D133" s="62" t="str">
        <f>IFERROR(__xludf.DUMMYFUNCTION("""COMPUTED_VALUE"""),"All in-game currencies can be bought.")</f>
        <v>All in-game currencies can be bought.</v>
      </c>
      <c r="E133" s="61" t="str">
        <f>IFERROR(__xludf.DUMMYFUNCTION("""COMPUTED_VALUE"""),"ohye0880")</f>
        <v>ohye0880</v>
      </c>
      <c r="F133" s="63">
        <f>IFERROR(__xludf.DUMMYFUNCTION("""COMPUTED_VALUE"""),40957.0)</f>
        <v>40957</v>
      </c>
    </row>
    <row r="134">
      <c r="A134" s="59" t="str">
        <f>IFERROR(__xludf.DUMMYFUNCTION("""COMPUTED_VALUE"""),"Hit Tennis 2")</f>
        <v>Hit Tennis 2</v>
      </c>
      <c r="B134" s="60"/>
      <c r="C134" s="61" t="str">
        <f>IFERROR(__xludf.DUMMYFUNCTION("""COMPUTED_VALUE"""),"Yes")</f>
        <v>Yes</v>
      </c>
      <c r="D134" s="62" t="str">
        <f>IFERROR(__xludf.DUMMYFUNCTION("""COMPUTED_VALUE"""),"Unlocks soda cans and player packages")</f>
        <v>Unlocks soda cans and player packages</v>
      </c>
      <c r="E134" s="61" t="str">
        <f>IFERROR(__xludf.DUMMYFUNCTION("""COMPUTED_VALUE"""),"rorii")</f>
        <v>rorii</v>
      </c>
      <c r="F134" s="63">
        <f>IFERROR(__xludf.DUMMYFUNCTION("""COMPUTED_VALUE"""),40957.0)</f>
        <v>40957</v>
      </c>
    </row>
    <row r="135">
      <c r="A135" s="59" t="str">
        <f>IFERROR(__xludf.DUMMYFUNCTION("""COMPUTED_VALUE"""),"Koalyptus")</f>
        <v>Koalyptus</v>
      </c>
      <c r="B135" s="60">
        <f>IFERROR(__xludf.DUMMYFUNCTION("""COMPUTED_VALUE"""),2.01)</f>
        <v>2.01</v>
      </c>
      <c r="C135" s="61" t="str">
        <f>IFERROR(__xludf.DUMMYFUNCTION("""COMPUTED_VALUE"""),"Yes")</f>
        <v>Yes</v>
      </c>
      <c r="D135" s="62" t="str">
        <f>IFERROR(__xludf.DUMMYFUNCTION("""COMPUTED_VALUE"""),"All Purchases free")</f>
        <v>All Purchases free</v>
      </c>
      <c r="E135" s="61" t="str">
        <f>IFERROR(__xludf.DUMMYFUNCTION("""COMPUTED_VALUE"""),"micorp")</f>
        <v>micorp</v>
      </c>
      <c r="F135" s="63">
        <f>IFERROR(__xludf.DUMMYFUNCTION("""COMPUTED_VALUE"""),40957.0)</f>
        <v>40957</v>
      </c>
    </row>
    <row r="136">
      <c r="A136" s="59" t="str">
        <f>IFERROR(__xludf.DUMMYFUNCTION("""COMPUTED_VALUE"""),"Order Up!!")</f>
        <v>Order Up!!</v>
      </c>
      <c r="B136" s="60"/>
      <c r="C136" s="61" t="str">
        <f>IFERROR(__xludf.DUMMYFUNCTION("""COMPUTED_VALUE"""),"Yes")</f>
        <v>Yes</v>
      </c>
      <c r="D136" s="62" t="str">
        <f>IFERROR(__xludf.DUMMYFUNCTION("""COMPUTED_VALUE"""),"Get coins to unlock dishes and restaurants")</f>
        <v>Get coins to unlock dishes and restaurants</v>
      </c>
      <c r="E136" s="61" t="str">
        <f>IFERROR(__xludf.DUMMYFUNCTION("""COMPUTED_VALUE"""),"lewarner")</f>
        <v>lewarner</v>
      </c>
      <c r="F136" s="63">
        <f>IFERROR(__xludf.DUMMYFUNCTION("""COMPUTED_VALUE"""),40957.0)</f>
        <v>40957</v>
      </c>
    </row>
    <row r="137">
      <c r="A137" s="59" t="str">
        <f>IFERROR(__xludf.DUMMYFUNCTION("""COMPUTED_VALUE"""),"Zombie Smash")</f>
        <v>Zombie Smash</v>
      </c>
      <c r="B137" s="60"/>
      <c r="C137" s="61" t="str">
        <f>IFERROR(__xludf.DUMMYFUNCTION("""COMPUTED_VALUE"""),"Yes")</f>
        <v>Yes</v>
      </c>
      <c r="D137" s="62" t="str">
        <f>IFERROR(__xludf.DUMMYFUNCTION("""COMPUTED_VALUE"""),"buy all the addons")</f>
        <v>buy all the addons</v>
      </c>
      <c r="E137" s="61" t="str">
        <f>IFERROR(__xludf.DUMMYFUNCTION("""COMPUTED_VALUE"""),"epictoxic")</f>
        <v>epictoxic</v>
      </c>
      <c r="F137" s="63">
        <f>IFERROR(__xludf.DUMMYFUNCTION("""COMPUTED_VALUE"""),40957.0)</f>
        <v>40957</v>
      </c>
    </row>
    <row r="138">
      <c r="A138" s="59" t="str">
        <f>IFERROR(__xludf.DUMMYFUNCTION("""COMPUTED_VALUE"""),"Fame and Famine")</f>
        <v>Fame and Famine</v>
      </c>
      <c r="B138" s="60"/>
      <c r="C138" s="61" t="str">
        <f>IFERROR(__xludf.DUMMYFUNCTION("""COMPUTED_VALUE"""),"Yes")</f>
        <v>Yes</v>
      </c>
      <c r="D138" s="62" t="str">
        <f>IFERROR(__xludf.DUMMYFUNCTION("""COMPUTED_VALUE"""),"Unlocks famine mode")</f>
        <v>Unlocks famine mode</v>
      </c>
      <c r="E138" s="61" t="str">
        <f>IFERROR(__xludf.DUMMYFUNCTION("""COMPUTED_VALUE"""),"migui.aguilar")</f>
        <v>migui.aguilar</v>
      </c>
      <c r="F138" s="63">
        <f>IFERROR(__xludf.DUMMYFUNCTION("""COMPUTED_VALUE"""),40956.0)</f>
        <v>40956</v>
      </c>
    </row>
    <row r="139">
      <c r="A139" s="59" t="str">
        <f>IFERROR(__xludf.DUMMYFUNCTION("""COMPUTED_VALUE"""),"Shake Spears")</f>
        <v>Shake Spears</v>
      </c>
      <c r="B139" s="60"/>
      <c r="C139" s="61" t="str">
        <f>IFERROR(__xludf.DUMMYFUNCTION("""COMPUTED_VALUE"""),"Yes")</f>
        <v>Yes</v>
      </c>
      <c r="D139" s="62" t="str">
        <f>IFERROR(__xludf.DUMMYFUNCTION("""COMPUTED_VALUE"""),"Works perfectly!")</f>
        <v>Works perfectly!</v>
      </c>
      <c r="E139" s="61" t="str">
        <f>IFERROR(__xludf.DUMMYFUNCTION("""COMPUTED_VALUE"""),"migui.aguilar")</f>
        <v>migui.aguilar</v>
      </c>
      <c r="F139" s="63">
        <f>IFERROR(__xludf.DUMMYFUNCTION("""COMPUTED_VALUE"""),40956.0)</f>
        <v>40956</v>
      </c>
    </row>
    <row r="140">
      <c r="A140" s="59" t="str">
        <f>IFERROR(__xludf.DUMMYFUNCTION("""COMPUTED_VALUE"""),"9 Digits")</f>
        <v>9 Digits</v>
      </c>
      <c r="B140" s="60"/>
      <c r="C140" s="61" t="str">
        <f>IFERROR(__xludf.DUMMYFUNCTION("""COMPUTED_VALUE"""),"Yes")</f>
        <v>Yes</v>
      </c>
      <c r="D140" s="62" t="str">
        <f>IFERROR(__xludf.DUMMYFUNCTION("""COMPUTED_VALUE"""),"All Packs")</f>
        <v>All Packs</v>
      </c>
      <c r="E140" s="61"/>
      <c r="F140" s="63">
        <f>IFERROR(__xludf.DUMMYFUNCTION("""COMPUTED_VALUE"""),40955.0)</f>
        <v>40955</v>
      </c>
    </row>
    <row r="141">
      <c r="A141" s="59" t="str">
        <f>IFERROR(__xludf.DUMMYFUNCTION("""COMPUTED_VALUE"""),"Doodle Grub")</f>
        <v>Doodle Grub</v>
      </c>
      <c r="B141" s="60"/>
      <c r="C141" s="61" t="str">
        <f>IFERROR(__xludf.DUMMYFUNCTION("""COMPUTED_VALUE"""),"Yes")</f>
        <v>Yes</v>
      </c>
      <c r="D141" s="62" t="str">
        <f>IFERROR(__xludf.DUMMYFUNCTION("""COMPUTED_VALUE"""),"crashes the first time, but it works after that")</f>
        <v>crashes the first time, but it works after that</v>
      </c>
      <c r="E141" s="61" t="str">
        <f>IFERROR(__xludf.DUMMYFUNCTION("""COMPUTED_VALUE"""),"LogiTexX")</f>
        <v>LogiTexX</v>
      </c>
      <c r="F141" s="63">
        <f>IFERROR(__xludf.DUMMYFUNCTION("""COMPUTED_VALUE"""),40955.0)</f>
        <v>40955</v>
      </c>
    </row>
    <row r="142">
      <c r="A142" s="59" t="str">
        <f>IFERROR(__xludf.DUMMYFUNCTION("""COMPUTED_VALUE"""),"OH!BURGER")</f>
        <v>OH!BURGER</v>
      </c>
      <c r="B142" s="60"/>
      <c r="C142" s="61" t="str">
        <f>IFERROR(__xludf.DUMMYFUNCTION("""COMPUTED_VALUE"""),"Yes")</f>
        <v>Yes</v>
      </c>
      <c r="D142" s="62" t="str">
        <f>IFERROR(__xludf.DUMMYFUNCTION("""COMPUTED_VALUE"""),"**Workaround: disable iAP (SBS toggle), enter the game, until it gets the product price, re-enable iAP, and it should work.")</f>
        <v>**Workaround: disable iAP (SBS toggle), enter the game, until it gets the product price, re-enable iAP, and it should work.</v>
      </c>
      <c r="E142" s="61" t="str">
        <f>IFERROR(__xludf.DUMMYFUNCTION("""COMPUTED_VALUE"""),"fss003124")</f>
        <v>fss003124</v>
      </c>
      <c r="F142" s="63">
        <f>IFERROR(__xludf.DUMMYFUNCTION("""COMPUTED_VALUE"""),40955.0)</f>
        <v>40955</v>
      </c>
    </row>
    <row r="143">
      <c r="A143" s="59" t="str">
        <f>IFERROR(__xludf.DUMMYFUNCTION("""COMPUTED_VALUE"""),"OH!SUSHI")</f>
        <v>OH!SUSHI</v>
      </c>
      <c r="B143" s="60"/>
      <c r="C143" s="61" t="str">
        <f>IFERROR(__xludf.DUMMYFUNCTION("""COMPUTED_VALUE"""),"Yes")</f>
        <v>Yes</v>
      </c>
      <c r="D143" s="62" t="str">
        <f>IFERROR(__xludf.DUMMYFUNCTION("""COMPUTED_VALUE"""),"**Workaround: disable iAP (SBS toggle), enter the game, until it gets the product price, re-enable iAP, and it should work.")</f>
        <v>**Workaround: disable iAP (SBS toggle), enter the game, until it gets the product price, re-enable iAP, and it should work.</v>
      </c>
      <c r="E143" s="61" t="str">
        <f>IFERROR(__xludf.DUMMYFUNCTION("""COMPUTED_VALUE"""),"fss003124")</f>
        <v>fss003124</v>
      </c>
      <c r="F143" s="63">
        <f>IFERROR(__xludf.DUMMYFUNCTION("""COMPUTED_VALUE"""),40955.0)</f>
        <v>40955</v>
      </c>
    </row>
    <row r="144">
      <c r="A144" s="59" t="str">
        <f>IFERROR(__xludf.DUMMYFUNCTION("""COMPUTED_VALUE"""),"RC Plane 2")</f>
        <v>RC Plane 2</v>
      </c>
      <c r="B144" s="60"/>
      <c r="C144" s="61" t="str">
        <f>IFERROR(__xludf.DUMMYFUNCTION("""COMPUTED_VALUE"""),"Yes")</f>
        <v>Yes</v>
      </c>
      <c r="D144" s="62" t="str">
        <f>IFERROR(__xludf.DUMMYFUNCTION("""COMPUTED_VALUE"""),"Purchase the plane, kill the app and relaunch the game.")</f>
        <v>Purchase the plane, kill the app and relaunch the game.</v>
      </c>
      <c r="E144" s="61" t="str">
        <f>IFERROR(__xludf.DUMMYFUNCTION("""COMPUTED_VALUE"""),"Maloon, mohseen")</f>
        <v>Maloon, mohseen</v>
      </c>
      <c r="F144" s="63">
        <f>IFERROR(__xludf.DUMMYFUNCTION("""COMPUTED_VALUE"""),40955.0)</f>
        <v>40955</v>
      </c>
    </row>
    <row r="145">
      <c r="A145" s="59" t="str">
        <f>IFERROR(__xludf.DUMMYFUNCTION("""COMPUTED_VALUE"""),"Gamekyo")</f>
        <v>Gamekyo</v>
      </c>
      <c r="B145" s="60"/>
      <c r="C145" s="61" t="str">
        <f>IFERROR(__xludf.DUMMYFUNCTION("""COMPUTED_VALUE"""),"Yes")</f>
        <v>Yes</v>
      </c>
      <c r="D145" s="62" t="str">
        <f>IFERROR(__xludf.DUMMYFUNCTION("""COMPUTED_VALUE"""),"Remove ads.")</f>
        <v>Remove ads.</v>
      </c>
      <c r="E145" s="61" t="str">
        <f>IFERROR(__xludf.DUMMYFUNCTION("""COMPUTED_VALUE"""),"Kev63")</f>
        <v>Kev63</v>
      </c>
      <c r="F145" s="63">
        <f>IFERROR(__xludf.DUMMYFUNCTION("""COMPUTED_VALUE"""),40954.0)</f>
        <v>40954</v>
      </c>
    </row>
    <row r="146">
      <c r="A146" s="59" t="str">
        <f>IFERROR(__xludf.DUMMYFUNCTION("""COMPUTED_VALUE"""),"Klasická angličtina")</f>
        <v>Klasická angličtina</v>
      </c>
      <c r="B146" s="60"/>
      <c r="C146" s="61" t="str">
        <f>IFERROR(__xludf.DUMMYFUNCTION("""COMPUTED_VALUE"""),"Yes")</f>
        <v>Yes</v>
      </c>
      <c r="D146" s="62" t="str">
        <f>IFERROR(__xludf.DUMMYFUNCTION("""COMPUTED_VALUE"""),"Can purchase all sessions")</f>
        <v>Can purchase all sessions</v>
      </c>
      <c r="E146" s="61" t="str">
        <f>IFERROR(__xludf.DUMMYFUNCTION("""COMPUTED_VALUE"""),"KeceRim")</f>
        <v>KeceRim</v>
      </c>
      <c r="F146" s="63">
        <f>IFERROR(__xludf.DUMMYFUNCTION("""COMPUTED_VALUE"""),40954.0)</f>
        <v>40954</v>
      </c>
    </row>
    <row r="147">
      <c r="A147" s="59" t="str">
        <f>IFERROR(__xludf.DUMMYFUNCTION("""COMPUTED_VALUE"""),"Obchodní angličtina")</f>
        <v>Obchodní angličtina</v>
      </c>
      <c r="B147" s="60"/>
      <c r="C147" s="61" t="str">
        <f>IFERROR(__xludf.DUMMYFUNCTION("""COMPUTED_VALUE"""),"Yes")</f>
        <v>Yes</v>
      </c>
      <c r="D147" s="62" t="str">
        <f>IFERROR(__xludf.DUMMYFUNCTION("""COMPUTED_VALUE"""),"Can purchase all sessions")</f>
        <v>Can purchase all sessions</v>
      </c>
      <c r="E147" s="61" t="str">
        <f>IFERROR(__xludf.DUMMYFUNCTION("""COMPUTED_VALUE"""),"KeceRim")</f>
        <v>KeceRim</v>
      </c>
      <c r="F147" s="63">
        <f>IFERROR(__xludf.DUMMYFUNCTION("""COMPUTED_VALUE"""),40954.0)</f>
        <v>40954</v>
      </c>
    </row>
    <row r="148">
      <c r="A148" s="59" t="str">
        <f>IFERROR(__xludf.DUMMYFUNCTION("""COMPUTED_VALUE"""),"Parking Mania Free")</f>
        <v>Parking Mania Free</v>
      </c>
      <c r="B148" s="60"/>
      <c r="C148" s="61" t="str">
        <f>IFERROR(__xludf.DUMMYFUNCTION("""COMPUTED_VALUE"""),"Yes")</f>
        <v>Yes</v>
      </c>
      <c r="D148" s="62" t="str">
        <f>IFERROR(__xludf.DUMMYFUNCTION("""COMPUTED_VALUE"""),"it may not work at first (no response), but eventually works ")</f>
        <v>it may not work at first (no response), but eventually works </v>
      </c>
      <c r="E148" s="61" t="str">
        <f>IFERROR(__xludf.DUMMYFUNCTION("""COMPUTED_VALUE"""),"fss003124")</f>
        <v>fss003124</v>
      </c>
      <c r="F148" s="63">
        <f>IFERROR(__xludf.DUMMYFUNCTION("""COMPUTED_VALUE"""),40954.0)</f>
        <v>40954</v>
      </c>
    </row>
    <row r="149">
      <c r="A149" s="59" t="str">
        <f>IFERROR(__xludf.DUMMYFUNCTION("""COMPUTED_VALUE"""),"Canon Lenses")</f>
        <v>Canon Lenses</v>
      </c>
      <c r="B149" s="60"/>
      <c r="C149" s="61" t="str">
        <f>IFERROR(__xludf.DUMMYFUNCTION("""COMPUTED_VALUE"""),"Yes")</f>
        <v>Yes</v>
      </c>
      <c r="D149" s="62" t="str">
        <f>IFERROR(__xludf.DUMMYFUNCTION("""COMPUTED_VALUE"""),"Upgrade is working")</f>
        <v>Upgrade is working</v>
      </c>
      <c r="E149" s="61" t="str">
        <f>IFERROR(__xludf.DUMMYFUNCTION("""COMPUTED_VALUE"""),"cynxian")</f>
        <v>cynxian</v>
      </c>
      <c r="F149" s="63">
        <f>IFERROR(__xludf.DUMMYFUNCTION("""COMPUTED_VALUE"""),40953.0)</f>
        <v>40953</v>
      </c>
    </row>
    <row r="150">
      <c r="A150" s="59" t="str">
        <f>IFERROR(__xludf.DUMMYFUNCTION("""COMPUTED_VALUE"""),"El Economista")</f>
        <v>El Economista</v>
      </c>
      <c r="B150" s="60"/>
      <c r="C150" s="61" t="str">
        <f>IFERROR(__xludf.DUMMYFUNCTION("""COMPUTED_VALUE"""),"Yes")</f>
        <v>Yes</v>
      </c>
      <c r="D150" s="62" t="str">
        <f>IFERROR(__xludf.DUMMYFUNCTION("""COMPUTED_VALUE"""),"Everything works")</f>
        <v>Everything works</v>
      </c>
      <c r="E150" s="61" t="str">
        <f>IFERROR(__xludf.DUMMYFUNCTION("""COMPUTED_VALUE"""),"Yancha")</f>
        <v>Yancha</v>
      </c>
      <c r="F150" s="63">
        <f>IFERROR(__xludf.DUMMYFUNCTION("""COMPUTED_VALUE"""),40953.0)</f>
        <v>40953</v>
      </c>
    </row>
    <row r="151">
      <c r="A151" s="59" t="str">
        <f>IFERROR(__xludf.DUMMYFUNCTION("""COMPUTED_VALUE"""),"Jamie Oliver's recipes")</f>
        <v>Jamie Oliver's recipes</v>
      </c>
      <c r="B151" s="60"/>
      <c r="C151" s="61" t="str">
        <f>IFERROR(__xludf.DUMMYFUNCTION("""COMPUTED_VALUE"""),"Yes")</f>
        <v>Yes</v>
      </c>
      <c r="D151" s="62" t="str">
        <f>IFERROR(__xludf.DUMMYFUNCTION("""COMPUTED_VALUE"""),"Unlocks the recipes using slow 3G but the step by step pics are missing - after updating to 2.6 the extra content started to download")</f>
        <v>Unlocks the recipes using slow 3G but the step by step pics are missing - after updating to 2.6 the extra content started to download</v>
      </c>
      <c r="E151" s="61" t="str">
        <f>IFERROR(__xludf.DUMMYFUNCTION("""COMPUTED_VALUE"""),"ZinFab")</f>
        <v>ZinFab</v>
      </c>
      <c r="F151" s="63">
        <f>IFERROR(__xludf.DUMMYFUNCTION("""COMPUTED_VALUE"""),40953.0)</f>
        <v>40953</v>
      </c>
    </row>
    <row r="152">
      <c r="A152" s="59" t="str">
        <f>IFERROR(__xludf.DUMMYFUNCTION("""COMPUTED_VALUE"""),"King Camera")</f>
        <v>King Camera</v>
      </c>
      <c r="B152" s="60"/>
      <c r="C152" s="61" t="str">
        <f>IFERROR(__xludf.DUMMYFUNCTION("""COMPUTED_VALUE"""),"Yes")</f>
        <v>Yes</v>
      </c>
      <c r="D152" s="62" t="str">
        <f>IFERROR(__xludf.DUMMYFUNCTION("""COMPUTED_VALUE"""),"Works for unlocking the purchase items in the app - abilities to export in full size")</f>
        <v>Works for unlocking the purchase items in the app - abilities to export in full size</v>
      </c>
      <c r="E152" s="61"/>
      <c r="F152" s="63">
        <f>IFERROR(__xludf.DUMMYFUNCTION("""COMPUTED_VALUE"""),40953.0)</f>
        <v>40953</v>
      </c>
    </row>
    <row r="153">
      <c r="A153" s="59" t="str">
        <f>IFERROR(__xludf.DUMMYFUNCTION("""COMPUTED_VALUE"""),"La Voz De Galicia")</f>
        <v>La Voz De Galicia</v>
      </c>
      <c r="B153" s="60"/>
      <c r="C153" s="61" t="str">
        <f>IFERROR(__xludf.DUMMYFUNCTION("""COMPUTED_VALUE"""),"Yes")</f>
        <v>Yes</v>
      </c>
      <c r="D153" s="62" t="str">
        <f>IFERROR(__xludf.DUMMYFUNCTION("""COMPUTED_VALUE"""),"Everything works")</f>
        <v>Everything works</v>
      </c>
      <c r="E153" s="61" t="str">
        <f>IFERROR(__xludf.DUMMYFUNCTION("""COMPUTED_VALUE"""),"Yancha")</f>
        <v>Yancha</v>
      </c>
      <c r="F153" s="63">
        <f>IFERROR(__xludf.DUMMYFUNCTION("""COMPUTED_VALUE"""),40953.0)</f>
        <v>40953</v>
      </c>
    </row>
    <row r="154">
      <c r="A154" s="59" t="str">
        <f>IFERROR(__xludf.DUMMYFUNCTION("""COMPUTED_VALUE"""),"NinJump")</f>
        <v>NinJump</v>
      </c>
      <c r="B154" s="60"/>
      <c r="C154" s="61" t="str">
        <f>IFERROR(__xludf.DUMMYFUNCTION("""COMPUTED_VALUE"""),"Yes")</f>
        <v>Yes</v>
      </c>
      <c r="D154" s="62" t="str">
        <f>IFERROR(__xludf.DUMMYFUNCTION("""COMPUTED_VALUE"""),"Buy all shields for free.")</f>
        <v>Buy all shields for free.</v>
      </c>
      <c r="E154" s="61" t="str">
        <f>IFERROR(__xludf.DUMMYFUNCTION("""COMPUTED_VALUE"""),"Oshydaka")</f>
        <v>Oshydaka</v>
      </c>
      <c r="F154" s="63">
        <f>IFERROR(__xludf.DUMMYFUNCTION("""COMPUTED_VALUE"""),40953.0)</f>
        <v>40953</v>
      </c>
    </row>
    <row r="155">
      <c r="A155" s="59" t="str">
        <f>IFERROR(__xludf.DUMMYFUNCTION("""COMPUTED_VALUE"""),"Shantae: Risky's Revenge")</f>
        <v>Shantae: Risky's Revenge</v>
      </c>
      <c r="B155" s="60"/>
      <c r="C155" s="61" t="str">
        <f>IFERROR(__xludf.DUMMYFUNCTION("""COMPUTED_VALUE"""),"Yes")</f>
        <v>Yes</v>
      </c>
      <c r="D155" s="62" t="str">
        <f>IFERROR(__xludf.DUMMYFUNCTION("""COMPUTED_VALUE"""),"Purchase full version works!")</f>
        <v>Purchase full version works!</v>
      </c>
      <c r="E155" s="61" t="str">
        <f>IFERROR(__xludf.DUMMYFUNCTION("""COMPUTED_VALUE"""),"Keigo@ZA")</f>
        <v>Keigo@ZA</v>
      </c>
      <c r="F155" s="63">
        <f>IFERROR(__xludf.DUMMYFUNCTION("""COMPUTED_VALUE"""),40953.0)</f>
        <v>40953</v>
      </c>
    </row>
    <row r="156">
      <c r="A156" s="59" t="str">
        <f>IFERROR(__xludf.DUMMYFUNCTION("""COMPUTED_VALUE"""),"Beat Hazard Ultra")</f>
        <v>Beat Hazard Ultra</v>
      </c>
      <c r="B156" s="60"/>
      <c r="C156" s="61" t="str">
        <f>IFERROR(__xludf.DUMMYFUNCTION("""COMPUTED_VALUE"""),"Yes")</f>
        <v>Yes</v>
      </c>
      <c r="D156" s="62"/>
      <c r="E156" s="61" t="str">
        <f>IFERROR(__xludf.DUMMYFUNCTION("""COMPUTED_VALUE"""),"SkHero")</f>
        <v>SkHero</v>
      </c>
      <c r="F156" s="63">
        <f>IFERROR(__xludf.DUMMYFUNCTION("""COMPUTED_VALUE"""),40952.0)</f>
        <v>40952</v>
      </c>
    </row>
    <row r="157">
      <c r="A157" s="59" t="str">
        <f>IFERROR(__xludf.DUMMYFUNCTION("""COMPUTED_VALUE"""),"Capture Pilot")</f>
        <v>Capture Pilot</v>
      </c>
      <c r="B157" s="60"/>
      <c r="C157" s="61" t="str">
        <f>IFERROR(__xludf.DUMMYFUNCTION("""COMPUTED_VALUE"""),"Yes")</f>
        <v>Yes</v>
      </c>
      <c r="D157" s="62"/>
      <c r="E157" s="61" t="str">
        <f>IFERROR(__xludf.DUMMYFUNCTION("""COMPUTED_VALUE"""),"LogiTexX")</f>
        <v>LogiTexX</v>
      </c>
      <c r="F157" s="63">
        <f>IFERROR(__xludf.DUMMYFUNCTION("""COMPUTED_VALUE"""),40952.0)</f>
        <v>40952</v>
      </c>
    </row>
    <row r="158">
      <c r="A158" s="59" t="str">
        <f>IFERROR(__xludf.DUMMYFUNCTION("""COMPUTED_VALUE"""),"Gun Club 2")</f>
        <v>Gun Club 2</v>
      </c>
      <c r="B158" s="60"/>
      <c r="C158" s="61" t="str">
        <f>IFERROR(__xludf.DUMMYFUNCTION("""COMPUTED_VALUE"""),"Yes")</f>
        <v>Yes</v>
      </c>
      <c r="D158" s="62" t="str">
        <f>IFERROR(__xludf.DUMMYFUNCTION("""COMPUTED_VALUE"""),"It pops up buy with iTunes, hit the iTunes symbol and it will be unlocked.  My iTunes account has no credit card or funds on it and I got the gun packs for free.")</f>
        <v>It pops up buy with iTunes, hit the iTunes symbol and it will be unlocked.  My iTunes account has no credit card or funds on it and I got the gun packs for free.</v>
      </c>
      <c r="E158" s="61" t="str">
        <f>IFERROR(__xludf.DUMMYFUNCTION("""COMPUTED_VALUE"""),"Venom")</f>
        <v>Venom</v>
      </c>
      <c r="F158" s="63">
        <f>IFERROR(__xludf.DUMMYFUNCTION("""COMPUTED_VALUE"""),40952.0)</f>
        <v>40952</v>
      </c>
    </row>
    <row r="159">
      <c r="A159" s="59" t="str">
        <f>IFERROR(__xludf.DUMMYFUNCTION("""COMPUTED_VALUE"""),"Remoter VNC")</f>
        <v>Remoter VNC</v>
      </c>
      <c r="B159" s="60"/>
      <c r="C159" s="61" t="str">
        <f>IFERROR(__xludf.DUMMYFUNCTION("""COMPUTED_VALUE"""),"Yes")</f>
        <v>Yes</v>
      </c>
      <c r="D159" s="62" t="str">
        <f>IFERROR(__xludf.DUMMYFUNCTION("""COMPUTED_VALUE"""),"works completly :)")</f>
        <v>works completly :)</v>
      </c>
      <c r="E159" s="61" t="str">
        <f>IFERROR(__xludf.DUMMYFUNCTION("""COMPUTED_VALUE"""),"LogiTexX")</f>
        <v>LogiTexX</v>
      </c>
      <c r="F159" s="63">
        <f>IFERROR(__xludf.DUMMYFUNCTION("""COMPUTED_VALUE"""),40952.0)</f>
        <v>40952</v>
      </c>
    </row>
    <row r="160">
      <c r="A160" s="59" t="str">
        <f>IFERROR(__xludf.DUMMYFUNCTION("""COMPUTED_VALUE"""),"Tip-Off")</f>
        <v>Tip-Off</v>
      </c>
      <c r="B160" s="60"/>
      <c r="C160" s="61" t="str">
        <f>IFERROR(__xludf.DUMMYFUNCTION("""COMPUTED_VALUE"""),"Yes")</f>
        <v>Yes</v>
      </c>
      <c r="D160" s="62" t="str">
        <f>IFERROR(__xludf.DUMMYFUNCTION("""COMPUTED_VALUE"""),"Can buy coins")</f>
        <v>Can buy coins</v>
      </c>
      <c r="E160" s="61" t="str">
        <f>IFERROR(__xludf.DUMMYFUNCTION("""COMPUTED_VALUE"""),"Livedraz")</f>
        <v>Livedraz</v>
      </c>
      <c r="F160" s="63">
        <f>IFERROR(__xludf.DUMMYFUNCTION("""COMPUTED_VALUE"""),40952.0)</f>
        <v>40952</v>
      </c>
    </row>
    <row r="161">
      <c r="A161" s="59" t="str">
        <f>IFERROR(__xludf.DUMMYFUNCTION("""COMPUTED_VALUE"""),"Boxman HD")</f>
        <v>Boxman HD</v>
      </c>
      <c r="B161" s="60"/>
      <c r="C161" s="61" t="str">
        <f>IFERROR(__xludf.DUMMYFUNCTION("""COMPUTED_VALUE"""),"Yes")</f>
        <v>Yes</v>
      </c>
      <c r="D161" s="62" t="str">
        <f>IFERROR(__xludf.DUMMYFUNCTION("""COMPUTED_VALUE"""),"Can buy more ""initial money""")</f>
        <v>Can buy more "initial money"</v>
      </c>
      <c r="E161" s="61" t="str">
        <f>IFERROR(__xludf.DUMMYFUNCTION("""COMPUTED_VALUE"""),"chowlala")</f>
        <v>chowlala</v>
      </c>
      <c r="F161" s="63">
        <f>IFERROR(__xludf.DUMMYFUNCTION("""COMPUTED_VALUE"""),40951.0)</f>
        <v>40951</v>
      </c>
    </row>
    <row r="162">
      <c r="A162" s="59" t="str">
        <f>IFERROR(__xludf.DUMMYFUNCTION("""COMPUTED_VALUE"""),"Farm Frenzy 3")</f>
        <v>Farm Frenzy 3</v>
      </c>
      <c r="B162" s="60"/>
      <c r="C162" s="61" t="str">
        <f>IFERROR(__xludf.DUMMYFUNCTION("""COMPUTED_VALUE"""),"Yes")</f>
        <v>Yes</v>
      </c>
      <c r="D162" s="62" t="str">
        <f>IFERROR(__xludf.DUMMYFUNCTION("""COMPUTED_VALUE"""),"Can buy stars")</f>
        <v>Can buy stars</v>
      </c>
      <c r="E162" s="61" t="str">
        <f>IFERROR(__xludf.DUMMYFUNCTION("""COMPUTED_VALUE"""),"phatpham, chowlala")</f>
        <v>phatpham, chowlala</v>
      </c>
      <c r="F162" s="63">
        <f>IFERROR(__xludf.DUMMYFUNCTION("""COMPUTED_VALUE"""),40951.0)</f>
        <v>40951</v>
      </c>
    </row>
    <row r="163">
      <c r="A163" s="59" t="str">
        <f>IFERROR(__xludf.DUMMYFUNCTION("""COMPUTED_VALUE"""),"Grolly")</f>
        <v>Grolly</v>
      </c>
      <c r="B163" s="60"/>
      <c r="C163" s="61" t="str">
        <f>IFERROR(__xludf.DUMMYFUNCTION("""COMPUTED_VALUE"""),"yes")</f>
        <v>yes</v>
      </c>
      <c r="D163" s="62" t="str">
        <f>IFERROR(__xludf.DUMMYFUNCTION("""COMPUTED_VALUE"""),"can purchase the additional 2 chapters")</f>
        <v>can purchase the additional 2 chapters</v>
      </c>
      <c r="E163" s="61" t="str">
        <f>IFERROR(__xludf.DUMMYFUNCTION("""COMPUTED_VALUE"""),"ZinFab")</f>
        <v>ZinFab</v>
      </c>
      <c r="F163" s="63">
        <f>IFERROR(__xludf.DUMMYFUNCTION("""COMPUTED_VALUE"""),40951.0)</f>
        <v>40951</v>
      </c>
    </row>
    <row r="164">
      <c r="A164" s="59" t="str">
        <f>IFERROR(__xludf.DUMMYFUNCTION("""COMPUTED_VALUE"""),"Gun Bros")</f>
        <v>Gun Bros</v>
      </c>
      <c r="B164" s="60"/>
      <c r="C164" s="61" t="str">
        <f>IFERROR(__xludf.DUMMYFUNCTION("""COMPUTED_VALUE"""),"Yes")</f>
        <v>Yes</v>
      </c>
      <c r="D164" s="62" t="str">
        <f>IFERROR(__xludf.DUMMYFUNCTION("""COMPUTED_VALUE"""),"I used it on last and it worked thanx IAP")</f>
        <v>I used it on last and it worked thanx IAP</v>
      </c>
      <c r="E164" s="61" t="str">
        <f>IFERROR(__xludf.DUMMYFUNCTION("""COMPUTED_VALUE"""),"Reaper, ardaozkal.com")</f>
        <v>Reaper, ardaozkal.com</v>
      </c>
      <c r="F164" s="63">
        <f>IFERROR(__xludf.DUMMYFUNCTION("""COMPUTED_VALUE"""),40951.0)</f>
        <v>40951</v>
      </c>
    </row>
    <row r="165">
      <c r="A165" s="59" t="str">
        <f>IFERROR(__xludf.DUMMYFUNCTION("""COMPUTED_VALUE"""),"Monster")</f>
        <v>Monster</v>
      </c>
      <c r="B165" s="60"/>
      <c r="C165" s="61" t="str">
        <f>IFERROR(__xludf.DUMMYFUNCTION("""COMPUTED_VALUE"""),"Yes")</f>
        <v>Yes</v>
      </c>
      <c r="D165" s="62"/>
      <c r="E165" s="61" t="str">
        <f>IFERROR(__xludf.DUMMYFUNCTION("""COMPUTED_VALUE"""),"Victorinoxdxd")</f>
        <v>Victorinoxdxd</v>
      </c>
      <c r="F165" s="63">
        <f>IFERROR(__xludf.DUMMYFUNCTION("""COMPUTED_VALUE"""),40951.0)</f>
        <v>40951</v>
      </c>
    </row>
    <row r="166">
      <c r="A166" s="59" t="str">
        <f>IFERROR(__xludf.DUMMYFUNCTION("""COMPUTED_VALUE"""),"Toontastic ")</f>
        <v>Toontastic </v>
      </c>
      <c r="B166" s="60"/>
      <c r="C166" s="61" t="str">
        <f>IFERROR(__xludf.DUMMYFUNCTION("""COMPUTED_VALUE"""),"Yes")</f>
        <v>Yes</v>
      </c>
      <c r="D166" s="62" t="str">
        <f>IFERROR(__xludf.DUMMYFUNCTION("""COMPUTED_VALUE"""),"can purchase all the other packs")</f>
        <v>can purchase all the other packs</v>
      </c>
      <c r="E166" s="61" t="str">
        <f>IFERROR(__xludf.DUMMYFUNCTION("""COMPUTED_VALUE"""),"ZinFab")</f>
        <v>ZinFab</v>
      </c>
      <c r="F166" s="63">
        <f>IFERROR(__xludf.DUMMYFUNCTION("""COMPUTED_VALUE"""),40951.0)</f>
        <v>40951</v>
      </c>
    </row>
    <row r="167">
      <c r="A167" s="59" t="str">
        <f>IFERROR(__xludf.DUMMYFUNCTION("""COMPUTED_VALUE"""),"7 Little Words")</f>
        <v>7 Little Words</v>
      </c>
      <c r="B167" s="60"/>
      <c r="C167" s="61" t="str">
        <f>IFERROR(__xludf.DUMMYFUNCTION("""COMPUTED_VALUE"""),"Yes")</f>
        <v>Yes</v>
      </c>
      <c r="D167" s="62" t="str">
        <f>IFERROR(__xludf.DUMMYFUNCTION("""COMPUTED_VALUE"""),"Buy all the puzzles")</f>
        <v>Buy all the puzzles</v>
      </c>
      <c r="E167" s="61" t="str">
        <f>IFERROR(__xludf.DUMMYFUNCTION("""COMPUTED_VALUE"""),"Neerolyte")</f>
        <v>Neerolyte</v>
      </c>
      <c r="F167" s="63">
        <f>IFERROR(__xludf.DUMMYFUNCTION("""COMPUTED_VALUE"""),40950.0)</f>
        <v>40950</v>
      </c>
    </row>
    <row r="168">
      <c r="A168" s="59" t="str">
        <f>IFERROR(__xludf.DUMMYFUNCTION("""COMPUTED_VALUE"""),"Anthill")</f>
        <v>Anthill</v>
      </c>
      <c r="B168" s="60"/>
      <c r="C168" s="61" t="str">
        <f>IFERROR(__xludf.DUMMYFUNCTION("""COMPUTED_VALUE"""),"Yes")</f>
        <v>Yes</v>
      </c>
      <c r="D168" s="62" t="str">
        <f>IFERROR(__xludf.DUMMYFUNCTION("""COMPUTED_VALUE"""),"Can buy stars")</f>
        <v>Can buy stars</v>
      </c>
      <c r="E168" s="61" t="str">
        <f>IFERROR(__xludf.DUMMYFUNCTION("""COMPUTED_VALUE"""),"chowlala")</f>
        <v>chowlala</v>
      </c>
      <c r="F168" s="63">
        <f>IFERROR(__xludf.DUMMYFUNCTION("""COMPUTED_VALUE"""),40950.0)</f>
        <v>40950</v>
      </c>
    </row>
    <row r="169">
      <c r="A169" s="59" t="str">
        <f>IFERROR(__xludf.DUMMYFUNCTION("""COMPUTED_VALUE"""),"FingerLaser")</f>
        <v>FingerLaser</v>
      </c>
      <c r="B169" s="60"/>
      <c r="C169" s="61" t="str">
        <f>IFERROR(__xludf.DUMMYFUNCTION("""COMPUTED_VALUE"""),"Yes")</f>
        <v>Yes</v>
      </c>
      <c r="D169" s="62" t="str">
        <f>IFERROR(__xludf.DUMMYFUNCTION("""COMPUTED_VALUE"""),"Everything works perfectly!")</f>
        <v>Everything works perfectly!</v>
      </c>
      <c r="E169" s="61" t="str">
        <f>IFERROR(__xludf.DUMMYFUNCTION("""COMPUTED_VALUE"""),"Mazzacane")</f>
        <v>Mazzacane</v>
      </c>
      <c r="F169" s="63">
        <f>IFERROR(__xludf.DUMMYFUNCTION("""COMPUTED_VALUE"""),40950.0)</f>
        <v>40950</v>
      </c>
    </row>
    <row r="170">
      <c r="A170" s="59" t="str">
        <f>IFERROR(__xludf.DUMMYFUNCTION("""COMPUTED_VALUE"""),"Paper Monsters")</f>
        <v>Paper Monsters</v>
      </c>
      <c r="B170" s="60"/>
      <c r="C170" s="61" t="str">
        <f>IFERROR(__xludf.DUMMYFUNCTION("""COMPUTED_VALUE"""),"Yes")</f>
        <v>Yes</v>
      </c>
      <c r="D170" s="62" t="str">
        <f>IFERROR(__xludf.DUMMYFUNCTION("""COMPUTED_VALUE"""),"1.1 Can purchase buttons")</f>
        <v>1.1 Can purchase buttons</v>
      </c>
      <c r="E170" s="61" t="str">
        <f>IFERROR(__xludf.DUMMYFUNCTION("""COMPUTED_VALUE"""),"Keigo@ZA")</f>
        <v>Keigo@ZA</v>
      </c>
      <c r="F170" s="63">
        <f>IFERROR(__xludf.DUMMYFUNCTION("""COMPUTED_VALUE"""),40950.0)</f>
        <v>40950</v>
      </c>
    </row>
    <row r="171">
      <c r="A171" s="59" t="str">
        <f>IFERROR(__xludf.DUMMYFUNCTION("""COMPUTED_VALUE"""),"Timer+")</f>
        <v>Timer+</v>
      </c>
      <c r="B171" s="60"/>
      <c r="C171" s="61" t="str">
        <f>IFERROR(__xludf.DUMMYFUNCTION("""COMPUTED_VALUE"""),"Yes")</f>
        <v>Yes</v>
      </c>
      <c r="D171" s="62" t="str">
        <f>IFERROR(__xludf.DUMMYFUNCTION("""COMPUTED_VALUE"""),"Can ""purchase"" sound packs and ad-free")</f>
        <v>Can "purchase" sound packs and ad-free</v>
      </c>
      <c r="E171" s="61" t="str">
        <f>IFERROR(__xludf.DUMMYFUNCTION("""COMPUTED_VALUE"""),"Amanda")</f>
        <v>Amanda</v>
      </c>
      <c r="F171" s="63">
        <f>IFERROR(__xludf.DUMMYFUNCTION("""COMPUTED_VALUE"""),40950.0)</f>
        <v>40950</v>
      </c>
    </row>
    <row r="172">
      <c r="A172" s="59" t="str">
        <f>IFERROR(__xludf.DUMMYFUNCTION("""COMPUTED_VALUE"""),"Todo 360")</f>
        <v>Todo 360</v>
      </c>
      <c r="B172" s="60"/>
      <c r="C172" s="61" t="str">
        <f>IFERROR(__xludf.DUMMYFUNCTION("""COMPUTED_VALUE"""),"Yes")</f>
        <v>Yes</v>
      </c>
      <c r="D172" s="62" t="str">
        <f>IFERROR(__xludf.DUMMYFUNCTION("""COMPUTED_VALUE"""),"Can ""purchase"" upgrade to full version")</f>
        <v>Can "purchase" upgrade to full version</v>
      </c>
      <c r="E172" s="61" t="str">
        <f>IFERROR(__xludf.DUMMYFUNCTION("""COMPUTED_VALUE"""),"Amanda")</f>
        <v>Amanda</v>
      </c>
      <c r="F172" s="63">
        <f>IFERROR(__xludf.DUMMYFUNCTION("""COMPUTED_VALUE"""),40950.0)</f>
        <v>40950</v>
      </c>
    </row>
    <row r="173">
      <c r="A173" s="59" t="str">
        <f>IFERROR(__xludf.DUMMYFUNCTION("""COMPUTED_VALUE"""),"Exoplanet")</f>
        <v>Exoplanet</v>
      </c>
      <c r="B173" s="60"/>
      <c r="C173" s="61" t="str">
        <f>IFERROR(__xludf.DUMMYFUNCTION("""COMPUTED_VALUE"""),"Yes")</f>
        <v>Yes</v>
      </c>
      <c r="D173" s="62" t="str">
        <f>IFERROR(__xludf.DUMMYFUNCTION("""COMPUTED_VALUE"""),"Can buy anything")</f>
        <v>Can buy anything</v>
      </c>
      <c r="E173" s="61" t="str">
        <f>IFERROR(__xludf.DUMMYFUNCTION("""COMPUTED_VALUE"""),"tuankiet65")</f>
        <v>tuankiet65</v>
      </c>
      <c r="F173" s="63">
        <f>IFERROR(__xludf.DUMMYFUNCTION("""COMPUTED_VALUE"""),40949.0)</f>
        <v>40949</v>
      </c>
    </row>
    <row r="174">
      <c r="A174" s="59" t="str">
        <f>IFERROR(__xludf.DUMMYFUNCTION("""COMPUTED_VALUE"""),"FarmKill")</f>
        <v>FarmKill</v>
      </c>
      <c r="B174" s="60"/>
      <c r="C174" s="61" t="str">
        <f>IFERROR(__xludf.DUMMYFUNCTION("""COMPUTED_VALUE"""),"Yes")</f>
        <v>Yes</v>
      </c>
      <c r="D174" s="62" t="str">
        <f>IFERROR(__xludf.DUMMYFUNCTION("""COMPUTED_VALUE"""),"You can purchase farm cash")</f>
        <v>You can purchase farm cash</v>
      </c>
      <c r="E174" s="61" t="str">
        <f>IFERROR(__xludf.DUMMYFUNCTION("""COMPUTED_VALUE"""),"Nakediguana")</f>
        <v>Nakediguana</v>
      </c>
      <c r="F174" s="63">
        <f>IFERROR(__xludf.DUMMYFUNCTION("""COMPUTED_VALUE"""),40949.0)</f>
        <v>40949</v>
      </c>
    </row>
    <row r="175">
      <c r="A175" s="59" t="str">
        <f>IFERROR(__xludf.DUMMYFUNCTION("""COMPUTED_VALUE"""),"Fix-It-Up HD")</f>
        <v>Fix-It-Up HD</v>
      </c>
      <c r="B175" s="60"/>
      <c r="C175" s="61" t="str">
        <f>IFERROR(__xludf.DUMMYFUNCTION("""COMPUTED_VALUE"""),"Yes")</f>
        <v>Yes</v>
      </c>
      <c r="D175" s="62" t="str">
        <f>IFERROR(__xludf.DUMMYFUNCTION("""COMPUTED_VALUE"""),"Free → Full")</f>
        <v>Free → Full</v>
      </c>
      <c r="E175" s="61" t="str">
        <f>IFERROR(__xludf.DUMMYFUNCTION("""COMPUTED_VALUE"""),"KeyserSoze")</f>
        <v>KeyserSoze</v>
      </c>
      <c r="F175" s="63">
        <f>IFERROR(__xludf.DUMMYFUNCTION("""COMPUTED_VALUE"""),40949.0)</f>
        <v>40949</v>
      </c>
    </row>
    <row r="176">
      <c r="A176" s="59" t="str">
        <f>IFERROR(__xludf.DUMMYFUNCTION("""COMPUTED_VALUE"""),"Instant110")</f>
        <v>Instant110</v>
      </c>
      <c r="B176" s="60"/>
      <c r="C176" s="61" t="str">
        <f>IFERROR(__xludf.DUMMYFUNCTION("""COMPUTED_VALUE"""),"Yes")</f>
        <v>Yes</v>
      </c>
      <c r="D176" s="62" t="str">
        <f>IFERROR(__xludf.DUMMYFUNCTION("""COMPUTED_VALUE"""),"Works perfectly for all purchases.")</f>
        <v>Works perfectly for all purchases.</v>
      </c>
      <c r="E176" s="61" t="str">
        <f>IFERROR(__xludf.DUMMYFUNCTION("""COMPUTED_VALUE"""),"Satellizer29")</f>
        <v>Satellizer29</v>
      </c>
      <c r="F176" s="63">
        <f>IFERROR(__xludf.DUMMYFUNCTION("""COMPUTED_VALUE"""),40949.0)</f>
        <v>40949</v>
      </c>
    </row>
    <row r="177">
      <c r="A177" s="59" t="str">
        <f>IFERROR(__xludf.DUMMYFUNCTION("""COMPUTED_VALUE"""),"Millionaire Tycoon")</f>
        <v>Millionaire Tycoon</v>
      </c>
      <c r="B177" s="60"/>
      <c r="C177" s="61" t="str">
        <f>IFERROR(__xludf.DUMMYFUNCTION("""COMPUTED_VALUE"""),"Yes")</f>
        <v>Yes</v>
      </c>
      <c r="D177" s="62" t="str">
        <f>IFERROR(__xludf.DUMMYFUNCTION("""COMPUTED_VALUE"""),"6.7 Can purchase levels pack")</f>
        <v>6.7 Can purchase levels pack</v>
      </c>
      <c r="E177" s="61" t="str">
        <f>IFERROR(__xludf.DUMMYFUNCTION("""COMPUTED_VALUE"""),"Keigo@ZA")</f>
        <v>Keigo@ZA</v>
      </c>
      <c r="F177" s="63">
        <f>IFERROR(__xludf.DUMMYFUNCTION("""COMPUTED_VALUE"""),40949.0)</f>
        <v>40949</v>
      </c>
    </row>
    <row r="178">
      <c r="A178" s="59" t="str">
        <f>IFERROR(__xludf.DUMMYFUNCTION("""COMPUTED_VALUE"""),"Ragdoll Blaster 3")</f>
        <v>Ragdoll Blaster 3</v>
      </c>
      <c r="B178" s="60"/>
      <c r="C178" s="61" t="str">
        <f>IFERROR(__xludf.DUMMYFUNCTION("""COMPUTED_VALUE"""),"Yes")</f>
        <v>Yes</v>
      </c>
      <c r="D178" s="62" t="str">
        <f>IFERROR(__xludf.DUMMYFUNCTION("""COMPUTED_VALUE"""),"To purchase buttons and Rocket Doll you must have ""Remove Metadata"" on Installous turned off otherwise you will get iTunes error.")</f>
        <v>To purchase buttons and Rocket Doll you must have "Remove Metadata" on Installous turned off otherwise you will get iTunes error.</v>
      </c>
      <c r="E178" s="61" t="str">
        <f>IFERROR(__xludf.DUMMYFUNCTION("""COMPUTED_VALUE"""),"Nakediguana, Zaraf")</f>
        <v>Nakediguana, Zaraf</v>
      </c>
      <c r="F178" s="63">
        <f>IFERROR(__xludf.DUMMYFUNCTION("""COMPUTED_VALUE"""),40949.0)</f>
        <v>40949</v>
      </c>
    </row>
    <row r="179">
      <c r="A179" s="59" t="str">
        <f>IFERROR(__xludf.DUMMYFUNCTION("""COMPUTED_VALUE"""),"Snuggle Truck")</f>
        <v>Snuggle Truck</v>
      </c>
      <c r="B179" s="60"/>
      <c r="C179" s="61" t="str">
        <f>IFERROR(__xludf.DUMMYFUNCTION("""COMPUTED_VALUE"""),"Yes")</f>
        <v>Yes</v>
      </c>
      <c r="D179" s="62" t="str">
        <f>IFERROR(__xludf.DUMMYFUNCTION("""COMPUTED_VALUE"""),"Can purchase everything")</f>
        <v>Can purchase everything</v>
      </c>
      <c r="E179" s="61" t="str">
        <f>IFERROR(__xludf.DUMMYFUNCTION("""COMPUTED_VALUE"""),"Nakediguana")</f>
        <v>Nakediguana</v>
      </c>
      <c r="F179" s="63">
        <f>IFERROR(__xludf.DUMMYFUNCTION("""COMPUTED_VALUE"""),40949.0)</f>
        <v>40949</v>
      </c>
    </row>
    <row r="180">
      <c r="A180" s="59" t="str">
        <f>IFERROR(__xludf.DUMMYFUNCTION("""COMPUTED_VALUE"""),"TableDrum")</f>
        <v>TableDrum</v>
      </c>
      <c r="B180" s="60"/>
      <c r="C180" s="61" t="str">
        <f>IFERROR(__xludf.DUMMYFUNCTION("""COMPUTED_VALUE"""),"Yes")</f>
        <v>Yes</v>
      </c>
      <c r="D180" s="62"/>
      <c r="E180" s="61" t="str">
        <f>IFERROR(__xludf.DUMMYFUNCTION("""COMPUTED_VALUE"""),"Arayel")</f>
        <v>Arayel</v>
      </c>
      <c r="F180" s="63">
        <f>IFERROR(__xludf.DUMMYFUNCTION("""COMPUTED_VALUE"""),40949.0)</f>
        <v>40949</v>
      </c>
    </row>
    <row r="181">
      <c r="A181" s="59" t="str">
        <f>IFERROR(__xludf.DUMMYFUNCTION("""COMPUTED_VALUE"""),"Xperica HD")</f>
        <v>Xperica HD</v>
      </c>
      <c r="B181" s="60"/>
      <c r="C181" s="61" t="str">
        <f>IFERROR(__xludf.DUMMYFUNCTION("""COMPUTED_VALUE"""),"Yes")</f>
        <v>Yes</v>
      </c>
      <c r="D181" s="62" t="str">
        <f>IFERROR(__xludf.DUMMYFUNCTION("""COMPUTED_VALUE"""),"Can buy the experiment pack")</f>
        <v>Can buy the experiment pack</v>
      </c>
      <c r="E181" s="61" t="str">
        <f>IFERROR(__xludf.DUMMYFUNCTION("""COMPUTED_VALUE"""),"tuankiet65")</f>
        <v>tuankiet65</v>
      </c>
      <c r="F181" s="63">
        <f>IFERROR(__xludf.DUMMYFUNCTION("""COMPUTED_VALUE"""),40949.0)</f>
        <v>40949</v>
      </c>
    </row>
    <row r="182">
      <c r="A182" s="59" t="str">
        <f>IFERROR(__xludf.DUMMYFUNCTION("""COMPUTED_VALUE"""),"Doctor Who: The Mazes of Time")</f>
        <v>Doctor Who: The Mazes of Time</v>
      </c>
      <c r="B182" s="60"/>
      <c r="C182" s="61" t="str">
        <f>IFERROR(__xludf.DUMMYFUNCTION("""COMPUTED_VALUE"""),"Yes")</f>
        <v>Yes</v>
      </c>
      <c r="D182" s="62" t="str">
        <f>IFERROR(__xludf.DUMMYFUNCTION("""COMPUTED_VALUE"""),"Works perfectly for all purchases")</f>
        <v>Works perfectly for all purchases</v>
      </c>
      <c r="E182" s="61" t="str">
        <f>IFERROR(__xludf.DUMMYFUNCTION("""COMPUTED_VALUE"""),"Qixx")</f>
        <v>Qixx</v>
      </c>
      <c r="F182" s="63">
        <f>IFERROR(__xludf.DUMMYFUNCTION("""COMPUTED_VALUE"""),40948.0)</f>
        <v>40948</v>
      </c>
    </row>
    <row r="183">
      <c r="A183" s="59" t="str">
        <f>IFERROR(__xludf.DUMMYFUNCTION("""COMPUTED_VALUE"""),"Falling Fred")</f>
        <v>Falling Fred</v>
      </c>
      <c r="B183" s="60"/>
      <c r="C183" s="61" t="str">
        <f>IFERROR(__xludf.DUMMYFUNCTION("""COMPUTED_VALUE"""),"Yes")</f>
        <v>Yes</v>
      </c>
      <c r="D183" s="62" t="str">
        <f>IFERROR(__xludf.DUMMYFUNCTION("""COMPUTED_VALUE"""),"Buy other characters.")</f>
        <v>Buy other characters.</v>
      </c>
      <c r="E183" s="61" t="str">
        <f>IFERROR(__xludf.DUMMYFUNCTION("""COMPUTED_VALUE"""),"Kev63")</f>
        <v>Kev63</v>
      </c>
      <c r="F183" s="63">
        <f>IFERROR(__xludf.DUMMYFUNCTION("""COMPUTED_VALUE"""),40948.0)</f>
        <v>40948</v>
      </c>
    </row>
    <row r="184">
      <c r="A184" s="59" t="str">
        <f>IFERROR(__xludf.DUMMYFUNCTION("""COMPUTED_VALUE"""),"Falling Fred Z")</f>
        <v>Falling Fred Z</v>
      </c>
      <c r="B184" s="60"/>
      <c r="C184" s="61" t="str">
        <f>IFERROR(__xludf.DUMMYFUNCTION("""COMPUTED_VALUE"""),"Yes")</f>
        <v>Yes</v>
      </c>
      <c r="D184" s="62" t="str">
        <f>IFERROR(__xludf.DUMMYFUNCTION("""COMPUTED_VALUE"""),"Remove ads.")</f>
        <v>Remove ads.</v>
      </c>
      <c r="E184" s="61" t="str">
        <f>IFERROR(__xludf.DUMMYFUNCTION("""COMPUTED_VALUE"""),"Kev63")</f>
        <v>Kev63</v>
      </c>
      <c r="F184" s="63">
        <f>IFERROR(__xludf.DUMMYFUNCTION("""COMPUTED_VALUE"""),40948.0)</f>
        <v>40948</v>
      </c>
    </row>
    <row r="185">
      <c r="A185" s="59" t="str">
        <f>IFERROR(__xludf.DUMMYFUNCTION("""COMPUTED_VALUE"""),"M.U.S.E.")</f>
        <v>M.U.S.E.</v>
      </c>
      <c r="B185" s="60" t="str">
        <f>IFERROR(__xludf.DUMMYFUNCTION("""COMPUTED_VALUE"""),"1.1.1")</f>
        <v>1.1.1</v>
      </c>
      <c r="C185" s="61" t="str">
        <f>IFERROR(__xludf.DUMMYFUNCTION("""COMPUTED_VALUE"""),"Yes")</f>
        <v>Yes</v>
      </c>
      <c r="D185" s="62" t="str">
        <f>IFERROR(__xludf.DUMMYFUNCTION("""COMPUTED_VALUE"""),"1.1.1 Can buy credits")</f>
        <v>1.1.1 Can buy credits</v>
      </c>
      <c r="E185" s="61" t="str">
        <f>IFERROR(__xludf.DUMMYFUNCTION("""COMPUTED_VALUE"""),"Keigo@ZA")</f>
        <v>Keigo@ZA</v>
      </c>
      <c r="F185" s="63">
        <f>IFERROR(__xludf.DUMMYFUNCTION("""COMPUTED_VALUE"""),40948.0)</f>
        <v>40948</v>
      </c>
    </row>
    <row r="186">
      <c r="A186" s="59" t="str">
        <f>IFERROR(__xludf.DUMMYFUNCTION("""COMPUTED_VALUE"""),"Raid Leader")</f>
        <v>Raid Leader</v>
      </c>
      <c r="B186" s="60"/>
      <c r="C186" s="61" t="str">
        <f>IFERROR(__xludf.DUMMYFUNCTION("""COMPUTED_VALUE"""),"Yes")</f>
        <v>Yes</v>
      </c>
      <c r="D186" s="62" t="str">
        <f>IFERROR(__xludf.DUMMYFUNCTION("""COMPUTED_VALUE"""),"You can buy coins.")</f>
        <v>You can buy coins.</v>
      </c>
      <c r="E186" s="61" t="str">
        <f>IFERROR(__xludf.DUMMYFUNCTION("""COMPUTED_VALUE"""),"Zaraf")</f>
        <v>Zaraf</v>
      </c>
      <c r="F186" s="63">
        <f>IFERROR(__xludf.DUMMYFUNCTION("""COMPUTED_VALUE"""),40948.0)</f>
        <v>40948</v>
      </c>
    </row>
    <row r="187">
      <c r="A187" s="59" t="str">
        <f>IFERROR(__xludf.DUMMYFUNCTION("""COMPUTED_VALUE"""),"Zen Warrior")</f>
        <v>Zen Warrior</v>
      </c>
      <c r="B187" s="60"/>
      <c r="C187" s="61" t="str">
        <f>IFERROR(__xludf.DUMMYFUNCTION("""COMPUTED_VALUE"""),"Yes")</f>
        <v>Yes</v>
      </c>
      <c r="D187" s="62" t="str">
        <f>IFERROR(__xludf.DUMMYFUNCTION("""COMPUTED_VALUE"""),"You can buy a coins.")</f>
        <v>You can buy a coins.</v>
      </c>
      <c r="E187" s="61" t="str">
        <f>IFERROR(__xludf.DUMMYFUNCTION("""COMPUTED_VALUE"""),"Sir SkinowZ")</f>
        <v>Sir SkinowZ</v>
      </c>
      <c r="F187" s="63">
        <f>IFERROR(__xludf.DUMMYFUNCTION("""COMPUTED_VALUE"""),40948.0)</f>
        <v>40948</v>
      </c>
    </row>
    <row r="188">
      <c r="A188" s="59" t="str">
        <f>IFERROR(__xludf.DUMMYFUNCTION("""COMPUTED_VALUE"""),"Battery Watch Plus (free) v2.1.0 [iPhone]")</f>
        <v>Battery Watch Plus (free) v2.1.0 [iPhone]</v>
      </c>
      <c r="B188" s="60" t="str">
        <f>IFERROR(__xludf.DUMMYFUNCTION("""COMPUTED_VALUE"""),"2.1.0")</f>
        <v>2.1.0</v>
      </c>
      <c r="C188" s="61" t="str">
        <f>IFERROR(__xludf.DUMMYFUNCTION("""COMPUTED_VALUE"""),"Yes")</f>
        <v>Yes</v>
      </c>
      <c r="D188" s="62" t="str">
        <f>IFERROR(__xludf.DUMMYFUNCTION("""COMPUTED_VALUE"""),"Unlock Pro Features ($0.99)")</f>
        <v>Unlock Pro Features ($0.99)</v>
      </c>
      <c r="E188" s="61" t="str">
        <f>IFERROR(__xludf.DUMMYFUNCTION("""COMPUTED_VALUE"""),"DarkSkies")</f>
        <v>DarkSkies</v>
      </c>
      <c r="F188" s="63">
        <f>IFERROR(__xludf.DUMMYFUNCTION("""COMPUTED_VALUE"""),40947.0)</f>
        <v>40947</v>
      </c>
    </row>
    <row r="189">
      <c r="A189" s="59" t="str">
        <f>IFERROR(__xludf.DUMMYFUNCTION("""COMPUTED_VALUE"""),"Beatwave")</f>
        <v>Beatwave</v>
      </c>
      <c r="B189" s="60"/>
      <c r="C189" s="61" t="str">
        <f>IFERROR(__xludf.DUMMYFUNCTION("""COMPUTED_VALUE"""),"Yes")</f>
        <v>Yes</v>
      </c>
      <c r="D189" s="62" t="str">
        <f>IFERROR(__xludf.DUMMYFUNCTION("""COMPUTED_VALUE"""),"Able to download all song packs and loops well. No issues.")</f>
        <v>Able to download all song packs and loops well. No issues.</v>
      </c>
      <c r="E189" s="61" t="str">
        <f>IFERROR(__xludf.DUMMYFUNCTION("""COMPUTED_VALUE"""),"jeremy89632")</f>
        <v>jeremy89632</v>
      </c>
      <c r="F189" s="63">
        <f>IFERROR(__xludf.DUMMYFUNCTION("""COMPUTED_VALUE"""),40947.0)</f>
        <v>40947</v>
      </c>
    </row>
    <row r="190">
      <c r="A190" s="59" t="str">
        <f>IFERROR(__xludf.DUMMYFUNCTION("""COMPUTED_VALUE"""),"Nanny Mania")</f>
        <v>Nanny Mania</v>
      </c>
      <c r="B190" s="60"/>
      <c r="C190" s="61" t="str">
        <f>IFERROR(__xludf.DUMMYFUNCTION("""COMPUTED_VALUE"""),"Yes")</f>
        <v>Yes</v>
      </c>
      <c r="D190" s="62" t="str">
        <f>IFERROR(__xludf.DUMMYFUNCTION("""COMPUTED_VALUE"""),"all stage")</f>
        <v>all stage</v>
      </c>
      <c r="E190" s="61" t="str">
        <f>IFERROR(__xludf.DUMMYFUNCTION("""COMPUTED_VALUE"""),"Kals")</f>
        <v>Kals</v>
      </c>
      <c r="F190" s="63">
        <f>IFERROR(__xludf.DUMMYFUNCTION("""COMPUTED_VALUE"""),40947.0)</f>
        <v>40947</v>
      </c>
    </row>
    <row r="191">
      <c r="A191" s="59" t="str">
        <f>IFERROR(__xludf.DUMMYFUNCTION("""COMPUTED_VALUE"""),"No Fear Shakespeare")</f>
        <v>No Fear Shakespeare</v>
      </c>
      <c r="B191" s="60"/>
      <c r="C191" s="61" t="str">
        <f>IFERROR(__xludf.DUMMYFUNCTION("""COMPUTED_VALUE"""),"Yes")</f>
        <v>Yes</v>
      </c>
      <c r="D191" s="62" t="str">
        <f>IFERROR(__xludf.DUMMYFUNCTION("""COMPUTED_VALUE"""),"Can purchase all 18 plays")</f>
        <v>Can purchase all 18 plays</v>
      </c>
      <c r="E191" s="61" t="str">
        <f>IFERROR(__xludf.DUMMYFUNCTION("""COMPUTED_VALUE"""),"Elyktron")</f>
        <v>Elyktron</v>
      </c>
      <c r="F191" s="63">
        <f>IFERROR(__xludf.DUMMYFUNCTION("""COMPUTED_VALUE"""),40947.0)</f>
        <v>40947</v>
      </c>
    </row>
    <row r="192">
      <c r="A192" s="59" t="str">
        <f>IFERROR(__xludf.DUMMYFUNCTION("""COMPUTED_VALUE"""),"Photogene² for iPhone v1.20")</f>
        <v>Photogene² for iPhone v1.20</v>
      </c>
      <c r="B192" s="60"/>
      <c r="C192" s="61" t="str">
        <f>IFERROR(__xludf.DUMMYFUNCTION("""COMPUTED_VALUE"""),"Yes")</f>
        <v>Yes</v>
      </c>
      <c r="D192" s="62" t="str">
        <f>IFERROR(__xludf.DUMMYFUNCTION("""COMPUTED_VALUE"""),"Collage templates, Frames Bundle 1, Go PRO")</f>
        <v>Collage templates, Frames Bundle 1, Go PRO</v>
      </c>
      <c r="E192" s="61" t="str">
        <f>IFERROR(__xludf.DUMMYFUNCTION("""COMPUTED_VALUE"""),"DarkSkies")</f>
        <v>DarkSkies</v>
      </c>
      <c r="F192" s="63">
        <f>IFERROR(__xludf.DUMMYFUNCTION("""COMPUTED_VALUE"""),40947.0)</f>
        <v>40947</v>
      </c>
    </row>
    <row r="193">
      <c r="A193" s="59" t="str">
        <f>IFERROR(__xludf.DUMMYFUNCTION("""COMPUTED_VALUE"""),"Robot Wants Kitty")</f>
        <v>Robot Wants Kitty</v>
      </c>
      <c r="B193" s="60"/>
      <c r="C193" s="61" t="str">
        <f>IFERROR(__xludf.DUMMYFUNCTION("""COMPUTED_VALUE"""),"Yes")</f>
        <v>Yes</v>
      </c>
      <c r="D193" s="62"/>
      <c r="E193" s="61" t="str">
        <f>IFERROR(__xludf.DUMMYFUNCTION("""COMPUTED_VALUE"""),"Kals")</f>
        <v>Kals</v>
      </c>
      <c r="F193" s="63">
        <f>IFERROR(__xludf.DUMMYFUNCTION("""COMPUTED_VALUE"""),40947.0)</f>
        <v>40947</v>
      </c>
    </row>
    <row r="194">
      <c r="A194" s="59" t="str">
        <f>IFERROR(__xludf.DUMMYFUNCTION("""COMPUTED_VALUE"""),"Worms Crazy Golf v1.05 [iPhone]")</f>
        <v>Worms Crazy Golf v1.05 [iPhone]</v>
      </c>
      <c r="B194" s="60"/>
      <c r="C194" s="61" t="str">
        <f>IFERROR(__xludf.DUMMYFUNCTION("""COMPUTED_VALUE"""),"Yes")</f>
        <v>Yes</v>
      </c>
      <c r="D194" s="62" t="str">
        <f>IFERROR(__xludf.DUMMYFUNCTION("""COMPUTED_VALUE"""),"Carnival Course")</f>
        <v>Carnival Course</v>
      </c>
      <c r="E194" s="61" t="str">
        <f>IFERROR(__xludf.DUMMYFUNCTION("""COMPUTED_VALUE"""),"DarkSkies")</f>
        <v>DarkSkies</v>
      </c>
      <c r="F194" s="63">
        <f>IFERROR(__xludf.DUMMYFUNCTION("""COMPUTED_VALUE"""),40947.0)</f>
        <v>40947</v>
      </c>
    </row>
    <row r="195">
      <c r="A195" s="59" t="str">
        <f>IFERROR(__xludf.DUMMYFUNCTION("""COMPUTED_VALUE"""),"Yeti Town")</f>
        <v>Yeti Town</v>
      </c>
      <c r="B195" s="60"/>
      <c r="C195" s="61" t="str">
        <f>IFERROR(__xludf.DUMMYFUNCTION("""COMPUTED_VALUE"""),"Yes")</f>
        <v>Yes</v>
      </c>
      <c r="D195" s="62" t="str">
        <f>IFERROR(__xludf.DUMMYFUNCTION("""COMPUTED_VALUE"""),"Buy coins &amp; stuff - Perfect")</f>
        <v>Buy coins &amp; stuff - Perfect</v>
      </c>
      <c r="E195" s="61" t="str">
        <f>IFERROR(__xludf.DUMMYFUNCTION("""COMPUTED_VALUE"""),"Hamad")</f>
        <v>Hamad</v>
      </c>
      <c r="F195" s="63">
        <f>IFERROR(__xludf.DUMMYFUNCTION("""COMPUTED_VALUE"""),40947.0)</f>
        <v>40947</v>
      </c>
    </row>
    <row r="196">
      <c r="A196" s="59" t="str">
        <f>IFERROR(__xludf.DUMMYFUNCTION("""COMPUTED_VALUE"""),"Bible+")</f>
        <v>Bible+</v>
      </c>
      <c r="B196" s="60"/>
      <c r="C196" s="61" t="str">
        <f>IFERROR(__xludf.DUMMYFUNCTION("""COMPUTED_VALUE"""),"Yes")</f>
        <v>Yes</v>
      </c>
      <c r="D196" s="62"/>
      <c r="E196" s="61" t="str">
        <f>IFERROR(__xludf.DUMMYFUNCTION("""COMPUTED_VALUE"""),"chowlala")</f>
        <v>chowlala</v>
      </c>
      <c r="F196" s="63">
        <f>IFERROR(__xludf.DUMMYFUNCTION("""COMPUTED_VALUE"""),40946.0)</f>
        <v>40946</v>
      </c>
    </row>
    <row r="197">
      <c r="A197" s="59" t="str">
        <f>IFERROR(__xludf.DUMMYFUNCTION("""COMPUTED_VALUE"""),"Bieber Find
")</f>
        <v>Bieber Find
</v>
      </c>
      <c r="B197" s="60"/>
      <c r="C197" s="61" t="str">
        <f>IFERROR(__xludf.DUMMYFUNCTION("""COMPUTED_VALUE"""),"Yes")</f>
        <v>Yes</v>
      </c>
      <c r="D197" s="62"/>
      <c r="E197" s="61" t="str">
        <f>IFERROR(__xludf.DUMMYFUNCTION("""COMPUTED_VALUE"""),"zus")</f>
        <v>zus</v>
      </c>
      <c r="F197" s="63">
        <f>IFERROR(__xludf.DUMMYFUNCTION("""COMPUTED_VALUE"""),40946.0)</f>
        <v>40946</v>
      </c>
    </row>
    <row r="198">
      <c r="A198" s="59" t="str">
        <f>IFERROR(__xludf.DUMMYFUNCTION("""COMPUTED_VALUE"""),"Bieber Photo Me
")</f>
        <v>Bieber Photo Me
</v>
      </c>
      <c r="B198" s="60"/>
      <c r="C198" s="61" t="str">
        <f>IFERROR(__xludf.DUMMYFUNCTION("""COMPUTED_VALUE"""),"Yes")</f>
        <v>Yes</v>
      </c>
      <c r="D198" s="62"/>
      <c r="E198" s="61" t="str">
        <f>IFERROR(__xludf.DUMMYFUNCTION("""COMPUTED_VALUE"""),"zus")</f>
        <v>zus</v>
      </c>
      <c r="F198" s="63">
        <f>IFERROR(__xludf.DUMMYFUNCTION("""COMPUTED_VALUE"""),40946.0)</f>
        <v>40946</v>
      </c>
    </row>
    <row r="199">
      <c r="A199" s="59" t="str">
        <f>IFERROR(__xludf.DUMMYFUNCTION("""COMPUTED_VALUE"""),"Bieber Spot
")</f>
        <v>Bieber Spot
</v>
      </c>
      <c r="B199" s="60"/>
      <c r="C199" s="61" t="str">
        <f>IFERROR(__xludf.DUMMYFUNCTION("""COMPUTED_VALUE"""),"Yes")</f>
        <v>Yes</v>
      </c>
      <c r="D199" s="62"/>
      <c r="E199" s="61" t="str">
        <f>IFERROR(__xludf.DUMMYFUNCTION("""COMPUTED_VALUE"""),"zus")</f>
        <v>zus</v>
      </c>
      <c r="F199" s="63">
        <f>IFERROR(__xludf.DUMMYFUNCTION("""COMPUTED_VALUE"""),40946.0)</f>
        <v>40946</v>
      </c>
    </row>
    <row r="200">
      <c r="A200" s="59" t="str">
        <f>IFERROR(__xludf.DUMMYFUNCTION("""COMPUTED_VALUE"""),"Bike Baron")</f>
        <v>Bike Baron</v>
      </c>
      <c r="B200" s="60"/>
      <c r="C200" s="61" t="str">
        <f>IFERROR(__xludf.DUMMYFUNCTION("""COMPUTED_VALUE"""),"Yes")</f>
        <v>Yes</v>
      </c>
      <c r="D200" s="62" t="str">
        <f>IFERROR(__xludf.DUMMYFUNCTION("""COMPUTED_VALUE"""),"Works perfectly for all purchases")</f>
        <v>Works perfectly for all purchases</v>
      </c>
      <c r="E200" s="61" t="str">
        <f>IFERROR(__xludf.DUMMYFUNCTION("""COMPUTED_VALUE"""),"niteshade")</f>
        <v>niteshade</v>
      </c>
      <c r="F200" s="63">
        <f>IFERROR(__xludf.DUMMYFUNCTION("""COMPUTED_VALUE"""),40946.0)</f>
        <v>40946</v>
      </c>
    </row>
    <row r="201">
      <c r="A201" s="59" t="str">
        <f>IFERROR(__xludf.DUMMYFUNCTION("""COMPUTED_VALUE"""),"CAPCOM ARCADE")</f>
        <v>CAPCOM ARCADE</v>
      </c>
      <c r="B201" s="60"/>
      <c r="C201" s="61" t="str">
        <f>IFERROR(__xludf.DUMMYFUNCTION("""COMPUTED_VALUE"""),"Yes")</f>
        <v>Yes</v>
      </c>
      <c r="D201" s="62" t="str">
        <f>IFERROR(__xludf.DUMMYFUNCTION("""COMPUTED_VALUE"""),"Works perfectly for all purchases")</f>
        <v>Works perfectly for all purchases</v>
      </c>
      <c r="E201" s="61" t="str">
        <f>IFERROR(__xludf.DUMMYFUNCTION("""COMPUTED_VALUE"""),"Craigeyboyz")</f>
        <v>Craigeyboyz</v>
      </c>
      <c r="F201" s="63">
        <f>IFERROR(__xludf.DUMMYFUNCTION("""COMPUTED_VALUE"""),40946.0)</f>
        <v>40946</v>
      </c>
    </row>
    <row r="202">
      <c r="A202" s="59" t="str">
        <f>IFERROR(__xludf.DUMMYFUNCTION("""COMPUTED_VALUE"""),"Dash Race")</f>
        <v>Dash Race</v>
      </c>
      <c r="B202" s="60"/>
      <c r="C202" s="61" t="str">
        <f>IFERROR(__xludf.DUMMYFUNCTION("""COMPUTED_VALUE"""),"Yes")</f>
        <v>Yes</v>
      </c>
      <c r="D202" s="62" t="str">
        <f>IFERROR(__xludf.DUMMYFUNCTION("""COMPUTED_VALUE"""),"Works perfectly for all purchases")</f>
        <v>Works perfectly for all purchases</v>
      </c>
      <c r="E202" s="61" t="str">
        <f>IFERROR(__xludf.DUMMYFUNCTION("""COMPUTED_VALUE"""),"Craigeyboyz")</f>
        <v>Craigeyboyz</v>
      </c>
      <c r="F202" s="63">
        <f>IFERROR(__xludf.DUMMYFUNCTION("""COMPUTED_VALUE"""),40946.0)</f>
        <v>40946</v>
      </c>
    </row>
    <row r="203">
      <c r="A203" s="59" t="str">
        <f>IFERROR(__xludf.DUMMYFUNCTION("""COMPUTED_VALUE"""),"Frog Toss!")</f>
        <v>Frog Toss!</v>
      </c>
      <c r="B203" s="60"/>
      <c r="C203" s="61" t="str">
        <f>IFERROR(__xludf.DUMMYFUNCTION("""COMPUTED_VALUE"""),"Yes")</f>
        <v>Yes</v>
      </c>
      <c r="D203" s="62" t="str">
        <f>IFERROR(__xludf.DUMMYFUNCTION("""COMPUTED_VALUE"""),"Can purchase Frogs")</f>
        <v>Can purchase Frogs</v>
      </c>
      <c r="E203" s="61" t="str">
        <f>IFERROR(__xludf.DUMMYFUNCTION("""COMPUTED_VALUE"""),"chowlala")</f>
        <v>chowlala</v>
      </c>
      <c r="F203" s="63">
        <f>IFERROR(__xludf.DUMMYFUNCTION("""COMPUTED_VALUE"""),40946.0)</f>
        <v>40946</v>
      </c>
    </row>
    <row r="204">
      <c r="A204" s="59" t="str">
        <f>IFERROR(__xludf.DUMMYFUNCTION("""COMPUTED_VALUE"""),"Islands Magazine")</f>
        <v>Islands Magazine</v>
      </c>
      <c r="B204" s="60"/>
      <c r="C204" s="61" t="str">
        <f>IFERROR(__xludf.DUMMYFUNCTION("""COMPUTED_VALUE"""),"Yes")</f>
        <v>Yes</v>
      </c>
      <c r="D204" s="62" t="str">
        <f>IFERROR(__xludf.DUMMYFUNCTION("""COMPUTED_VALUE"""),"Can purchase issues")</f>
        <v>Can purchase issues</v>
      </c>
      <c r="E204" s="61" t="str">
        <f>IFERROR(__xludf.DUMMYFUNCTION("""COMPUTED_VALUE"""),"chowlala")</f>
        <v>chowlala</v>
      </c>
      <c r="F204" s="63">
        <f>IFERROR(__xludf.DUMMYFUNCTION("""COMPUTED_VALUE"""),40946.0)</f>
        <v>40946</v>
      </c>
    </row>
    <row r="205">
      <c r="A205" s="59" t="str">
        <f>IFERROR(__xludf.DUMMYFUNCTION("""COMPUTED_VALUE"""),"Jet Fighter Ace")</f>
        <v>Jet Fighter Ace</v>
      </c>
      <c r="B205" s="60"/>
      <c r="C205" s="61" t="str">
        <f>IFERROR(__xludf.DUMMYFUNCTION("""COMPUTED_VALUE"""),"Yes")</f>
        <v>Yes</v>
      </c>
      <c r="D205" s="62" t="str">
        <f>IFERROR(__xludf.DUMMYFUNCTION("""COMPUTED_VALUE"""),"It will crash at first, but when you reopen the app, you will get cash.")</f>
        <v>It will crash at first, but when you reopen the app, you will get cash.</v>
      </c>
      <c r="E205" s="61" t="str">
        <f>IFERROR(__xludf.DUMMYFUNCTION("""COMPUTED_VALUE"""),"zus")</f>
        <v>zus</v>
      </c>
      <c r="F205" s="63">
        <f>IFERROR(__xludf.DUMMYFUNCTION("""COMPUTED_VALUE"""),40946.0)</f>
        <v>40946</v>
      </c>
    </row>
    <row r="206">
      <c r="A206" s="59" t="str">
        <f>IFERROR(__xludf.DUMMYFUNCTION("""COMPUTED_VALUE"""),"Judge Dredd vs Zombies")</f>
        <v>Judge Dredd vs Zombies</v>
      </c>
      <c r="B206" s="60"/>
      <c r="C206" s="61" t="str">
        <f>IFERROR(__xludf.DUMMYFUNCTION("""COMPUTED_VALUE"""),"Yes")</f>
        <v>Yes</v>
      </c>
      <c r="D206" s="62" t="str">
        <f>IFERROR(__xludf.DUMMYFUNCTION("""COMPUTED_VALUE"""),"KILL DEM DANG ZOMBIES WIF GOLD PLATED GUNS FREEE")</f>
        <v>KILL DEM DANG ZOMBIES WIF GOLD PLATED GUNS FREEE</v>
      </c>
      <c r="E206" s="61"/>
      <c r="F206" s="63">
        <f>IFERROR(__xludf.DUMMYFUNCTION("""COMPUTED_VALUE"""),40946.0)</f>
        <v>40946</v>
      </c>
    </row>
    <row r="207">
      <c r="A207" s="59" t="str">
        <f>IFERROR(__xludf.DUMMYFUNCTION("""COMPUTED_VALUE"""),"Love Shooter")</f>
        <v>Love Shooter</v>
      </c>
      <c r="B207" s="60"/>
      <c r="C207" s="61" t="str">
        <f>IFERROR(__xludf.DUMMYFUNCTION("""COMPUTED_VALUE"""),"Yes")</f>
        <v>Yes</v>
      </c>
      <c r="D207" s="62"/>
      <c r="E207" s="61" t="str">
        <f>IFERROR(__xludf.DUMMYFUNCTION("""COMPUTED_VALUE"""),"zus")</f>
        <v>zus</v>
      </c>
      <c r="F207" s="63">
        <f>IFERROR(__xludf.DUMMYFUNCTION("""COMPUTED_VALUE"""),40946.0)</f>
        <v>40946</v>
      </c>
    </row>
    <row r="208">
      <c r="A208" s="59" t="str">
        <f>IFERROR(__xludf.DUMMYFUNCTION("""COMPUTED_VALUE"""),"Magzter")</f>
        <v>Magzter</v>
      </c>
      <c r="B208" s="60"/>
      <c r="C208" s="61" t="str">
        <f>IFERROR(__xludf.DUMMYFUNCTION("""COMPUTED_VALUE"""),"Yes")</f>
        <v>Yes</v>
      </c>
      <c r="D208" s="62" t="str">
        <f>IFERROR(__xludf.DUMMYFUNCTION("""COMPUTED_VALUE"""),"Can purchase magazines")</f>
        <v>Can purchase magazines</v>
      </c>
      <c r="E208" s="61" t="str">
        <f>IFERROR(__xludf.DUMMYFUNCTION("""COMPUTED_VALUE"""),"chowlala")</f>
        <v>chowlala</v>
      </c>
      <c r="F208" s="63">
        <f>IFERROR(__xludf.DUMMYFUNCTION("""COMPUTED_VALUE"""),40946.0)</f>
        <v>40946</v>
      </c>
    </row>
    <row r="209">
      <c r="A209" s="59" t="str">
        <f>IFERROR(__xludf.DUMMYFUNCTION("""COMPUTED_VALUE"""),"PLANET WORK")</f>
        <v>PLANET WORK</v>
      </c>
      <c r="B209" s="60"/>
      <c r="C209" s="61" t="str">
        <f>IFERROR(__xludf.DUMMYFUNCTION("""COMPUTED_VALUE"""),"Yes")</f>
        <v>Yes</v>
      </c>
      <c r="D209" s="62" t="str">
        <f>IFERROR(__xludf.DUMMYFUNCTION("""COMPUTED_VALUE"""),"Works perfectly for all purchases")</f>
        <v>Works perfectly for all purchases</v>
      </c>
      <c r="E209" s="61" t="str">
        <f>IFERROR(__xludf.DUMMYFUNCTION("""COMPUTED_VALUE"""),"Craigeyboyz")</f>
        <v>Craigeyboyz</v>
      </c>
      <c r="F209" s="63">
        <f>IFERROR(__xludf.DUMMYFUNCTION("""COMPUTED_VALUE"""),40946.0)</f>
        <v>40946</v>
      </c>
    </row>
    <row r="210">
      <c r="A210" s="59" t="str">
        <f>IFERROR(__xludf.DUMMYFUNCTION("""COMPUTED_VALUE"""),"Pottery HD")</f>
        <v>Pottery HD</v>
      </c>
      <c r="B210" s="60"/>
      <c r="C210" s="61" t="str">
        <f>IFERROR(__xludf.DUMMYFUNCTION("""COMPUTED_VALUE"""),"Yes")</f>
        <v>Yes</v>
      </c>
      <c r="D210" s="62" t="str">
        <f>IFERROR(__xludf.DUMMYFUNCTION("""COMPUTED_VALUE"""),"Cam buy extra brushes ")</f>
        <v>Cam buy extra brushes </v>
      </c>
      <c r="E210" s="61" t="str">
        <f>IFERROR(__xludf.DUMMYFUNCTION("""COMPUTED_VALUE"""),"Laola")</f>
        <v>Laola</v>
      </c>
      <c r="F210" s="63">
        <f>IFERROR(__xludf.DUMMYFUNCTION("""COMPUTED_VALUE"""),40946.0)</f>
        <v>40946</v>
      </c>
    </row>
    <row r="211">
      <c r="A211" s="59" t="str">
        <f>IFERROR(__xludf.DUMMYFUNCTION("""COMPUTED_VALUE"""),"Touch Tanks (Europe) v3.1.0")</f>
        <v>Touch Tanks (Europe) v3.1.0</v>
      </c>
      <c r="B211" s="60"/>
      <c r="C211" s="61" t="str">
        <f>IFERROR(__xludf.DUMMYFUNCTION("""COMPUTED_VALUE"""),"Yes")</f>
        <v>Yes</v>
      </c>
      <c r="D211" s="62" t="str">
        <f>IFERROR(__xludf.DUMMYFUNCTION("""COMPUTED_VALUE"""),"Purchases work ")</f>
        <v>Purchases work </v>
      </c>
      <c r="E211" s="61" t="str">
        <f>IFERROR(__xludf.DUMMYFUNCTION("""COMPUTED_VALUE"""),"Craigeyboyz")</f>
        <v>Craigeyboyz</v>
      </c>
      <c r="F211" s="63">
        <f>IFERROR(__xludf.DUMMYFUNCTION("""COMPUTED_VALUE"""),40946.0)</f>
        <v>40946</v>
      </c>
    </row>
    <row r="212">
      <c r="A212" s="59" t="str">
        <f>IFERROR(__xludf.DUMMYFUNCTION("""COMPUTED_VALUE"""),"VDM Officiel")</f>
        <v>VDM Officiel</v>
      </c>
      <c r="B212" s="60"/>
      <c r="C212" s="61" t="str">
        <f>IFERROR(__xludf.DUMMYFUNCTION("""COMPUTED_VALUE"""),"Yes")</f>
        <v>Yes</v>
      </c>
      <c r="D212" s="62" t="str">
        <f>IFERROR(__xludf.DUMMYFUNCTION("""COMPUTED_VALUE"""),"(French version of F**k My Life) Remove publicity.")</f>
        <v>(French version of F**k My Life) Remove publicity.</v>
      </c>
      <c r="E212" s="61" t="str">
        <f>IFERROR(__xludf.DUMMYFUNCTION("""COMPUTED_VALUE"""),"Arayel")</f>
        <v>Arayel</v>
      </c>
      <c r="F212" s="63">
        <f>IFERROR(__xludf.DUMMYFUNCTION("""COMPUTED_VALUE"""),40946.0)</f>
        <v>40946</v>
      </c>
    </row>
    <row r="213">
      <c r="A213" s="59" t="str">
        <f>IFERROR(__xludf.DUMMYFUNCTION("""COMPUTED_VALUE"""),"Yaniv (card game)")</f>
        <v>Yaniv (card game)</v>
      </c>
      <c r="B213" s="60"/>
      <c r="C213" s="61" t="str">
        <f>IFERROR(__xludf.DUMMYFUNCTION("""COMPUTED_VALUE"""),"Yes")</f>
        <v>Yes</v>
      </c>
      <c r="D213" s="62" t="str">
        <f>IFERROR(__xludf.DUMMYFUNCTION("""COMPUTED_VALUE"""),"UNLOCK PRO")</f>
        <v>UNLOCK PRO</v>
      </c>
      <c r="E213" s="61" t="str">
        <f>IFERROR(__xludf.DUMMYFUNCTION("""COMPUTED_VALUE"""),"marry")</f>
        <v>marry</v>
      </c>
      <c r="F213" s="63">
        <f>IFERROR(__xludf.DUMMYFUNCTION("""COMPUTED_VALUE"""),40946.0)</f>
        <v>40946</v>
      </c>
    </row>
    <row r="214">
      <c r="A214" s="59" t="str">
        <f>IFERROR(__xludf.DUMMYFUNCTION("""COMPUTED_VALUE"""),"Bull Mouse")</f>
        <v>Bull Mouse</v>
      </c>
      <c r="B214" s="60"/>
      <c r="C214" s="61" t="str">
        <f>IFERROR(__xludf.DUMMYFUNCTION("""COMPUTED_VALUE"""),"Yes")</f>
        <v>Yes</v>
      </c>
      <c r="D214" s="62" t="str">
        <f>IFERROR(__xludf.DUMMYFUNCTION("""COMPUTED_VALUE"""),"Works perfectly for all purchases")</f>
        <v>Works perfectly for all purchases</v>
      </c>
      <c r="E214" s="61" t="str">
        <f>IFERROR(__xludf.DUMMYFUNCTION("""COMPUTED_VALUE"""),"Arayel")</f>
        <v>Arayel</v>
      </c>
      <c r="F214" s="63">
        <f>IFERROR(__xludf.DUMMYFUNCTION("""COMPUTED_VALUE"""),40945.0)</f>
        <v>40945</v>
      </c>
    </row>
    <row r="215">
      <c r="A215" s="59" t="str">
        <f>IFERROR(__xludf.DUMMYFUNCTION("""COMPUTED_VALUE"""),"Doodle Arcade Shooter")</f>
        <v>Doodle Arcade Shooter</v>
      </c>
      <c r="B215" s="60"/>
      <c r="C215" s="61" t="str">
        <f>IFERROR(__xludf.DUMMYFUNCTION("""COMPUTED_VALUE"""),"Yes")</f>
        <v>Yes</v>
      </c>
      <c r="D215" s="62"/>
      <c r="E215" s="61" t="str">
        <f>IFERROR(__xludf.DUMMYFUNCTION("""COMPUTED_VALUE"""),"zus")</f>
        <v>zus</v>
      </c>
      <c r="F215" s="63">
        <f>IFERROR(__xludf.DUMMYFUNCTION("""COMPUTED_VALUE"""),40945.0)</f>
        <v>40945</v>
      </c>
    </row>
    <row r="216">
      <c r="A216" s="59" t="str">
        <f>IFERROR(__xludf.DUMMYFUNCTION("""COMPUTED_VALUE"""),"Exitium: Saviors of Vardonia")</f>
        <v>Exitium: Saviors of Vardonia</v>
      </c>
      <c r="B216" s="60" t="str">
        <f>IFERROR(__xludf.DUMMYFUNCTION("""COMPUTED_VALUE"""),"1.0.6")</f>
        <v>1.0.6</v>
      </c>
      <c r="C216" s="61" t="str">
        <f>IFERROR(__xludf.DUMMYFUNCTION("""COMPUTED_VALUE"""),"Yes")</f>
        <v>Yes</v>
      </c>
      <c r="D216" s="62"/>
      <c r="E216" s="61" t="str">
        <f>IFERROR(__xludf.DUMMYFUNCTION("""COMPUTED_VALUE"""),"JuzILLuSI0N")</f>
        <v>JuzILLuSI0N</v>
      </c>
      <c r="F216" s="63">
        <f>IFERROR(__xludf.DUMMYFUNCTION("""COMPUTED_VALUE"""),40945.0)</f>
        <v>40945</v>
      </c>
    </row>
    <row r="217">
      <c r="A217" s="59" t="str">
        <f>IFERROR(__xludf.DUMMYFUNCTION("""COMPUTED_VALUE"""),"Ghost Trick")</f>
        <v>Ghost Trick</v>
      </c>
      <c r="B217" s="60"/>
      <c r="C217" s="61" t="str">
        <f>IFERROR(__xludf.DUMMYFUNCTION("""COMPUTED_VALUE"""),"Yes")</f>
        <v>Yes</v>
      </c>
      <c r="D217" s="62"/>
      <c r="E217" s="61" t="str">
        <f>IFERROR(__xludf.DUMMYFUNCTION("""COMPUTED_VALUE"""),"rctgamer3")</f>
        <v>rctgamer3</v>
      </c>
      <c r="F217" s="63">
        <f>IFERROR(__xludf.DUMMYFUNCTION("""COMPUTED_VALUE"""),40945.0)</f>
        <v>40945</v>
      </c>
    </row>
    <row r="218">
      <c r="A218" s="59" t="str">
        <f>IFERROR(__xludf.DUMMYFUNCTION("""COMPUTED_VALUE"""),"Man vs Machine")</f>
        <v>Man vs Machine</v>
      </c>
      <c r="B218" s="60"/>
      <c r="C218" s="61" t="str">
        <f>IFERROR(__xludf.DUMMYFUNCTION("""COMPUTED_VALUE"""),"Yes")</f>
        <v>Yes</v>
      </c>
      <c r="D218" s="62" t="str">
        <f>IFERROR(__xludf.DUMMYFUNCTION("""COMPUTED_VALUE"""),"Works perfectly for all purchases")</f>
        <v>Works perfectly for all purchases</v>
      </c>
      <c r="E218" s="61" t="str">
        <f>IFERROR(__xludf.DUMMYFUNCTION("""COMPUTED_VALUE"""),"migui.aguilar")</f>
        <v>migui.aguilar</v>
      </c>
      <c r="F218" s="63">
        <f>IFERROR(__xludf.DUMMYFUNCTION("""COMPUTED_VALUE"""),40945.0)</f>
        <v>40945</v>
      </c>
    </row>
    <row r="219">
      <c r="A219" s="59" t="str">
        <f>IFERROR(__xludf.DUMMYFUNCTION("""COMPUTED_VALUE"""),"Monster Galaxy : the zodiac islands")</f>
        <v>Monster Galaxy : the zodiac islands</v>
      </c>
      <c r="B219" s="60"/>
      <c r="C219" s="61" t="str">
        <f>IFERROR(__xludf.DUMMYFUNCTION("""COMPUTED_VALUE"""),"Yes")</f>
        <v>Yes</v>
      </c>
      <c r="D219" s="62" t="str">
        <f>IFERROR(__xludf.DUMMYFUNCTION("""COMPUTED_VALUE"""),"works perfectly for all purchases.")</f>
        <v>works perfectly for all purchases.</v>
      </c>
      <c r="E219" s="61" t="str">
        <f>IFERROR(__xludf.DUMMYFUNCTION("""COMPUTED_VALUE"""),"GalXiOn")</f>
        <v>GalXiOn</v>
      </c>
      <c r="F219" s="63">
        <f>IFERROR(__xludf.DUMMYFUNCTION("""COMPUTED_VALUE"""),40945.0)</f>
        <v>40945</v>
      </c>
    </row>
    <row r="220">
      <c r="A220" s="59" t="str">
        <f>IFERROR(__xludf.DUMMYFUNCTION("""COMPUTED_VALUE"""),"Mortal Skies ")</f>
        <v>Mortal Skies </v>
      </c>
      <c r="B220" s="60"/>
      <c r="C220" s="61" t="str">
        <f>IFERROR(__xludf.DUMMYFUNCTION("""COMPUTED_VALUE"""),"Yes")</f>
        <v>Yes</v>
      </c>
      <c r="D220" s="62"/>
      <c r="E220" s="61" t="str">
        <f>IFERROR(__xludf.DUMMYFUNCTION("""COMPUTED_VALUE"""),"zus")</f>
        <v>zus</v>
      </c>
      <c r="F220" s="63">
        <f>IFERROR(__xludf.DUMMYFUNCTION("""COMPUTED_VALUE"""),40945.0)</f>
        <v>40945</v>
      </c>
    </row>
    <row r="221">
      <c r="A221" s="59" t="str">
        <f>IFERROR(__xludf.DUMMYFUNCTION("""COMPUTED_VALUE"""),"Mortal Skies 2")</f>
        <v>Mortal Skies 2</v>
      </c>
      <c r="B221" s="60"/>
      <c r="C221" s="61" t="str">
        <f>IFERROR(__xludf.DUMMYFUNCTION("""COMPUTED_VALUE"""),"Yes")</f>
        <v>Yes</v>
      </c>
      <c r="D221" s="62"/>
      <c r="E221" s="61" t="str">
        <f>IFERROR(__xludf.DUMMYFUNCTION("""COMPUTED_VALUE"""),"zus")</f>
        <v>zus</v>
      </c>
      <c r="F221" s="63">
        <f>IFERROR(__xludf.DUMMYFUNCTION("""COMPUTED_VALUE"""),40945.0)</f>
        <v>40945</v>
      </c>
    </row>
    <row r="222">
      <c r="A222" s="59" t="str">
        <f>IFERROR(__xludf.DUMMYFUNCTION("""COMPUTED_VALUE"""),"Plants Vs. Zombies V. 1.9")</f>
        <v>Plants Vs. Zombies V. 1.9</v>
      </c>
      <c r="B222" s="60"/>
      <c r="C222" s="61" t="str">
        <f>IFERROR(__xludf.DUMMYFUNCTION("""COMPUTED_VALUE"""),"Yes")</f>
        <v>Yes</v>
      </c>
      <c r="D222" s="62" t="str">
        <f>IFERROR(__xludf.DUMMYFUNCTION("""COMPUTED_VALUE"""),"Unable to connect to server / can't buy coins
***Redownloading a better crack fixes this***")</f>
        <v>Unable to connect to server / can't buy coins
***Redownloading a better crack fixes this***</v>
      </c>
      <c r="E222" s="61" t="str">
        <f>IFERROR(__xludf.DUMMYFUNCTION("""COMPUTED_VALUE"""),"Joaker")</f>
        <v>Joaker</v>
      </c>
      <c r="F222" s="63">
        <f>IFERROR(__xludf.DUMMYFUNCTION("""COMPUTED_VALUE"""),40945.0)</f>
        <v>40945</v>
      </c>
    </row>
    <row r="223">
      <c r="A223" s="59" t="str">
        <f>IFERROR(__xludf.DUMMYFUNCTION("""COMPUTED_VALUE"""),"SDK Today")</f>
        <v>SDK Today</v>
      </c>
      <c r="B223" s="60"/>
      <c r="C223" s="61" t="str">
        <f>IFERROR(__xludf.DUMMYFUNCTION("""COMPUTED_VALUE"""),"Yes")</f>
        <v>Yes</v>
      </c>
      <c r="D223" s="62" t="str">
        <f>IFERROR(__xludf.DUMMYFUNCTION("""COMPUTED_VALUE"""),"Store works great")</f>
        <v>Store works great</v>
      </c>
      <c r="E223" s="61" t="str">
        <f>IFERROR(__xludf.DUMMYFUNCTION("""COMPUTED_VALUE"""),"d0nh3art")</f>
        <v>d0nh3art</v>
      </c>
      <c r="F223" s="63">
        <f>IFERROR(__xludf.DUMMYFUNCTION("""COMPUTED_VALUE"""),40945.0)</f>
        <v>40945</v>
      </c>
    </row>
    <row r="224">
      <c r="A224" s="59" t="str">
        <f>IFERROR(__xludf.DUMMYFUNCTION("""COMPUTED_VALUE"""),"Spice Invaders")</f>
        <v>Spice Invaders</v>
      </c>
      <c r="B224" s="60"/>
      <c r="C224" s="61" t="str">
        <f>IFERROR(__xludf.DUMMYFUNCTION("""COMPUTED_VALUE"""),"Yes")</f>
        <v>Yes</v>
      </c>
      <c r="D224" s="62" t="str">
        <f>IFERROR(__xludf.DUMMYFUNCTION("""COMPUTED_VALUE"""),"Works. Gives you negative spices after relaunch but all towers remain upgraded. New version under new name doesn't work.")</f>
        <v>Works. Gives you negative spices after relaunch but all towers remain upgraded. New version under new name doesn't work.</v>
      </c>
      <c r="E224" s="61" t="str">
        <f>IFERROR(__xludf.DUMMYFUNCTION("""COMPUTED_VALUE"""),"migui.aguilar")</f>
        <v>migui.aguilar</v>
      </c>
      <c r="F224" s="63">
        <f>IFERROR(__xludf.DUMMYFUNCTION("""COMPUTED_VALUE"""),40945.0)</f>
        <v>40945</v>
      </c>
    </row>
    <row r="225">
      <c r="A225" s="59" t="str">
        <f>IFERROR(__xludf.DUMMYFUNCTION("""COMPUTED_VALUE"""),"Travel Combat
")</f>
        <v>Travel Combat
</v>
      </c>
      <c r="B225" s="60"/>
      <c r="C225" s="61" t="str">
        <f>IFERROR(__xludf.DUMMYFUNCTION("""COMPUTED_VALUE"""),"Yes")</f>
        <v>Yes</v>
      </c>
      <c r="D225" s="62" t="str">
        <f>IFERROR(__xludf.DUMMYFUNCTION("""COMPUTED_VALUE"""),"Works")</f>
        <v>Works</v>
      </c>
      <c r="E225" s="61" t="str">
        <f>IFERROR(__xludf.DUMMYFUNCTION("""COMPUTED_VALUE"""),"zus")</f>
        <v>zus</v>
      </c>
      <c r="F225" s="63">
        <f>IFERROR(__xludf.DUMMYFUNCTION("""COMPUTED_VALUE"""),40945.0)</f>
        <v>40945</v>
      </c>
    </row>
    <row r="226">
      <c r="A226" s="59" t="str">
        <f>IFERROR(__xludf.DUMMYFUNCTION("""COMPUTED_VALUE"""),"WMB 3d - World's Most Beautiful")</f>
        <v>WMB 3d - World's Most Beautiful</v>
      </c>
      <c r="B226" s="60"/>
      <c r="C226" s="61" t="str">
        <f>IFERROR(__xludf.DUMMYFUNCTION("""COMPUTED_VALUE"""),"Yes")</f>
        <v>Yes</v>
      </c>
      <c r="D226" s="62" t="str">
        <f>IFERROR(__xludf.DUMMYFUNCTION("""COMPUTED_VALUE"""),"Works perfectly for all purchases")</f>
        <v>Works perfectly for all purchases</v>
      </c>
      <c r="E226" s="61" t="str">
        <f>IFERROR(__xludf.DUMMYFUNCTION("""COMPUTED_VALUE"""),"klephts2803")</f>
        <v>klephts2803</v>
      </c>
      <c r="F226" s="63">
        <f>IFERROR(__xludf.DUMMYFUNCTION("""COMPUTED_VALUE"""),40945.0)</f>
        <v>40945</v>
      </c>
    </row>
    <row r="227">
      <c r="A227" s="59" t="str">
        <f>IFERROR(__xludf.DUMMYFUNCTION("""COMPUTED_VALUE"""),"Cosmopolitan Magazine")</f>
        <v>Cosmopolitan Magazine</v>
      </c>
      <c r="B227" s="60"/>
      <c r="C227" s="61" t="str">
        <f>IFERROR(__xludf.DUMMYFUNCTION("""COMPUTED_VALUE"""),"Yes")</f>
        <v>Yes</v>
      </c>
      <c r="D227" s="62" t="str">
        <f>IFERROR(__xludf.DUMMYFUNCTION("""COMPUTED_VALUE"""),"Can purchase magazines")</f>
        <v>Can purchase magazines</v>
      </c>
      <c r="E227" s="61" t="str">
        <f>IFERROR(__xludf.DUMMYFUNCTION("""COMPUTED_VALUE"""),"least_uniQue")</f>
        <v>least_uniQue</v>
      </c>
      <c r="F227" s="63">
        <f>IFERROR(__xludf.DUMMYFUNCTION("""COMPUTED_VALUE"""),40944.0)</f>
        <v>40944</v>
      </c>
    </row>
    <row r="228">
      <c r="A228" s="59" t="str">
        <f>IFERROR(__xludf.DUMMYFUNCTION("""COMPUTED_VALUE"""),"Don't Run With a Plasma Sword")</f>
        <v>Don't Run With a Plasma Sword</v>
      </c>
      <c r="B228" s="60"/>
      <c r="C228" s="61" t="str">
        <f>IFERROR(__xludf.DUMMYFUNCTION("""COMPUTED_VALUE"""),"Yes")</f>
        <v>Yes</v>
      </c>
      <c r="D228" s="62" t="str">
        <f>IFERROR(__xludf.DUMMYFUNCTION("""COMPUTED_VALUE"""),"1.1.0 Purchases works")</f>
        <v>1.1.0 Purchases works</v>
      </c>
      <c r="E228" s="61" t="str">
        <f>IFERROR(__xludf.DUMMYFUNCTION("""COMPUTED_VALUE"""),"Keigo@ZA")</f>
        <v>Keigo@ZA</v>
      </c>
      <c r="F228" s="63">
        <f>IFERROR(__xludf.DUMMYFUNCTION("""COMPUTED_VALUE"""),40944.0)</f>
        <v>40944</v>
      </c>
    </row>
    <row r="229">
      <c r="A229" s="59" t="str">
        <f>IFERROR(__xludf.DUMMYFUNCTION("""COMPUTED_VALUE"""),"Good Housekeeping")</f>
        <v>Good Housekeeping</v>
      </c>
      <c r="B229" s="60"/>
      <c r="C229" s="61" t="str">
        <f>IFERROR(__xludf.DUMMYFUNCTION("""COMPUTED_VALUE"""),"Yes")</f>
        <v>Yes</v>
      </c>
      <c r="D229" s="62" t="str">
        <f>IFERROR(__xludf.DUMMYFUNCTION("""COMPUTED_VALUE"""),"Can purchase magazines")</f>
        <v>Can purchase magazines</v>
      </c>
      <c r="E229" s="61" t="str">
        <f>IFERROR(__xludf.DUMMYFUNCTION("""COMPUTED_VALUE"""),"least_uniQue")</f>
        <v>least_uniQue</v>
      </c>
      <c r="F229" s="63">
        <f>IFERROR(__xludf.DUMMYFUNCTION("""COMPUTED_VALUE"""),40944.0)</f>
        <v>40944</v>
      </c>
    </row>
    <row r="230">
      <c r="A230" s="59" t="str">
        <f>IFERROR(__xludf.DUMMYFUNCTION("""COMPUTED_VALUE"""),"Reckless Racing 2")</f>
        <v>Reckless Racing 2</v>
      </c>
      <c r="B230" s="60"/>
      <c r="C230" s="61" t="str">
        <f>IFERROR(__xludf.DUMMYFUNCTION("""COMPUTED_VALUE"""),"Yes")</f>
        <v>Yes</v>
      </c>
      <c r="D230" s="62"/>
      <c r="E230" s="61" t="str">
        <f>IFERROR(__xludf.DUMMYFUNCTION("""COMPUTED_VALUE"""),"Ryan7w")</f>
        <v>Ryan7w</v>
      </c>
      <c r="F230" s="63">
        <f>IFERROR(__xludf.DUMMYFUNCTION("""COMPUTED_VALUE"""),40944.0)</f>
        <v>40944</v>
      </c>
    </row>
    <row r="231">
      <c r="A231" s="59" t="str">
        <f>IFERROR(__xludf.DUMMYFUNCTION("""COMPUTED_VALUE"""),"Seventeen Magazine")</f>
        <v>Seventeen Magazine</v>
      </c>
      <c r="B231" s="60"/>
      <c r="C231" s="61" t="str">
        <f>IFERROR(__xludf.DUMMYFUNCTION("""COMPUTED_VALUE"""),"Yes")</f>
        <v>Yes</v>
      </c>
      <c r="D231" s="62" t="str">
        <f>IFERROR(__xludf.DUMMYFUNCTION("""COMPUTED_VALUE"""),"Can purchase magazines")</f>
        <v>Can purchase magazines</v>
      </c>
      <c r="E231" s="61" t="str">
        <f>IFERROR(__xludf.DUMMYFUNCTION("""COMPUTED_VALUE"""),"least_uniQue")</f>
        <v>least_uniQue</v>
      </c>
      <c r="F231" s="63">
        <f>IFERROR(__xludf.DUMMYFUNCTION("""COMPUTED_VALUE"""),40944.0)</f>
        <v>40944</v>
      </c>
    </row>
    <row r="232">
      <c r="A232" s="59" t="str">
        <f>IFERROR(__xludf.DUMMYFUNCTION("""COMPUTED_VALUE"""),"Tank Battalion Blitz")</f>
        <v>Tank Battalion Blitz</v>
      </c>
      <c r="B232" s="60"/>
      <c r="C232" s="61" t="str">
        <f>IFERROR(__xludf.DUMMYFUNCTION("""COMPUTED_VALUE"""),"Yes")</f>
        <v>Yes</v>
      </c>
      <c r="D232" s="62" t="str">
        <f>IFERROR(__xludf.DUMMYFUNCTION("""COMPUTED_VALUE"""),"1.0.0 Purchases works")</f>
        <v>1.0.0 Purchases works</v>
      </c>
      <c r="E232" s="61" t="str">
        <f>IFERROR(__xludf.DUMMYFUNCTION("""COMPUTED_VALUE"""),"Keigo@ZA")</f>
        <v>Keigo@ZA</v>
      </c>
      <c r="F232" s="63">
        <f>IFERROR(__xludf.DUMMYFUNCTION("""COMPUTED_VALUE"""),40944.0)</f>
        <v>40944</v>
      </c>
    </row>
    <row r="233">
      <c r="A233" s="59" t="str">
        <f>IFERROR(__xludf.DUMMYFUNCTION("""COMPUTED_VALUE"""),"Age of Pinballs")</f>
        <v>Age of Pinballs</v>
      </c>
      <c r="B233" s="60">
        <f>IFERROR(__xludf.DUMMYFUNCTION("""COMPUTED_VALUE"""),2.1)</f>
        <v>2.1</v>
      </c>
      <c r="C233" s="61" t="str">
        <f>IFERROR(__xludf.DUMMYFUNCTION("""COMPUTED_VALUE"""),"Yes")</f>
        <v>Yes</v>
      </c>
      <c r="D233" s="62" t="str">
        <f>IFERROR(__xludf.DUMMYFUNCTION("""COMPUTED_VALUE"""),"I've unlocked everything in the newest version. (2.1, I believe)")</f>
        <v>I've unlocked everything in the newest version. (2.1, I believe)</v>
      </c>
      <c r="E233" s="61" t="str">
        <f>IFERROR(__xludf.DUMMYFUNCTION("""COMPUTED_VALUE"""),"Guk, ^eNeRGy^, Txnic")</f>
        <v>Guk, ^eNeRGy^, Txnic</v>
      </c>
      <c r="F233" s="63">
        <f>IFERROR(__xludf.DUMMYFUNCTION("""COMPUTED_VALUE"""),40939.0)</f>
        <v>40939</v>
      </c>
    </row>
    <row r="234">
      <c r="A234" s="59" t="str">
        <f>IFERROR(__xludf.DUMMYFUNCTION("""COMPUTED_VALUE"""),"Dude Perfect")</f>
        <v>Dude Perfect</v>
      </c>
      <c r="B234" s="60"/>
      <c r="C234" s="61" t="str">
        <f>IFERROR(__xludf.DUMMYFUNCTION("""COMPUTED_VALUE"""),"Yes")</f>
        <v>Yes</v>
      </c>
      <c r="D234" s="62"/>
      <c r="E234" s="61" t="str">
        <f>IFERROR(__xludf.DUMMYFUNCTION("""COMPUTED_VALUE"""),"PFost19")</f>
        <v>PFost19</v>
      </c>
      <c r="F234" s="63">
        <f>IFERROR(__xludf.DUMMYFUNCTION("""COMPUTED_VALUE"""),40939.0)</f>
        <v>40939</v>
      </c>
    </row>
    <row r="235">
      <c r="A235" s="59" t="str">
        <f>IFERROR(__xludf.DUMMYFUNCTION("""COMPUTED_VALUE"""),"Jamie Recipes")</f>
        <v>Jamie Recipes</v>
      </c>
      <c r="B235" s="60"/>
      <c r="C235" s="61" t="str">
        <f>IFERROR(__xludf.DUMMYFUNCTION("""COMPUTED_VALUE"""),"Yes")</f>
        <v>Yes</v>
      </c>
      <c r="D235" s="62" t="str">
        <f>IFERROR(__xludf.DUMMYFUNCTION("""COMPUTED_VALUE"""),"Only in slow network (3G), close and re-open")</f>
        <v>Only in slow network (3G), close and re-open</v>
      </c>
      <c r="E235" s="61"/>
      <c r="F235" s="63">
        <f>IFERROR(__xludf.DUMMYFUNCTION("""COMPUTED_VALUE"""),40939.0)</f>
        <v>40939</v>
      </c>
    </row>
    <row r="236">
      <c r="A236" s="59" t="str">
        <f>IFERROR(__xludf.DUMMYFUNCTION("""COMPUTED_VALUE"""),"MultiTrack DAW")</f>
        <v>MultiTrack DAW</v>
      </c>
      <c r="B236" s="60"/>
      <c r="C236" s="61" t="str">
        <f>IFERROR(__xludf.DUMMYFUNCTION("""COMPUTED_VALUE"""),"Yes")</f>
        <v>Yes</v>
      </c>
      <c r="D236" s="62" t="str">
        <f>IFERROR(__xludf.DUMMYFUNCTION("""COMPUTED_VALUE"""),"purchase 16 stereo tracks layer ,")</f>
        <v>purchase 16 stereo tracks layer ,</v>
      </c>
      <c r="E236" s="61"/>
      <c r="F236" s="63">
        <f>IFERROR(__xludf.DUMMYFUNCTION("""COMPUTED_VALUE"""),40939.0)</f>
        <v>40939</v>
      </c>
    </row>
    <row r="237">
      <c r="A237" s="59" t="str">
        <f>IFERROR(__xludf.DUMMYFUNCTION("""COMPUTED_VALUE"""),"Mushroom War")</f>
        <v>Mushroom War</v>
      </c>
      <c r="B237" s="60"/>
      <c r="C237" s="61" t="str">
        <f>IFERROR(__xludf.DUMMYFUNCTION("""COMPUTED_VALUE"""),"Yes")</f>
        <v>Yes</v>
      </c>
      <c r="D237" s="62" t="str">
        <f>IFERROR(__xludf.DUMMYFUNCTION("""COMPUTED_VALUE"""),"work 100% v.1.2")</f>
        <v>work 100% v.1.2</v>
      </c>
      <c r="E237" s="61" t="str">
        <f>IFERROR(__xludf.DUMMYFUNCTION("""COMPUTED_VALUE"""),"fi6e")</f>
        <v>fi6e</v>
      </c>
      <c r="F237" s="63">
        <f>IFERROR(__xludf.DUMMYFUNCTION("""COMPUTED_VALUE"""),40939.0)</f>
        <v>40939</v>
      </c>
    </row>
    <row r="238">
      <c r="A238" s="59" t="str">
        <f>IFERROR(__xludf.DUMMYFUNCTION("""COMPUTED_VALUE"""),"Neuroshima Hex")</f>
        <v>Neuroshima Hex</v>
      </c>
      <c r="B238" s="60"/>
      <c r="C238" s="61" t="str">
        <f>IFERROR(__xludf.DUMMYFUNCTION("""COMPUTED_VALUE"""),"Yes")</f>
        <v>Yes</v>
      </c>
      <c r="D238" s="62" t="str">
        <f>IFERROR(__xludf.DUMMYFUNCTION("""COMPUTED_VALUE"""),"All content")</f>
        <v>All content</v>
      </c>
      <c r="E238" s="61" t="str">
        <f>IFERROR(__xludf.DUMMYFUNCTION("""COMPUTED_VALUE"""),"vidolaem")</f>
        <v>vidolaem</v>
      </c>
      <c r="F238" s="63">
        <f>IFERROR(__xludf.DUMMYFUNCTION("""COMPUTED_VALUE"""),40939.0)</f>
        <v>40939</v>
      </c>
    </row>
    <row r="239">
      <c r="A239" s="59" t="str">
        <f>IFERROR(__xludf.DUMMYFUNCTION("""COMPUTED_VALUE"""),"SAS: Zombie Assault 3 HD")</f>
        <v>SAS: Zombie Assault 3 HD</v>
      </c>
      <c r="B239" s="60"/>
      <c r="C239" s="61" t="str">
        <f>IFERROR(__xludf.DUMMYFUNCTION("""COMPUTED_VALUE"""),"Yes")</f>
        <v>Yes</v>
      </c>
      <c r="D239" s="62"/>
      <c r="E239" s="61" t="str">
        <f>IFERROR(__xludf.DUMMYFUNCTION("""COMPUTED_VALUE"""),"drugduck")</f>
        <v>drugduck</v>
      </c>
      <c r="F239" s="63">
        <f>IFERROR(__xludf.DUMMYFUNCTION("""COMPUTED_VALUE"""),40938.0)</f>
        <v>40938</v>
      </c>
    </row>
    <row r="240">
      <c r="A240" s="59" t="str">
        <f>IFERROR(__xludf.DUMMYFUNCTION("""COMPUTED_VALUE"""),"Tower Siege")</f>
        <v>Tower Siege</v>
      </c>
      <c r="B240" s="60"/>
      <c r="C240" s="61" t="str">
        <f>IFERROR(__xludf.DUMMYFUNCTION("""COMPUTED_VALUE"""),"Yes")</f>
        <v>Yes</v>
      </c>
      <c r="D240" s="62"/>
      <c r="E240" s="61" t="str">
        <f>IFERROR(__xludf.DUMMYFUNCTION("""COMPUTED_VALUE"""),"KimsunZ")</f>
        <v>KimsunZ</v>
      </c>
      <c r="F240" s="63">
        <f>IFERROR(__xludf.DUMMYFUNCTION("""COMPUTED_VALUE"""),40938.0)</f>
        <v>40938</v>
      </c>
    </row>
    <row r="241">
      <c r="A241" s="59" t="str">
        <f>IFERROR(__xludf.DUMMYFUNCTION("""COMPUTED_VALUE"""),"Boxcar")</f>
        <v>Boxcar</v>
      </c>
      <c r="B241" s="60"/>
      <c r="C241" s="61" t="str">
        <f>IFERROR(__xludf.DUMMYFUNCTION("""COMPUTED_VALUE"""),"Yes")</f>
        <v>Yes</v>
      </c>
      <c r="D241" s="62" t="str">
        <f>IFERROR(__xludf.DUMMYFUNCTION("""COMPUTED_VALUE"""),"Purchase to disable ads. Think it worked.")</f>
        <v>Purchase to disable ads. Think it worked.</v>
      </c>
      <c r="E241" s="61" t="str">
        <f>IFERROR(__xludf.DUMMYFUNCTION("""COMPUTED_VALUE"""),"iamse7en")</f>
        <v>iamse7en</v>
      </c>
      <c r="F241" s="63">
        <f>IFERROR(__xludf.DUMMYFUNCTION("""COMPUTED_VALUE"""),40937.0)</f>
        <v>40937</v>
      </c>
    </row>
    <row r="242">
      <c r="A242" s="59" t="str">
        <f>IFERROR(__xludf.DUMMYFUNCTION("""COMPUTED_VALUE"""),"Crazy Cow")</f>
        <v>Crazy Cow</v>
      </c>
      <c r="B242" s="60" t="str">
        <f>IFERROR(__xludf.DUMMYFUNCTION("""COMPUTED_VALUE"""),"1.0.2")</f>
        <v>1.0.2</v>
      </c>
      <c r="C242" s="61" t="str">
        <f>IFERROR(__xludf.DUMMYFUNCTION("""COMPUTED_VALUE"""),"Yes")</f>
        <v>Yes</v>
      </c>
      <c r="D242" s="62" t="str">
        <f>IFERROR(__xludf.DUMMYFUNCTION("""COMPUTED_VALUE"""),"Tested with genuine app v1.0.2.")</f>
        <v>Tested with genuine app v1.0.2.</v>
      </c>
      <c r="E242" s="61" t="str">
        <f>IFERROR(__xludf.DUMMYFUNCTION("""COMPUTED_VALUE"""),"zugzug")</f>
        <v>zugzug</v>
      </c>
      <c r="F242" s="63">
        <f>IFERROR(__xludf.DUMMYFUNCTION("""COMPUTED_VALUE"""),40937.0)</f>
        <v>40937</v>
      </c>
    </row>
    <row r="243">
      <c r="A243" s="59" t="str">
        <f>IFERROR(__xludf.DUMMYFUNCTION("""COMPUTED_VALUE"""),"Death Call")</f>
        <v>Death Call</v>
      </c>
      <c r="B243" s="60"/>
      <c r="C243" s="61" t="str">
        <f>IFERROR(__xludf.DUMMYFUNCTION("""COMPUTED_VALUE"""),"Yes")</f>
        <v>Yes</v>
      </c>
      <c r="D243" s="62" t="str">
        <f>IFERROR(__xludf.DUMMYFUNCTION("""COMPUTED_VALUE"""),"You can buy WP (currency).")</f>
        <v>You can buy WP (currency).</v>
      </c>
      <c r="E243" s="61" t="str">
        <f>IFERROR(__xludf.DUMMYFUNCTION("""COMPUTED_VALUE"""),"Zaraf")</f>
        <v>Zaraf</v>
      </c>
      <c r="F243" s="63">
        <f>IFERROR(__xludf.DUMMYFUNCTION("""COMPUTED_VALUE"""),40937.0)</f>
        <v>40937</v>
      </c>
    </row>
    <row r="244">
      <c r="A244" s="59" t="str">
        <f>IFERROR(__xludf.DUMMYFUNCTION("""COMPUTED_VALUE"""),"Galaga 30th Collection")</f>
        <v>Galaga 30th Collection</v>
      </c>
      <c r="B244" s="60"/>
      <c r="C244" s="61" t="str">
        <f>IFERROR(__xludf.DUMMYFUNCTION("""COMPUTED_VALUE"""),"Yes")</f>
        <v>Yes</v>
      </c>
      <c r="D244" s="62" t="str">
        <f>IFERROR(__xludf.DUMMYFUNCTION("""COMPUTED_VALUE"""),"Tested with app v1.0.1. All in-app games can be purchased.")</f>
        <v>Tested with app v1.0.1. All in-app games can be purchased.</v>
      </c>
      <c r="E244" s="61" t="str">
        <f>IFERROR(__xludf.DUMMYFUNCTION("""COMPUTED_VALUE"""),"zugzug")</f>
        <v>zugzug</v>
      </c>
      <c r="F244" s="63">
        <f>IFERROR(__xludf.DUMMYFUNCTION("""COMPUTED_VALUE"""),40937.0)</f>
        <v>40937</v>
      </c>
    </row>
    <row r="245">
      <c r="A245" s="59" t="str">
        <f>IFERROR(__xludf.DUMMYFUNCTION("""COMPUTED_VALUE"""),"Gravity Guy")</f>
        <v>Gravity Guy</v>
      </c>
      <c r="B245" s="60"/>
      <c r="C245" s="61" t="str">
        <f>IFERROR(__xludf.DUMMYFUNCTION("""COMPUTED_VALUE"""),"Yes")</f>
        <v>Yes</v>
      </c>
      <c r="D245" s="62" t="str">
        <f>IFERROR(__xludf.DUMMYFUNCTION("""COMPUTED_VALUE"""),"You can buy shield and slowmotion")</f>
        <v>You can buy shield and slowmotion</v>
      </c>
      <c r="E245" s="61" t="str">
        <f>IFERROR(__xludf.DUMMYFUNCTION("""COMPUTED_VALUE"""),"FeroXys")</f>
        <v>FeroXys</v>
      </c>
      <c r="F245" s="63">
        <f>IFERROR(__xludf.DUMMYFUNCTION("""COMPUTED_VALUE"""),40937.0)</f>
        <v>40937</v>
      </c>
    </row>
    <row r="246">
      <c r="A246" s="59" t="str">
        <f>IFERROR(__xludf.DUMMYFUNCTION("""COMPUTED_VALUE"""),"Great Little War Game")</f>
        <v>Great Little War Game</v>
      </c>
      <c r="B246" s="60"/>
      <c r="C246" s="61" t="str">
        <f>IFERROR(__xludf.DUMMYFUNCTION("""COMPUTED_VALUE"""),"Yes")</f>
        <v>Yes</v>
      </c>
      <c r="D246" s="62" t="str">
        <f>IFERROR(__xludf.DUMMYFUNCTION("""COMPUTED_VALUE"""),"Can buy campaign pack")</f>
        <v>Can buy campaign pack</v>
      </c>
      <c r="E246" s="61" t="str">
        <f>IFERROR(__xludf.DUMMYFUNCTION("""COMPUTED_VALUE"""),"Calviin")</f>
        <v>Calviin</v>
      </c>
      <c r="F246" s="63">
        <f>IFERROR(__xludf.DUMMYFUNCTION("""COMPUTED_VALUE"""),40937.0)</f>
        <v>40937</v>
      </c>
    </row>
    <row r="247">
      <c r="A247" s="59" t="str">
        <f>IFERROR(__xludf.DUMMYFUNCTION("""COMPUTED_VALUE"""),"Inspector Gadget")</f>
        <v>Inspector Gadget</v>
      </c>
      <c r="B247" s="60"/>
      <c r="C247" s="61" t="str">
        <f>IFERROR(__xludf.DUMMYFUNCTION("""COMPUTED_VALUE"""),"Yes")</f>
        <v>Yes</v>
      </c>
      <c r="D247" s="62" t="str">
        <f>IFERROR(__xludf.DUMMYFUNCTION("""COMPUTED_VALUE"""),"Able to buy anything")</f>
        <v>Able to buy anything</v>
      </c>
      <c r="E247" s="61" t="str">
        <f>IFERROR(__xludf.DUMMYFUNCTION("""COMPUTED_VALUE"""),"PiMPsTaZ")</f>
        <v>PiMPsTaZ</v>
      </c>
      <c r="F247" s="63">
        <f>IFERROR(__xludf.DUMMYFUNCTION("""COMPUTED_VALUE"""),40937.0)</f>
        <v>40937</v>
      </c>
    </row>
    <row r="248">
      <c r="A248" s="59" t="str">
        <f>IFERROR(__xludf.DUMMYFUNCTION("""COMPUTED_VALUE"""),"Liberty Wings")</f>
        <v>Liberty Wings</v>
      </c>
      <c r="B248" s="60" t="str">
        <f>IFERROR(__xludf.DUMMYFUNCTION("""COMPUTED_VALUE"""),"1.0.1")</f>
        <v>1.0.1</v>
      </c>
      <c r="C248" s="61" t="str">
        <f>IFERROR(__xludf.DUMMYFUNCTION("""COMPUTED_VALUE"""),"Yes")</f>
        <v>Yes</v>
      </c>
      <c r="D248" s="62" t="str">
        <f>IFERROR(__xludf.DUMMYFUNCTION("""COMPUTED_VALUE"""),"Can purchase all maps &amp; unlimited lives.")</f>
        <v>Can purchase all maps &amp; unlimited lives.</v>
      </c>
      <c r="E248" s="61" t="str">
        <f>IFERROR(__xludf.DUMMYFUNCTION("""COMPUTED_VALUE"""),"zugzug")</f>
        <v>zugzug</v>
      </c>
      <c r="F248" s="63">
        <f>IFERROR(__xludf.DUMMYFUNCTION("""COMPUTED_VALUE"""),40937.0)</f>
        <v>40937</v>
      </c>
    </row>
    <row r="249">
      <c r="A249" s="59" t="str">
        <f>IFERROR(__xludf.DUMMYFUNCTION("""COMPUTED_VALUE"""),"Living Language (Chinese)")</f>
        <v>Living Language (Chinese)</v>
      </c>
      <c r="B249" s="60"/>
      <c r="C249" s="61" t="str">
        <f>IFERROR(__xludf.DUMMYFUNCTION("""COMPUTED_VALUE"""),"Yes")</f>
        <v>Yes</v>
      </c>
      <c r="D249" s="62" t="str">
        <f>IFERROR(__xludf.DUMMYFUNCTION("""COMPUTED_VALUE"""),"Can purchase all lessons")</f>
        <v>Can purchase all lessons</v>
      </c>
      <c r="E249" s="61" t="str">
        <f>IFERROR(__xludf.DUMMYFUNCTION("""COMPUTED_VALUE"""),"twixxy010")</f>
        <v>twixxy010</v>
      </c>
      <c r="F249" s="63">
        <f>IFERROR(__xludf.DUMMYFUNCTION("""COMPUTED_VALUE"""),40937.0)</f>
        <v>40937</v>
      </c>
    </row>
    <row r="250">
      <c r="A250" s="59" t="str">
        <f>IFERROR(__xludf.DUMMYFUNCTION("""COMPUTED_VALUE"""),"NAMCO ARCADE")</f>
        <v>NAMCO ARCADE</v>
      </c>
      <c r="B250" s="60"/>
      <c r="C250" s="61" t="str">
        <f>IFERROR(__xludf.DUMMYFUNCTION("""COMPUTED_VALUE"""),"Yes")</f>
        <v>Yes</v>
      </c>
      <c r="D250" s="62" t="str">
        <f>IFERROR(__xludf.DUMMYFUNCTION("""COMPUTED_VALUE"""),"You can purchase Coins/GameMachine")</f>
        <v>You can purchase Coins/GameMachine</v>
      </c>
      <c r="E250" s="61" t="str">
        <f>IFERROR(__xludf.DUMMYFUNCTION("""COMPUTED_VALUE"""),"ThePreserver")</f>
        <v>ThePreserver</v>
      </c>
      <c r="F250" s="63">
        <f>IFERROR(__xludf.DUMMYFUNCTION("""COMPUTED_VALUE"""),40937.0)</f>
        <v>40937</v>
      </c>
    </row>
    <row r="251">
      <c r="A251" s="59" t="str">
        <f>IFERROR(__xludf.DUMMYFUNCTION("""COMPUTED_VALUE"""),"Queen's Crown")</f>
        <v>Queen's Crown</v>
      </c>
      <c r="B251" s="60" t="str">
        <f>IFERROR(__xludf.DUMMYFUNCTION("""COMPUTED_VALUE"""),"1.1.3")</f>
        <v>1.1.3</v>
      </c>
      <c r="C251" s="61" t="str">
        <f>IFERROR(__xludf.DUMMYFUNCTION("""COMPUTED_VALUE"""),"Yes")</f>
        <v>Yes</v>
      </c>
      <c r="D251" s="62" t="str">
        <f>IFERROR(__xludf.DUMMYFUNCTION("""COMPUTED_VALUE"""),"Tested with genuine app v1.1.3. All IAP purchasable.")</f>
        <v>Tested with genuine app v1.1.3. All IAP purchasable.</v>
      </c>
      <c r="E251" s="61" t="str">
        <f>IFERROR(__xludf.DUMMYFUNCTION("""COMPUTED_VALUE"""),"zugzug")</f>
        <v>zugzug</v>
      </c>
      <c r="F251" s="63">
        <f>IFERROR(__xludf.DUMMYFUNCTION("""COMPUTED_VALUE"""),40937.0)</f>
        <v>40937</v>
      </c>
    </row>
    <row r="252">
      <c r="A252" s="59" t="str">
        <f>IFERROR(__xludf.DUMMYFUNCTION("""COMPUTED_VALUE"""),"Rerave")</f>
        <v>Rerave</v>
      </c>
      <c r="B252" s="60"/>
      <c r="C252" s="61" t="str">
        <f>IFERROR(__xludf.DUMMYFUNCTION("""COMPUTED_VALUE"""),"Yes")</f>
        <v>Yes</v>
      </c>
      <c r="D252" s="62" t="str">
        <f>IFERROR(__xludf.DUMMYFUNCTION("""COMPUTED_VALUE"""),"Can buy premium songs")</f>
        <v>Can buy premium songs</v>
      </c>
      <c r="E252" s="61" t="str">
        <f>IFERROR(__xludf.DUMMYFUNCTION("""COMPUTED_VALUE"""),"Calviin")</f>
        <v>Calviin</v>
      </c>
      <c r="F252" s="63">
        <f>IFERROR(__xludf.DUMMYFUNCTION("""COMPUTED_VALUE"""),40937.0)</f>
        <v>40937</v>
      </c>
    </row>
    <row r="253">
      <c r="A253" s="59" t="str">
        <f>IFERROR(__xludf.DUMMYFUNCTION("""COMPUTED_VALUE"""),"Stone Wars")</f>
        <v>Stone Wars</v>
      </c>
      <c r="B253" s="60"/>
      <c r="C253" s="61" t="str">
        <f>IFERROR(__xludf.DUMMYFUNCTION("""COMPUTED_VALUE"""),"Yes")</f>
        <v>Yes</v>
      </c>
      <c r="D253" s="62" t="str">
        <f>IFERROR(__xludf.DUMMYFUNCTION("""COMPUTED_VALUE"""),"Unlocks all levels")</f>
        <v>Unlocks all levels</v>
      </c>
      <c r="E253" s="61" t="str">
        <f>IFERROR(__xludf.DUMMYFUNCTION("""COMPUTED_VALUE"""),"bob8jeff")</f>
        <v>bob8jeff</v>
      </c>
      <c r="F253" s="63">
        <f>IFERROR(__xludf.DUMMYFUNCTION("""COMPUTED_VALUE"""),40937.0)</f>
        <v>40937</v>
      </c>
    </row>
    <row r="254">
      <c r="A254" s="59" t="str">
        <f>IFERROR(__xludf.DUMMYFUNCTION("""COMPUTED_VALUE"""),"Tactical Warrior")</f>
        <v>Tactical Warrior</v>
      </c>
      <c r="B254" s="60"/>
      <c r="C254" s="61" t="str">
        <f>IFERROR(__xludf.DUMMYFUNCTION("""COMPUTED_VALUE"""),"Yes")</f>
        <v>Yes</v>
      </c>
      <c r="D254" s="62" t="str">
        <f>IFERROR(__xludf.DUMMYFUNCTION("""COMPUTED_VALUE"""),"Can buy expansion")</f>
        <v>Can buy expansion</v>
      </c>
      <c r="E254" s="61" t="str">
        <f>IFERROR(__xludf.DUMMYFUNCTION("""COMPUTED_VALUE"""),"Zaraf")</f>
        <v>Zaraf</v>
      </c>
      <c r="F254" s="63">
        <f>IFERROR(__xludf.DUMMYFUNCTION("""COMPUTED_VALUE"""),40937.0)</f>
        <v>40937</v>
      </c>
    </row>
    <row r="255">
      <c r="A255" s="59" t="str">
        <f>IFERROR(__xludf.DUMMYFUNCTION("""COMPUTED_VALUE"""),"Zombie Samurai")</f>
        <v>Zombie Samurai</v>
      </c>
      <c r="B255" s="60"/>
      <c r="C255" s="61" t="str">
        <f>IFERROR(__xludf.DUMMYFUNCTION("""COMPUTED_VALUE"""),"Yes")</f>
        <v>Yes</v>
      </c>
      <c r="D255" s="62" t="str">
        <f>IFERROR(__xludf.DUMMYFUNCTION("""COMPUTED_VALUE"""),"Can purchase everything with coins")</f>
        <v>Can purchase everything with coins</v>
      </c>
      <c r="E255" s="61" t="str">
        <f>IFERROR(__xludf.DUMMYFUNCTION("""COMPUTED_VALUE"""),"Ryou")</f>
        <v>Ryou</v>
      </c>
      <c r="F255" s="63">
        <f>IFERROR(__xludf.DUMMYFUNCTION("""COMPUTED_VALUE"""),40937.0)</f>
        <v>40937</v>
      </c>
    </row>
    <row r="256">
      <c r="A256" s="59" t="str">
        <f>IFERROR(__xludf.DUMMYFUNCTION("""COMPUTED_VALUE"""),"Giáo dục giới tính")</f>
        <v>Giáo dục giới tính</v>
      </c>
      <c r="B256" s="60"/>
      <c r="C256" s="61" t="str">
        <f>IFERROR(__xludf.DUMMYFUNCTION("""COMPUTED_VALUE"""),"Yes")</f>
        <v>Yes</v>
      </c>
      <c r="D256" s="62" t="str">
        <f>IFERROR(__xludf.DUMMYFUNCTION("""COMPUTED_VALUE"""),"Can buy any books")</f>
        <v>Can buy any books</v>
      </c>
      <c r="E256" s="61" t="str">
        <f>IFERROR(__xludf.DUMMYFUNCTION("""COMPUTED_VALUE"""),"tuankiet65")</f>
        <v>tuankiet65</v>
      </c>
      <c r="F256" s="63">
        <f>IFERROR(__xludf.DUMMYFUNCTION("""COMPUTED_VALUE"""),40936.0)</f>
        <v>40936</v>
      </c>
    </row>
    <row r="257">
      <c r="A257" s="59" t="str">
        <f>IFERROR(__xludf.DUMMYFUNCTION("""COMPUTED_VALUE"""),"Marathon")</f>
        <v>Marathon</v>
      </c>
      <c r="B257" s="60"/>
      <c r="C257" s="61" t="str">
        <f>IFERROR(__xludf.DUMMYFUNCTION("""COMPUTED_VALUE"""),"Yes")</f>
        <v>Yes</v>
      </c>
      <c r="D257" s="62" t="str">
        <f>IFERROR(__xludf.DUMMYFUNCTION("""COMPUTED_VALUE"""),"Can purchase all items")</f>
        <v>Can purchase all items</v>
      </c>
      <c r="E257" s="61"/>
      <c r="F257" s="63">
        <f>IFERROR(__xludf.DUMMYFUNCTION("""COMPUTED_VALUE"""),40936.0)</f>
        <v>40936</v>
      </c>
    </row>
    <row r="258">
      <c r="A258" s="59" t="str">
        <f>IFERROR(__xludf.DUMMYFUNCTION("""COMPUTED_VALUE"""),"Paleolithics")</f>
        <v>Paleolithics</v>
      </c>
      <c r="B258" s="60"/>
      <c r="C258" s="61" t="str">
        <f>IFERROR(__xludf.DUMMYFUNCTION("""COMPUTED_VALUE"""),"Yes")</f>
        <v>Yes</v>
      </c>
      <c r="D258" s="62" t="str">
        <f>IFERROR(__xludf.DUMMYFUNCTION("""COMPUTED_VALUE"""),"Able to Buy Anything from the Store.")</f>
        <v>Able to Buy Anything from the Store.</v>
      </c>
      <c r="E258" s="61" t="str">
        <f>IFERROR(__xludf.DUMMYFUNCTION("""COMPUTED_VALUE"""),"Satellizer29")</f>
        <v>Satellizer29</v>
      </c>
      <c r="F258" s="63">
        <f>IFERROR(__xludf.DUMMYFUNCTION("""COMPUTED_VALUE"""),40936.0)</f>
        <v>40936</v>
      </c>
    </row>
    <row r="259">
      <c r="A259" s="59" t="str">
        <f>IFERROR(__xludf.DUMMYFUNCTION("""COMPUTED_VALUE"""),"Uangel Hanna")</f>
        <v>Uangel Hanna</v>
      </c>
      <c r="B259" s="60"/>
      <c r="C259" s="61" t="str">
        <f>IFERROR(__xludf.DUMMYFUNCTION("""COMPUTED_VALUE"""),"Yes")</f>
        <v>Yes</v>
      </c>
      <c r="D259" s="62" t="str">
        <f>IFERROR(__xludf.DUMMYFUNCTION("""COMPUTED_VALUE"""),"Can buy all things")</f>
        <v>Can buy all things</v>
      </c>
      <c r="E259" s="61" t="str">
        <f>IFERROR(__xludf.DUMMYFUNCTION("""COMPUTED_VALUE"""),"Boi")</f>
        <v>Boi</v>
      </c>
      <c r="F259" s="63">
        <f>IFERROR(__xludf.DUMMYFUNCTION("""COMPUTED_VALUE"""),40936.0)</f>
        <v>40936</v>
      </c>
    </row>
    <row r="260">
      <c r="A260" s="59" t="str">
        <f>IFERROR(__xludf.DUMMYFUNCTION("""COMPUTED_VALUE"""),"Alois Nebel - Na trati")</f>
        <v>Alois Nebel - Na trati</v>
      </c>
      <c r="B260" s="60"/>
      <c r="C260" s="61" t="str">
        <f>IFERROR(__xludf.DUMMYFUNCTION("""COMPUTED_VALUE"""),"Yes")</f>
        <v>Yes</v>
      </c>
      <c r="D260" s="62" t="str">
        <f>IFERROR(__xludf.DUMMYFUNCTION("""COMPUTED_VALUE"""),"Purchase comics")</f>
        <v>Purchase comics</v>
      </c>
      <c r="E260" s="61" t="str">
        <f>IFERROR(__xludf.DUMMYFUNCTION("""COMPUTED_VALUE"""),"KeceRim")</f>
        <v>KeceRim</v>
      </c>
      <c r="F260" s="63">
        <f>IFERROR(__xludf.DUMMYFUNCTION("""COMPUTED_VALUE"""),40935.0)</f>
        <v>40935</v>
      </c>
    </row>
    <row r="261">
      <c r="A261" s="59" t="str">
        <f>IFERROR(__xludf.DUMMYFUNCTION("""COMPUTED_VALUE"""),"Byline")</f>
        <v>Byline</v>
      </c>
      <c r="B261" s="60"/>
      <c r="C261" s="61" t="str">
        <f>IFERROR(__xludf.DUMMYFUNCTION("""COMPUTED_VALUE"""),"Yes")</f>
        <v>Yes</v>
      </c>
      <c r="D261" s="62" t="str">
        <f>IFERROR(__xludf.DUMMYFUNCTION("""COMPUTED_VALUE"""),"Remove Ads")</f>
        <v>Remove Ads</v>
      </c>
      <c r="E261" s="61" t="str">
        <f>IFERROR(__xludf.DUMMYFUNCTION("""COMPUTED_VALUE"""),"B0B")</f>
        <v>B0B</v>
      </c>
      <c r="F261" s="63">
        <f>IFERROR(__xludf.DUMMYFUNCTION("""COMPUTED_VALUE"""),40935.0)</f>
        <v>40935</v>
      </c>
    </row>
    <row r="262">
      <c r="A262" s="59" t="str">
        <f>IFERROR(__xludf.DUMMYFUNCTION("""COMPUTED_VALUE"""),"Draw Pad Pro")</f>
        <v>Draw Pad Pro</v>
      </c>
      <c r="B262" s="60"/>
      <c r="C262" s="61" t="str">
        <f>IFERROR(__xludf.DUMMYFUNCTION("""COMPUTED_VALUE"""),"Yes")</f>
        <v>Yes</v>
      </c>
      <c r="D262" s="62" t="str">
        <f>IFERROR(__xludf.DUMMYFUNCTION("""COMPUTED_VALUE"""),"Purchase in App Photo Add-on Tool.")</f>
        <v>Purchase in App Photo Add-on Tool.</v>
      </c>
      <c r="E262" s="61" t="str">
        <f>IFERROR(__xludf.DUMMYFUNCTION("""COMPUTED_VALUE"""),"IamAwesom3, rctgamer3")</f>
        <v>IamAwesom3, rctgamer3</v>
      </c>
      <c r="F262" s="63">
        <f>IFERROR(__xludf.DUMMYFUNCTION("""COMPUTED_VALUE"""),40935.0)</f>
        <v>40935</v>
      </c>
    </row>
    <row r="263">
      <c r="A263" s="59" t="str">
        <f>IFERROR(__xludf.DUMMYFUNCTION("""COMPUTED_VALUE"""),"Galileo Offline Maps")</f>
        <v>Galileo Offline Maps</v>
      </c>
      <c r="B263" s="60"/>
      <c r="C263" s="61" t="str">
        <f>IFERROR(__xludf.DUMMYFUNCTION("""COMPUTED_VALUE"""),"Yes")</f>
        <v>Yes</v>
      </c>
      <c r="D263" s="62" t="str">
        <f>IFERROR(__xludf.DUMMYFUNCTION("""COMPUTED_VALUE"""),"Unlock all special features")</f>
        <v>Unlock all special features</v>
      </c>
      <c r="E263" s="61" t="str">
        <f>IFERROR(__xludf.DUMMYFUNCTION("""COMPUTED_VALUE"""),"ArLo")</f>
        <v>ArLo</v>
      </c>
      <c r="F263" s="63">
        <f>IFERROR(__xludf.DUMMYFUNCTION("""COMPUTED_VALUE"""),40935.0)</f>
        <v>40935</v>
      </c>
    </row>
    <row r="264">
      <c r="A264" s="59" t="str">
        <f>IFERROR(__xludf.DUMMYFUNCTION("""COMPUTED_VALUE"""),"Malý bůh - Pod paprsky Zářícího")</f>
        <v>Malý bůh - Pod paprsky Zářícího</v>
      </c>
      <c r="B264" s="60"/>
      <c r="C264" s="61" t="str">
        <f>IFERROR(__xludf.DUMMYFUNCTION("""COMPUTED_VALUE"""),"Yes")</f>
        <v>Yes</v>
      </c>
      <c r="D264" s="62" t="str">
        <f>IFERROR(__xludf.DUMMYFUNCTION("""COMPUTED_VALUE"""),"Purchase all comixes")</f>
        <v>Purchase all comixes</v>
      </c>
      <c r="E264" s="61" t="str">
        <f>IFERROR(__xludf.DUMMYFUNCTION("""COMPUTED_VALUE"""),"KeceRim")</f>
        <v>KeceRim</v>
      </c>
      <c r="F264" s="63">
        <f>IFERROR(__xludf.DUMMYFUNCTION("""COMPUTED_VALUE"""),40935.0)</f>
        <v>40935</v>
      </c>
    </row>
    <row r="265">
      <c r="A265" s="59" t="str">
        <f>IFERROR(__xludf.DUMMYFUNCTION("""COMPUTED_VALUE"""),"Tiny Heroes")</f>
        <v>Tiny Heroes</v>
      </c>
      <c r="B265" s="60"/>
      <c r="C265" s="61" t="str">
        <f>IFERROR(__xludf.DUMMYFUNCTION("""COMPUTED_VALUE"""),"Yes")</f>
        <v>Yes</v>
      </c>
      <c r="D265" s="62" t="str">
        <f>IFERROR(__xludf.DUMMYFUNCTION("""COMPUTED_VALUE"""),"Can buy defense pack 1")</f>
        <v>Can buy defense pack 1</v>
      </c>
      <c r="E265" s="61" t="str">
        <f>IFERROR(__xludf.DUMMYFUNCTION("""COMPUTED_VALUE"""),"Zaraf")</f>
        <v>Zaraf</v>
      </c>
      <c r="F265" s="63">
        <f>IFERROR(__xludf.DUMMYFUNCTION("""COMPUTED_VALUE"""),40935.0)</f>
        <v>40935</v>
      </c>
    </row>
    <row r="266">
      <c r="A266" s="59" t="str">
        <f>IFERROR(__xludf.DUMMYFUNCTION("""COMPUTED_VALUE"""),"Vzpoura mozků, Galaxia a Tvrz - Komiksová klasika")</f>
        <v>Vzpoura mozků, Galaxia a Tvrz - Komiksová klasika</v>
      </c>
      <c r="B266" s="60"/>
      <c r="C266" s="61" t="str">
        <f>IFERROR(__xludf.DUMMYFUNCTION("""COMPUTED_VALUE"""),"Yes")</f>
        <v>Yes</v>
      </c>
      <c r="D266" s="62" t="str">
        <f>IFERROR(__xludf.DUMMYFUNCTION("""COMPUTED_VALUE"""),"Purchase all comixes")</f>
        <v>Purchase all comixes</v>
      </c>
      <c r="E266" s="61" t="str">
        <f>IFERROR(__xludf.DUMMYFUNCTION("""COMPUTED_VALUE"""),"KeceRim")</f>
        <v>KeceRim</v>
      </c>
      <c r="F266" s="63">
        <f>IFERROR(__xludf.DUMMYFUNCTION("""COMPUTED_VALUE"""),40935.0)</f>
        <v>40935</v>
      </c>
    </row>
    <row r="267">
      <c r="A267" s="59" t="str">
        <f>IFERROR(__xludf.DUMMYFUNCTION("""COMPUTED_VALUE"""),"All-in YOGA: 300 Poses &amp; Yoga Classes
")</f>
        <v>All-in YOGA: 300 Poses &amp; Yoga Classes
</v>
      </c>
      <c r="B267" s="60"/>
      <c r="C267" s="61" t="str">
        <f>IFERROR(__xludf.DUMMYFUNCTION("""COMPUTED_VALUE"""),"Yes")</f>
        <v>Yes</v>
      </c>
      <c r="D267" s="62" t="str">
        <f>IFERROR(__xludf.DUMMYFUNCTION("""COMPUTED_VALUE"""),"All Premium content")</f>
        <v>All Premium content</v>
      </c>
      <c r="E267" s="61" t="str">
        <f>IFERROR(__xludf.DUMMYFUNCTION("""COMPUTED_VALUE"""),"luudaigiang")</f>
        <v>luudaigiang</v>
      </c>
      <c r="F267" s="63">
        <f>IFERROR(__xludf.DUMMYFUNCTION("""COMPUTED_VALUE"""),40934.0)</f>
        <v>40934</v>
      </c>
    </row>
    <row r="268">
      <c r="A268" s="59" t="str">
        <f>IFERROR(__xludf.DUMMYFUNCTION("""COMPUTED_VALUE"""),"Old Booth+")</f>
        <v>Old Booth+</v>
      </c>
      <c r="B268" s="60" t="str">
        <f>IFERROR(__xludf.DUMMYFUNCTION("""COMPUTED_VALUE"""),"4.5.2")</f>
        <v>4.5.2</v>
      </c>
      <c r="C268" s="61" t="str">
        <f>IFERROR(__xludf.DUMMYFUNCTION("""COMPUTED_VALUE"""),"Yes")</f>
        <v>Yes</v>
      </c>
      <c r="D268" s="62" t="str">
        <f>IFERROR(__xludf.DUMMYFUNCTION("""COMPUTED_VALUE"""),"free extra's like 20s pack and 80s pack Program itself?")</f>
        <v>free extra's like 20s pack and 80s pack Program itself?</v>
      </c>
      <c r="E268" s="61" t="str">
        <f>IFERROR(__xludf.DUMMYFUNCTION("""COMPUTED_VALUE"""),"cockatoos")</f>
        <v>cockatoos</v>
      </c>
      <c r="F268" s="63">
        <f>IFERROR(__xludf.DUMMYFUNCTION("""COMPUTED_VALUE"""),40934.0)</f>
        <v>40934</v>
      </c>
    </row>
    <row r="269">
      <c r="A269" s="59" t="str">
        <f>IFERROR(__xludf.DUMMYFUNCTION("""COMPUTED_VALUE"""),"Crate Collapse HD")</f>
        <v>Crate Collapse HD</v>
      </c>
      <c r="B269" s="60"/>
      <c r="C269" s="61" t="str">
        <f>IFERROR(__xludf.DUMMYFUNCTION("""COMPUTED_VALUE"""),"Yes")</f>
        <v>Yes</v>
      </c>
      <c r="D269" s="62" t="str">
        <f>IFERROR(__xludf.DUMMYFUNCTION("""COMPUTED_VALUE"""),"Unlock all levels and bonus")</f>
        <v>Unlock all levels and bonus</v>
      </c>
      <c r="E269" s="61" t="str">
        <f>IFERROR(__xludf.DUMMYFUNCTION("""COMPUTED_VALUE"""),"Ozirone")</f>
        <v>Ozirone</v>
      </c>
      <c r="F269" s="63">
        <f>IFERROR(__xludf.DUMMYFUNCTION("""COMPUTED_VALUE"""),40933.0)</f>
        <v>40933</v>
      </c>
    </row>
    <row r="270">
      <c r="A270" s="59" t="str">
        <f>IFERROR(__xludf.DUMMYFUNCTION("""COMPUTED_VALUE"""),"Robber Rabbits")</f>
        <v>Robber Rabbits</v>
      </c>
      <c r="B270" s="60">
        <f>IFERROR(__xludf.DUMMYFUNCTION("""COMPUTED_VALUE"""),1.2)</f>
        <v>1.2</v>
      </c>
      <c r="C270" s="61" t="str">
        <f>IFERROR(__xludf.DUMMYFUNCTION("""COMPUTED_VALUE"""),"Yes")</f>
        <v>Yes</v>
      </c>
      <c r="D270" s="62" t="str">
        <f>IFERROR(__xludf.DUMMYFUNCTION("""COMPUTED_VALUE"""),"Able to purchase bullets for all guns")</f>
        <v>Able to purchase bullets for all guns</v>
      </c>
      <c r="E270" s="61" t="str">
        <f>IFERROR(__xludf.DUMMYFUNCTION("""COMPUTED_VALUE"""),"chowlala")</f>
        <v>chowlala</v>
      </c>
      <c r="F270" s="63">
        <f>IFERROR(__xludf.DUMMYFUNCTION("""COMPUTED_VALUE"""),40933.0)</f>
        <v>40933</v>
      </c>
    </row>
    <row r="271">
      <c r="A271" s="59" t="str">
        <f>IFERROR(__xludf.DUMMYFUNCTION("""COMPUTED_VALUE"""),"A Monster Ate My Homework")</f>
        <v>A Monster Ate My Homework</v>
      </c>
      <c r="B271" s="60"/>
      <c r="C271" s="61" t="str">
        <f>IFERROR(__xludf.DUMMYFUNCTION("""COMPUTED_VALUE"""),"Yes")</f>
        <v>Yes</v>
      </c>
      <c r="D271" s="62" t="str">
        <f>IFERROR(__xludf.DUMMYFUNCTION("""COMPUTED_VALUE"""),"Able to purchase and unlock all levels")</f>
        <v>Able to purchase and unlock all levels</v>
      </c>
      <c r="E271" s="61" t="str">
        <f>IFERROR(__xludf.DUMMYFUNCTION("""COMPUTED_VALUE"""),"chowlala")</f>
        <v>chowlala</v>
      </c>
      <c r="F271" s="63">
        <f>IFERROR(__xludf.DUMMYFUNCTION("""COMPUTED_VALUE"""),40932.0)</f>
        <v>40932</v>
      </c>
    </row>
    <row r="272">
      <c r="A272" s="59" t="str">
        <f>IFERROR(__xludf.DUMMYFUNCTION("""COMPUTED_VALUE"""),"Guitar Trainer HD")</f>
        <v>Guitar Trainer HD</v>
      </c>
      <c r="B272" s="60"/>
      <c r="C272" s="61" t="str">
        <f>IFERROR(__xludf.DUMMYFUNCTION("""COMPUTED_VALUE"""),"Yes")</f>
        <v>Yes</v>
      </c>
      <c r="D272" s="62" t="str">
        <f>IFERROR(__xludf.DUMMYFUNCTION("""COMPUTED_VALUE"""),"works perfect")</f>
        <v>works perfect</v>
      </c>
      <c r="E272" s="61" t="str">
        <f>IFERROR(__xludf.DUMMYFUNCTION("""COMPUTED_VALUE"""),"Yoma")</f>
        <v>Yoma</v>
      </c>
      <c r="F272" s="63">
        <f>IFERROR(__xludf.DUMMYFUNCTION("""COMPUTED_VALUE"""),40932.0)</f>
        <v>40932</v>
      </c>
    </row>
    <row r="273">
      <c r="A273" s="59" t="str">
        <f>IFERROR(__xludf.DUMMYFUNCTION("""COMPUTED_VALUE"""),"Menagerie")</f>
        <v>Menagerie</v>
      </c>
      <c r="B273" s="60"/>
      <c r="C273" s="61" t="str">
        <f>IFERROR(__xludf.DUMMYFUNCTION("""COMPUTED_VALUE"""),"Yes")</f>
        <v>Yes</v>
      </c>
      <c r="D273" s="62" t="str">
        <f>IFERROR(__xludf.DUMMYFUNCTION("""COMPUTED_VALUE"""),"Unlocks all Wallpaper collections")</f>
        <v>Unlocks all Wallpaper collections</v>
      </c>
      <c r="E273" s="61" t="str">
        <f>IFERROR(__xludf.DUMMYFUNCTION("""COMPUTED_VALUE"""),"IamAwesom3")</f>
        <v>IamAwesom3</v>
      </c>
      <c r="F273" s="63">
        <f>IFERROR(__xludf.DUMMYFUNCTION("""COMPUTED_VALUE"""),40932.0)</f>
        <v>40932</v>
      </c>
    </row>
    <row r="274">
      <c r="A274" s="59" t="str">
        <f>IFERROR(__xludf.DUMMYFUNCTION("""COMPUTED_VALUE"""),"Wavebot")</f>
        <v>Wavebot</v>
      </c>
      <c r="B274" s="60"/>
      <c r="C274" s="61" t="str">
        <f>IFERROR(__xludf.DUMMYFUNCTION("""COMPUTED_VALUE"""),"Yes")</f>
        <v>Yes</v>
      </c>
      <c r="D274" s="62" t="str">
        <f>IFERROR(__xludf.DUMMYFUNCTION("""COMPUTED_VALUE"""),"Able To Purchase Sound Pack")</f>
        <v>Able To Purchase Sound Pack</v>
      </c>
      <c r="E274" s="61" t="str">
        <f>IFERROR(__xludf.DUMMYFUNCTION("""COMPUTED_VALUE"""),"Satellizer29")</f>
        <v>Satellizer29</v>
      </c>
      <c r="F274" s="63">
        <f>IFERROR(__xludf.DUMMYFUNCTION("""COMPUTED_VALUE"""),40932.0)</f>
        <v>40932</v>
      </c>
    </row>
    <row r="275">
      <c r="A275" s="59" t="str">
        <f>IFERROR(__xludf.DUMMYFUNCTION("""COMPUTED_VALUE"""),"ZombieLife")</f>
        <v>ZombieLife</v>
      </c>
      <c r="B275" s="60"/>
      <c r="C275" s="61" t="str">
        <f>IFERROR(__xludf.DUMMYFUNCTION("""COMPUTED_VALUE"""),"Yes")</f>
        <v>Yes</v>
      </c>
      <c r="D275" s="62" t="str">
        <f>IFERROR(__xludf.DUMMYFUNCTION("""COMPUTED_VALUE"""),"It buys coins/diamonds great!")</f>
        <v>It buys coins/diamonds great!</v>
      </c>
      <c r="E275" s="61" t="str">
        <f>IFERROR(__xludf.DUMMYFUNCTION("""COMPUTED_VALUE"""),"TomRBify")</f>
        <v>TomRBify</v>
      </c>
      <c r="F275" s="63">
        <f>IFERROR(__xludf.DUMMYFUNCTION("""COMPUTED_VALUE"""),40932.0)</f>
        <v>40932</v>
      </c>
    </row>
    <row r="276">
      <c r="A276" s="59" t="str">
        <f>IFERROR(__xludf.DUMMYFUNCTION("""COMPUTED_VALUE"""),"Amplitube 2")</f>
        <v>Amplitube 2</v>
      </c>
      <c r="B276" s="60"/>
      <c r="C276" s="61" t="str">
        <f>IFERROR(__xludf.DUMMYFUNCTION("""COMPUTED_VALUE"""),"Yes")</f>
        <v>Yes</v>
      </c>
      <c r="D276" s="62"/>
      <c r="E276" s="61" t="str">
        <f>IFERROR(__xludf.DUMMYFUNCTION("""COMPUTED_VALUE"""),"Pollux0512")</f>
        <v>Pollux0512</v>
      </c>
      <c r="F276" s="63">
        <f>IFERROR(__xludf.DUMMYFUNCTION("""COMPUTED_VALUE"""),40931.0)</f>
        <v>40931</v>
      </c>
    </row>
    <row r="277">
      <c r="A277" s="59" t="str">
        <f>IFERROR(__xludf.DUMMYFUNCTION("""COMPUTED_VALUE"""),"Dark Fury")</f>
        <v>Dark Fury</v>
      </c>
      <c r="B277" s="60"/>
      <c r="C277" s="61" t="str">
        <f>IFERROR(__xludf.DUMMYFUNCTION("""COMPUTED_VALUE"""),"Yes")</f>
        <v>Yes</v>
      </c>
      <c r="D277" s="62" t="str">
        <f>IFERROR(__xludf.DUMMYFUNCTION("""COMPUTED_VALUE"""),"you need to disable the app then go to the shop screen and re-enable to work")</f>
        <v>you need to disable the app then go to the shop screen and re-enable to work</v>
      </c>
      <c r="E277" s="61" t="str">
        <f>IFERROR(__xludf.DUMMYFUNCTION("""COMPUTED_VALUE"""),"Blimpi")</f>
        <v>Blimpi</v>
      </c>
      <c r="F277" s="63">
        <f>IFERROR(__xludf.DUMMYFUNCTION("""COMPUTED_VALUE"""),40931.0)</f>
        <v>40931</v>
      </c>
    </row>
    <row r="278">
      <c r="A278" s="59" t="str">
        <f>IFERROR(__xludf.DUMMYFUNCTION("""COMPUTED_VALUE"""),"Dice Soccer")</f>
        <v>Dice Soccer</v>
      </c>
      <c r="B278" s="60"/>
      <c r="C278" s="61" t="str">
        <f>IFERROR(__xludf.DUMMYFUNCTION("""COMPUTED_VALUE"""),"Yes")</f>
        <v>Yes</v>
      </c>
      <c r="D278" s="62" t="str">
        <f>IFERROR(__xludf.DUMMYFUNCTION("""COMPUTED_VALUE"""),"Perfect! Can unlock everything: players, t-shirts, pants, etc...")</f>
        <v>Perfect! Can unlock everything: players, t-shirts, pants, etc...</v>
      </c>
      <c r="E278" s="61" t="str">
        <f>IFERROR(__xludf.DUMMYFUNCTION("""COMPUTED_VALUE"""),"Mazzacane")</f>
        <v>Mazzacane</v>
      </c>
      <c r="F278" s="63">
        <f>IFERROR(__xludf.DUMMYFUNCTION("""COMPUTED_VALUE"""),40931.0)</f>
        <v>40931</v>
      </c>
    </row>
    <row r="279">
      <c r="A279" s="59" t="str">
        <f>IFERROR(__xludf.DUMMYFUNCTION("""COMPUTED_VALUE"""),"Parachute Ninja")</f>
        <v>Parachute Ninja</v>
      </c>
      <c r="B279" s="60"/>
      <c r="C279" s="61" t="str">
        <f>IFERROR(__xludf.DUMMYFUNCTION("""COMPUTED_VALUE"""),"Yes")</f>
        <v>Yes</v>
      </c>
      <c r="D279" s="62" t="str">
        <f>IFERROR(__xludf.DUMMYFUNCTION("""COMPUTED_VALUE"""),"Perfect! You can buy all the characters!")</f>
        <v>Perfect! You can buy all the characters!</v>
      </c>
      <c r="E279" s="61" t="str">
        <f>IFERROR(__xludf.DUMMYFUNCTION("""COMPUTED_VALUE"""),"Mazzacane")</f>
        <v>Mazzacane</v>
      </c>
      <c r="F279" s="63">
        <f>IFERROR(__xludf.DUMMYFUNCTION("""COMPUTED_VALUE"""),40931.0)</f>
        <v>40931</v>
      </c>
    </row>
    <row r="280">
      <c r="A280" s="59" t="str">
        <f>IFERROR(__xludf.DUMMYFUNCTION("""COMPUTED_VALUE"""),"Star Marine! Infinite Ammo")</f>
        <v>Star Marine! Infinite Ammo</v>
      </c>
      <c r="B280" s="60"/>
      <c r="C280" s="61" t="str">
        <f>IFERROR(__xludf.DUMMYFUNCTION("""COMPUTED_VALUE"""),"Yes")</f>
        <v>Yes</v>
      </c>
      <c r="D280" s="62" t="str">
        <f>IFERROR(__xludf.DUMMYFUNCTION("""COMPUTED_VALUE"""),"Works perfect!")</f>
        <v>Works perfect!</v>
      </c>
      <c r="E280" s="61" t="str">
        <f>IFERROR(__xludf.DUMMYFUNCTION("""COMPUTED_VALUE"""),"Fantomac")</f>
        <v>Fantomac</v>
      </c>
      <c r="F280" s="63">
        <f>IFERROR(__xludf.DUMMYFUNCTION("""COMPUTED_VALUE"""),40931.0)</f>
        <v>40931</v>
      </c>
    </row>
    <row r="281">
      <c r="A281" s="59" t="str">
        <f>IFERROR(__xludf.DUMMYFUNCTION("""COMPUTED_VALUE"""),"Ticket to ride")</f>
        <v>Ticket to ride</v>
      </c>
      <c r="B281" s="60"/>
      <c r="C281" s="61" t="str">
        <f>IFERROR(__xludf.DUMMYFUNCTION("""COMPUTED_VALUE"""),"Yes")</f>
        <v>Yes</v>
      </c>
      <c r="D281" s="62"/>
      <c r="E281" s="61" t="str">
        <f>IFERROR(__xludf.DUMMYFUNCTION("""COMPUTED_VALUE"""),"Anth0")</f>
        <v>Anth0</v>
      </c>
      <c r="F281" s="63">
        <f>IFERROR(__xludf.DUMMYFUNCTION("""COMPUTED_VALUE"""),40931.0)</f>
        <v>40931</v>
      </c>
    </row>
    <row r="282">
      <c r="A282" s="59" t="str">
        <f>IFERROR(__xludf.DUMMYFUNCTION("""COMPUTED_VALUE"""),"Touch Hockey 2 HD")</f>
        <v>Touch Hockey 2 HD</v>
      </c>
      <c r="B282" s="60"/>
      <c r="C282" s="61" t="str">
        <f>IFERROR(__xludf.DUMMYFUNCTION("""COMPUTED_VALUE"""),"Yes")</f>
        <v>Yes</v>
      </c>
      <c r="D282" s="62"/>
      <c r="E282" s="61" t="str">
        <f>IFERROR(__xludf.DUMMYFUNCTION("""COMPUTED_VALUE"""),"i can play")</f>
        <v>i can play</v>
      </c>
      <c r="F282" s="63">
        <f>IFERROR(__xludf.DUMMYFUNCTION("""COMPUTED_VALUE"""),40931.0)</f>
        <v>40931</v>
      </c>
    </row>
    <row r="283">
      <c r="A283" s="59" t="str">
        <f>IFERROR(__xludf.DUMMYFUNCTION("""COMPUTED_VALUE"""),"Edge")</f>
        <v>Edge</v>
      </c>
      <c r="B283" s="60"/>
      <c r="C283" s="61" t="str">
        <f>IFERROR(__xludf.DUMMYFUNCTION("""COMPUTED_VALUE"""),"Yes")</f>
        <v>Yes</v>
      </c>
      <c r="D283" s="62" t="str">
        <f>IFERROR(__xludf.DUMMYFUNCTION("""COMPUTED_VALUE"""),"You can buy bonus levels.")</f>
        <v>You can buy bonus levels.</v>
      </c>
      <c r="E283" s="61" t="str">
        <f>IFERROR(__xludf.DUMMYFUNCTION("""COMPUTED_VALUE"""),"Andrew")</f>
        <v>Andrew</v>
      </c>
      <c r="F283" s="63">
        <f>IFERROR(__xludf.DUMMYFUNCTION("""COMPUTED_VALUE"""),40930.0)</f>
        <v>40930</v>
      </c>
    </row>
    <row r="284">
      <c r="A284" s="59" t="str">
        <f>IFERROR(__xludf.DUMMYFUNCTION("""COMPUTED_VALUE"""),"JamUp Pro")</f>
        <v>JamUp Pro</v>
      </c>
      <c r="B284" s="60"/>
      <c r="C284" s="61" t="str">
        <f>IFERROR(__xludf.DUMMYFUNCTION("""COMPUTED_VALUE"""),"Yes")</f>
        <v>Yes</v>
      </c>
      <c r="D284" s="62" t="str">
        <f>IFERROR(__xludf.DUMMYFUNCTION("""COMPUTED_VALUE"""),"All Amp and Effect Models")</f>
        <v>All Amp and Effect Models</v>
      </c>
      <c r="E284" s="61" t="str">
        <f>IFERROR(__xludf.DUMMYFUNCTION("""COMPUTED_VALUE"""),"indraf")</f>
        <v>indraf</v>
      </c>
      <c r="F284" s="63">
        <f>IFERROR(__xludf.DUMMYFUNCTION("""COMPUTED_VALUE"""),40930.0)</f>
        <v>40930</v>
      </c>
    </row>
    <row r="285">
      <c r="A285" s="59" t="str">
        <f>IFERROR(__xludf.DUMMYFUNCTION("""COMPUTED_VALUE"""),"Leave Devil alone")</f>
        <v>Leave Devil alone</v>
      </c>
      <c r="B285" s="60"/>
      <c r="C285" s="61" t="str">
        <f>IFERROR(__xludf.DUMMYFUNCTION("""COMPUTED_VALUE"""),"Yes")</f>
        <v>Yes</v>
      </c>
      <c r="D285" s="62" t="str">
        <f>IFERROR(__xludf.DUMMYFUNCTION("""COMPUTED_VALUE"""),"Works fine")</f>
        <v>Works fine</v>
      </c>
      <c r="E285" s="61" t="str">
        <f>IFERROR(__xludf.DUMMYFUNCTION("""COMPUTED_VALUE"""),"luudaigiang")</f>
        <v>luudaigiang</v>
      </c>
      <c r="F285" s="63">
        <f>IFERROR(__xludf.DUMMYFUNCTION("""COMPUTED_VALUE"""),40930.0)</f>
        <v>40930</v>
      </c>
    </row>
    <row r="286">
      <c r="A286" s="59" t="str">
        <f>IFERROR(__xludf.DUMMYFUNCTION("""COMPUTED_VALUE"""),"Mixr")</f>
        <v>Mixr</v>
      </c>
      <c r="B286" s="60"/>
      <c r="C286" s="61" t="str">
        <f>IFERROR(__xludf.DUMMYFUNCTION("""COMPUTED_VALUE"""),"Yes")</f>
        <v>Yes</v>
      </c>
      <c r="D286" s="62" t="str">
        <f>IFERROR(__xludf.DUMMYFUNCTION("""COMPUTED_VALUE"""),"All store sample packs work")</f>
        <v>All store sample packs work</v>
      </c>
      <c r="E286" s="61" t="str">
        <f>IFERROR(__xludf.DUMMYFUNCTION("""COMPUTED_VALUE"""),"Rubinho")</f>
        <v>Rubinho</v>
      </c>
      <c r="F286" s="63">
        <f>IFERROR(__xludf.DUMMYFUNCTION("""COMPUTED_VALUE"""),40930.0)</f>
        <v>40930</v>
      </c>
    </row>
    <row r="287">
      <c r="A287" s="59" t="str">
        <f>IFERROR(__xludf.DUMMYFUNCTION("""COMPUTED_VALUE"""),"Pocket Warriors")</f>
        <v>Pocket Warriors</v>
      </c>
      <c r="B287" s="60"/>
      <c r="C287" s="61" t="str">
        <f>IFERROR(__xludf.DUMMYFUNCTION("""COMPUTED_VALUE"""),"Yes")</f>
        <v>Yes</v>
      </c>
      <c r="D287" s="62" t="str">
        <f>IFERROR(__xludf.DUMMYFUNCTION("""COMPUTED_VALUE"""),"You can buy anything. Works fine at least for me it did.")</f>
        <v>You can buy anything. Works fine at least for me it did.</v>
      </c>
      <c r="E287" s="61" t="str">
        <f>IFERROR(__xludf.DUMMYFUNCTION("""COMPUTED_VALUE"""),"Cloud")</f>
        <v>Cloud</v>
      </c>
      <c r="F287" s="63">
        <f>IFERROR(__xludf.DUMMYFUNCTION("""COMPUTED_VALUE"""),40930.0)</f>
        <v>40930</v>
      </c>
    </row>
    <row r="288">
      <c r="A288" s="59" t="str">
        <f>IFERROR(__xludf.DUMMYFUNCTION("""COMPUTED_VALUE"""),"Sport1 Live")</f>
        <v>Sport1 Live</v>
      </c>
      <c r="B288" s="60"/>
      <c r="C288" s="61" t="str">
        <f>IFERROR(__xludf.DUMMYFUNCTION("""COMPUTED_VALUE"""),"Yes")</f>
        <v>Yes</v>
      </c>
      <c r="D288" s="62" t="str">
        <f>IFERROR(__xludf.DUMMYFUNCTION("""COMPUTED_VALUE"""),"You can watch all live games for free.")</f>
        <v>You can watch all live games for free.</v>
      </c>
      <c r="E288" s="61" t="str">
        <f>IFERROR(__xludf.DUMMYFUNCTION("""COMPUTED_VALUE"""),"Drieks")</f>
        <v>Drieks</v>
      </c>
      <c r="F288" s="63">
        <f>IFERROR(__xludf.DUMMYFUNCTION("""COMPUTED_VALUE"""),40930.0)</f>
        <v>40930</v>
      </c>
    </row>
    <row r="289">
      <c r="A289" s="59" t="str">
        <f>IFERROR(__xludf.DUMMYFUNCTION("""COMPUTED_VALUE"""),"AMC Free")</f>
        <v>AMC Free</v>
      </c>
      <c r="B289" s="60"/>
      <c r="C289" s="61" t="str">
        <f>IFERROR(__xludf.DUMMYFUNCTION("""COMPUTED_VALUE"""),"Yes")</f>
        <v>Yes</v>
      </c>
      <c r="D289" s="62" t="str">
        <f>IFERROR(__xludf.DUMMYFUNCTION("""COMPUTED_VALUE"""),"Unlocks additional maps")</f>
        <v>Unlocks additional maps</v>
      </c>
      <c r="E289" s="61" t="str">
        <f>IFERROR(__xludf.DUMMYFUNCTION("""COMPUTED_VALUE"""),"tester")</f>
        <v>tester</v>
      </c>
      <c r="F289" s="63">
        <f>IFERROR(__xludf.DUMMYFUNCTION("""COMPUTED_VALUE"""),40929.0)</f>
        <v>40929</v>
      </c>
    </row>
    <row r="290">
      <c r="A290" s="59" t="str">
        <f>IFERROR(__xludf.DUMMYFUNCTION("""COMPUTED_VALUE"""),"AoZ Anniv.")</f>
        <v>AoZ Anniv.</v>
      </c>
      <c r="B290" s="60"/>
      <c r="C290" s="61" t="str">
        <f>IFERROR(__xludf.DUMMYFUNCTION("""COMPUTED_VALUE"""),"Yes")</f>
        <v>Yes</v>
      </c>
      <c r="D290" s="62" t="str">
        <f>IFERROR(__xludf.DUMMYFUNCTION("""COMPUTED_VALUE"""),"Unlock all levels! :)")</f>
        <v>Unlock all levels! :)</v>
      </c>
      <c r="E290" s="61" t="str">
        <f>IFERROR(__xludf.DUMMYFUNCTION("""COMPUTED_VALUE"""),"Coran!")</f>
        <v>Coran!</v>
      </c>
      <c r="F290" s="63">
        <f>IFERROR(__xludf.DUMMYFUNCTION("""COMPUTED_VALUE"""),40929.0)</f>
        <v>40929</v>
      </c>
    </row>
    <row r="291">
      <c r="A291" s="59" t="str">
        <f>IFERROR(__xludf.DUMMYFUNCTION("""COMPUTED_VALUE"""),"Diamond Dash v1.3")</f>
        <v>Diamond Dash v1.3</v>
      </c>
      <c r="B291" s="60"/>
      <c r="C291" s="61" t="str">
        <f>IFERROR(__xludf.DUMMYFUNCTION("""COMPUTED_VALUE"""),"Yes")</f>
        <v>Yes</v>
      </c>
      <c r="D291" s="62" t="str">
        <f>IFERROR(__xludf.DUMMYFUNCTION("""COMPUTED_VALUE"""),"It works i bought 6000 golds...")</f>
        <v>It works i bought 6000 golds...</v>
      </c>
      <c r="E291" s="61" t="str">
        <f>IFERROR(__xludf.DUMMYFUNCTION("""COMPUTED_VALUE"""),"VorteX_VG")</f>
        <v>VorteX_VG</v>
      </c>
      <c r="F291" s="63">
        <f>IFERROR(__xludf.DUMMYFUNCTION("""COMPUTED_VALUE"""),40929.0)</f>
        <v>40929</v>
      </c>
    </row>
    <row r="292">
      <c r="A292" s="59" t="str">
        <f>IFERROR(__xludf.DUMMYFUNCTION("""COMPUTED_VALUE"""),"Tilt to Live (HD)")</f>
        <v>Tilt to Live (HD)</v>
      </c>
      <c r="B292" s="60"/>
      <c r="C292" s="61" t="str">
        <f>IFERROR(__xludf.DUMMYFUNCTION("""COMPUTED_VALUE"""),"Yes")</f>
        <v>Yes</v>
      </c>
      <c r="D292" s="62" t="str">
        <f>IFERROR(__xludf.DUMMYFUNCTION("""COMPUTED_VALUE"""),"Works, but presents App Store login screen. Use at own risk.")</f>
        <v>Works, but presents App Store login screen. Use at own risk.</v>
      </c>
      <c r="E292" s="61" t="str">
        <f>IFERROR(__xludf.DUMMYFUNCTION("""COMPUTED_VALUE"""),"ZaizenK")</f>
        <v>ZaizenK</v>
      </c>
      <c r="F292" s="63">
        <f>IFERROR(__xludf.DUMMYFUNCTION("""COMPUTED_VALUE"""),40929.0)</f>
        <v>40929</v>
      </c>
    </row>
    <row r="293">
      <c r="A293" s="59" t="str">
        <f>IFERROR(__xludf.DUMMYFUNCTION("""COMPUTED_VALUE"""),"WaterMyPhoto")</f>
        <v>WaterMyPhoto</v>
      </c>
      <c r="B293" s="60"/>
      <c r="C293" s="61" t="str">
        <f>IFERROR(__xludf.DUMMYFUNCTION("""COMPUTED_VALUE"""),"Yes")</f>
        <v>Yes</v>
      </c>
      <c r="D293" s="62" t="str">
        <f>IFERROR(__xludf.DUMMYFUNCTION("""COMPUTED_VALUE"""),"Can remove ads without problems")</f>
        <v>Can remove ads without problems</v>
      </c>
      <c r="E293" s="61" t="str">
        <f>IFERROR(__xludf.DUMMYFUNCTION("""COMPUTED_VALUE"""),"R")</f>
        <v>R</v>
      </c>
      <c r="F293" s="63">
        <f>IFERROR(__xludf.DUMMYFUNCTION("""COMPUTED_VALUE"""),40929.0)</f>
        <v>40929</v>
      </c>
    </row>
    <row r="294">
      <c r="A294" s="59" t="str">
        <f>IFERROR(__xludf.DUMMYFUNCTION("""COMPUTED_VALUE"""),"Wheel of Fortune HD")</f>
        <v>Wheel of Fortune HD</v>
      </c>
      <c r="B294" s="60"/>
      <c r="C294" s="61" t="str">
        <f>IFERROR(__xludf.DUMMYFUNCTION("""COMPUTED_VALUE"""),"Yes")</f>
        <v>Yes</v>
      </c>
      <c r="D294" s="62" t="str">
        <f>IFERROR(__xludf.DUMMYFUNCTION("""COMPUTED_VALUE"""),"Unlock all Avatar Packs and Puzzle Packs")</f>
        <v>Unlock all Avatar Packs and Puzzle Packs</v>
      </c>
      <c r="E294" s="61" t="str">
        <f>IFERROR(__xludf.DUMMYFUNCTION("""COMPUTED_VALUE"""),"Zer0Evil")</f>
        <v>Zer0Evil</v>
      </c>
      <c r="F294" s="63">
        <f>IFERROR(__xludf.DUMMYFUNCTION("""COMPUTED_VALUE"""),40929.0)</f>
        <v>40929</v>
      </c>
    </row>
    <row r="295">
      <c r="A295" s="59" t="str">
        <f>IFERROR(__xludf.DUMMYFUNCTION("""COMPUTED_VALUE"""),"101-in-1 Games !")</f>
        <v>101-in-1 Games !</v>
      </c>
      <c r="B295" s="60"/>
      <c r="C295" s="61" t="str">
        <f>IFERROR(__xludf.DUMMYFUNCTION("""COMPUTED_VALUE"""),"Yes")</f>
        <v>Yes</v>
      </c>
      <c r="D295" s="62"/>
      <c r="E295" s="61" t="str">
        <f>IFERROR(__xludf.DUMMYFUNCTION("""COMPUTED_VALUE"""),"Kev63")</f>
        <v>Kev63</v>
      </c>
      <c r="F295" s="63">
        <f>IFERROR(__xludf.DUMMYFUNCTION("""COMPUTED_VALUE"""),40928.0)</f>
        <v>40928</v>
      </c>
    </row>
    <row r="296">
      <c r="A296" s="59" t="str">
        <f>IFERROR(__xludf.DUMMYFUNCTION("""COMPUTED_VALUE"""),"Alien Blue")</f>
        <v>Alien Blue</v>
      </c>
      <c r="B296" s="60"/>
      <c r="C296" s="61" t="str">
        <f>IFERROR(__xludf.DUMMYFUNCTION("""COMPUTED_VALUE"""),"Yes")</f>
        <v>Yes</v>
      </c>
      <c r="D296" s="62" t="str">
        <f>IFERROR(__xludf.DUMMYFUNCTION("""COMPUTED_VALUE"""),"Pro/Premium iAP works fine.")</f>
        <v>Pro/Premium iAP works fine.</v>
      </c>
      <c r="E296" s="61" t="str">
        <f>IFERROR(__xludf.DUMMYFUNCTION("""COMPUTED_VALUE"""),"Drieks, rctgamer3")</f>
        <v>Drieks, rctgamer3</v>
      </c>
      <c r="F296" s="63">
        <f>IFERROR(__xludf.DUMMYFUNCTION("""COMPUTED_VALUE"""),40928.0)</f>
        <v>40928</v>
      </c>
    </row>
    <row r="297">
      <c r="A297" s="59" t="str">
        <f>IFERROR(__xludf.DUMMYFUNCTION("""COMPUTED_VALUE"""),"Big Time Gangsta")</f>
        <v>Big Time Gangsta</v>
      </c>
      <c r="B297" s="60"/>
      <c r="C297" s="61" t="str">
        <f>IFERROR(__xludf.DUMMYFUNCTION("""COMPUTED_VALUE"""),"Yes")</f>
        <v>Yes</v>
      </c>
      <c r="D297" s="62" t="str">
        <f>IFERROR(__xludf.DUMMYFUNCTION("""COMPUTED_VALUE"""),"Buy Everything perfect!")</f>
        <v>Buy Everything perfect!</v>
      </c>
      <c r="E297" s="61" t="str">
        <f>IFERROR(__xludf.DUMMYFUNCTION("""COMPUTED_VALUE"""),"Karmazz")</f>
        <v>Karmazz</v>
      </c>
      <c r="F297" s="63">
        <f>IFERROR(__xludf.DUMMYFUNCTION("""COMPUTED_VALUE"""),40928.0)</f>
        <v>40928</v>
      </c>
    </row>
    <row r="298">
      <c r="A298" s="59" t="str">
        <f>IFERROR(__xludf.DUMMYFUNCTION("""COMPUTED_VALUE"""),"Flower Garden")</f>
        <v>Flower Garden</v>
      </c>
      <c r="B298" s="60"/>
      <c r="C298" s="61" t="str">
        <f>IFERROR(__xludf.DUMMYFUNCTION("""COMPUTED_VALUE"""),"Yes")</f>
        <v>Yes</v>
      </c>
      <c r="D298" s="62" t="str">
        <f>IFERROR(__xludf.DUMMYFUNCTION("""COMPUTED_VALUE"""),"You can purchase new pots, garden spaces and fertilizers.")</f>
        <v>You can purchase new pots, garden spaces and fertilizers.</v>
      </c>
      <c r="E298" s="61" t="str">
        <f>IFERROR(__xludf.DUMMYFUNCTION("""COMPUTED_VALUE"""),"Kev63")</f>
        <v>Kev63</v>
      </c>
      <c r="F298" s="63">
        <f>IFERROR(__xludf.DUMMYFUNCTION("""COMPUTED_VALUE"""),40928.0)</f>
        <v>40928</v>
      </c>
    </row>
    <row r="299">
      <c r="A299" s="59" t="str">
        <f>IFERROR(__xludf.DUMMYFUNCTION("""COMPUTED_VALUE"""),"Frisbee® Forever")</f>
        <v>Frisbee® Forever</v>
      </c>
      <c r="B299" s="60"/>
      <c r="C299" s="61" t="str">
        <f>IFERROR(__xludf.DUMMYFUNCTION("""COMPUTED_VALUE"""),"Yes")</f>
        <v>Yes</v>
      </c>
      <c r="D299" s="62" t="str">
        <f>IFERROR(__xludf.DUMMYFUNCTION("""COMPUTED_VALUE"""),"You can buy Star Coins...")</f>
        <v>You can buy Star Coins...</v>
      </c>
      <c r="E299" s="61" t="str">
        <f>IFERROR(__xludf.DUMMYFUNCTION("""COMPUTED_VALUE"""),"Kev63")</f>
        <v>Kev63</v>
      </c>
      <c r="F299" s="63">
        <f>IFERROR(__xludf.DUMMYFUNCTION("""COMPUTED_VALUE"""),40928.0)</f>
        <v>40928</v>
      </c>
    </row>
    <row r="300">
      <c r="A300" s="59" t="str">
        <f>IFERROR(__xludf.DUMMYFUNCTION("""COMPUTED_VALUE"""),"Jewel Fighter")</f>
        <v>Jewel Fighter</v>
      </c>
      <c r="B300" s="60"/>
      <c r="C300" s="61" t="str">
        <f>IFERROR(__xludf.DUMMYFUNCTION("""COMPUTED_VALUE"""),"Yes")</f>
        <v>Yes</v>
      </c>
      <c r="D300" s="62" t="str">
        <f>IFERROR(__xludf.DUMMYFUNCTION("""COMPUTED_VALUE"""),"Buy Coins")</f>
        <v>Buy Coins</v>
      </c>
      <c r="E300" s="61" t="str">
        <f>IFERROR(__xludf.DUMMYFUNCTION("""COMPUTED_VALUE"""),"James")</f>
        <v>James</v>
      </c>
      <c r="F300" s="63">
        <f>IFERROR(__xludf.DUMMYFUNCTION("""COMPUTED_VALUE"""),40928.0)</f>
        <v>40928</v>
      </c>
    </row>
    <row r="301">
      <c r="A301" s="59" t="str">
        <f>IFERROR(__xludf.DUMMYFUNCTION("""COMPUTED_VALUE"""),"Law &amp; Order: Legacies")</f>
        <v>Law &amp; Order: Legacies</v>
      </c>
      <c r="B301" s="60"/>
      <c r="C301" s="61" t="str">
        <f>IFERROR(__xludf.DUMMYFUNCTION("""COMPUTED_VALUE"""),"Yes")</f>
        <v>Yes</v>
      </c>
      <c r="D301" s="62" t="str">
        <f>IFERROR(__xludf.DUMMYFUNCTION("""COMPUTED_VALUE"""),"New chapters are downloadable.")</f>
        <v>New chapters are downloadable.</v>
      </c>
      <c r="E301" s="61" t="str">
        <f>IFERROR(__xludf.DUMMYFUNCTION("""COMPUTED_VALUE"""),"Kev63")</f>
        <v>Kev63</v>
      </c>
      <c r="F301" s="63">
        <f>IFERROR(__xludf.DUMMYFUNCTION("""COMPUTED_VALUE"""),40928.0)</f>
        <v>40928</v>
      </c>
    </row>
    <row r="302">
      <c r="A302" s="59" t="str">
        <f>IFERROR(__xludf.DUMMYFUNCTION("""COMPUTED_VALUE"""),"My Brute")</f>
        <v>My Brute</v>
      </c>
      <c r="B302" s="60"/>
      <c r="C302" s="61" t="str">
        <f>IFERROR(__xludf.DUMMYFUNCTION("""COMPUTED_VALUE"""),"Yes")</f>
        <v>Yes</v>
      </c>
      <c r="D302" s="62" t="str">
        <f>IFERROR(__xludf.DUMMYFUNCTION("""COMPUTED_VALUE"""),"Liek A Bawsz. It works!")</f>
        <v>Liek A Bawsz. It works!</v>
      </c>
      <c r="E302" s="61" t="str">
        <f>IFERROR(__xludf.DUMMYFUNCTION("""COMPUTED_VALUE"""),"Karmazz")</f>
        <v>Karmazz</v>
      </c>
      <c r="F302" s="63">
        <f>IFERROR(__xludf.DUMMYFUNCTION("""COMPUTED_VALUE"""),40928.0)</f>
        <v>40928</v>
      </c>
    </row>
    <row r="303">
      <c r="A303" s="59" t="str">
        <f>IFERROR(__xludf.DUMMYFUNCTION("""COMPUTED_VALUE"""),"Run Like Hell! (Series)")</f>
        <v>Run Like Hell! (Series)</v>
      </c>
      <c r="B303" s="60"/>
      <c r="C303" s="61" t="str">
        <f>IFERROR(__xludf.DUMMYFUNCTION("""COMPUTED_VALUE"""),"Yes")</f>
        <v>Yes</v>
      </c>
      <c r="D303" s="62" t="str">
        <f>IFERROR(__xludf.DUMMYFUNCTION("""COMPUTED_VALUE"""),"Everything can be purchased (ex: Story Mode, Adrenaline Doses, etc.).")</f>
        <v>Everything can be purchased (ex: Story Mode, Adrenaline Doses, etc.).</v>
      </c>
      <c r="E303" s="61" t="str">
        <f>IFERROR(__xludf.DUMMYFUNCTION("""COMPUTED_VALUE"""),"Kev63")</f>
        <v>Kev63</v>
      </c>
      <c r="F303" s="63">
        <f>IFERROR(__xludf.DUMMYFUNCTION("""COMPUTED_VALUE"""),40928.0)</f>
        <v>40928</v>
      </c>
    </row>
    <row r="304">
      <c r="A304" s="59" t="str">
        <f>IFERROR(__xludf.DUMMYFUNCTION("""COMPUTED_VALUE"""),"Time of Heroes")</f>
        <v>Time of Heroes</v>
      </c>
      <c r="B304" s="60"/>
      <c r="C304" s="61" t="str">
        <f>IFERROR(__xludf.DUMMYFUNCTION("""COMPUTED_VALUE"""),"Yes")</f>
        <v>Yes</v>
      </c>
      <c r="D304" s="62" t="str">
        <f>IFERROR(__xludf.DUMMYFUNCTION("""COMPUTED_VALUE"""),"You can buy everything in the shop.")</f>
        <v>You can buy everything in the shop.</v>
      </c>
      <c r="E304" s="61" t="str">
        <f>IFERROR(__xludf.DUMMYFUNCTION("""COMPUTED_VALUE"""),"Zaraf")</f>
        <v>Zaraf</v>
      </c>
      <c r="F304" s="63">
        <f>IFERROR(__xludf.DUMMYFUNCTION("""COMPUTED_VALUE"""),40928.0)</f>
        <v>40928</v>
      </c>
    </row>
    <row r="305">
      <c r="A305" s="59" t="str">
        <f>IFERROR(__xludf.DUMMYFUNCTION("""COMPUTED_VALUE"""),"Blackjack")</f>
        <v>Blackjack</v>
      </c>
      <c r="B305" s="60"/>
      <c r="C305" s="61" t="str">
        <f>IFERROR(__xludf.DUMMYFUNCTION("""COMPUTED_VALUE"""),"Yes")</f>
        <v>Yes</v>
      </c>
      <c r="D305" s="62" t="str">
        <f>IFERROR(__xludf.DUMMYFUNCTION("""COMPUTED_VALUE"""),"You can buy all of the chips! Works fine!")</f>
        <v>You can buy all of the chips! Works fine!</v>
      </c>
      <c r="E305" s="61" t="str">
        <f>IFERROR(__xludf.DUMMYFUNCTION("""COMPUTED_VALUE"""),"cars1806")</f>
        <v>cars1806</v>
      </c>
      <c r="F305" s="63">
        <f>IFERROR(__xludf.DUMMYFUNCTION("""COMPUTED_VALUE"""),40927.0)</f>
        <v>40927</v>
      </c>
    </row>
    <row r="306">
      <c r="A306" s="59" t="str">
        <f>IFERROR(__xludf.DUMMYFUNCTION("""COMPUTED_VALUE"""),"Niko")</f>
        <v>Niko</v>
      </c>
      <c r="B306" s="60"/>
      <c r="C306" s="61" t="str">
        <f>IFERROR(__xludf.DUMMYFUNCTION("""COMPUTED_VALUE"""),"Yes")</f>
        <v>Yes</v>
      </c>
      <c r="D306" s="62" t="str">
        <f>IFERROR(__xludf.DUMMYFUNCTION("""COMPUTED_VALUE"""),"Unlocks full game")</f>
        <v>Unlocks full game</v>
      </c>
      <c r="E306" s="61" t="str">
        <f>IFERROR(__xludf.DUMMYFUNCTION("""COMPUTED_VALUE"""),"James")</f>
        <v>James</v>
      </c>
      <c r="F306" s="63">
        <f>IFERROR(__xludf.DUMMYFUNCTION("""COMPUTED_VALUE"""),40927.0)</f>
        <v>40927</v>
      </c>
    </row>
    <row r="307">
      <c r="A307" s="59" t="str">
        <f>IFERROR(__xludf.DUMMYFUNCTION("""COMPUTED_VALUE"""),"Robo Hero")</f>
        <v>Robo Hero</v>
      </c>
      <c r="B307" s="60"/>
      <c r="C307" s="61" t="str">
        <f>IFERROR(__xludf.DUMMYFUNCTION("""COMPUTED_VALUE"""),"Yes")</f>
        <v>Yes</v>
      </c>
      <c r="D307" s="62" t="str">
        <f>IFERROR(__xludf.DUMMYFUNCTION("""COMPUTED_VALUE"""),"Unlocks full game")</f>
        <v>Unlocks full game</v>
      </c>
      <c r="E307" s="61" t="str">
        <f>IFERROR(__xludf.DUMMYFUNCTION("""COMPUTED_VALUE"""),"James")</f>
        <v>James</v>
      </c>
      <c r="F307" s="63">
        <f>IFERROR(__xludf.DUMMYFUNCTION("""COMPUTED_VALUE"""),40927.0)</f>
        <v>40927</v>
      </c>
    </row>
    <row r="308">
      <c r="A308" s="59" t="str">
        <f>IFERROR(__xludf.DUMMYFUNCTION("""COMPUTED_VALUE"""),"Sky Gamblers: Rise Of Glory")</f>
        <v>Sky Gamblers: Rise Of Glory</v>
      </c>
      <c r="B308" s="60"/>
      <c r="C308" s="61" t="str">
        <f>IFERROR(__xludf.DUMMYFUNCTION("""COMPUTED_VALUE"""),"Yes")</f>
        <v>Yes</v>
      </c>
      <c r="D308" s="62" t="str">
        <f>IFERROR(__xludf.DUMMYFUNCTION("""COMPUTED_VALUE"""),"Simple, just tap, and you get")</f>
        <v>Simple, just tap, and you get</v>
      </c>
      <c r="E308" s="61" t="str">
        <f>IFERROR(__xludf.DUMMYFUNCTION("""COMPUTED_VALUE"""),"EdgarDrake")</f>
        <v>EdgarDrake</v>
      </c>
      <c r="F308" s="63">
        <f>IFERROR(__xludf.DUMMYFUNCTION("""COMPUTED_VALUE"""),40927.0)</f>
        <v>40927</v>
      </c>
    </row>
    <row r="309">
      <c r="A309" s="59" t="str">
        <f>IFERROR(__xludf.DUMMYFUNCTION("""COMPUTED_VALUE"""),"3D Fish Puzzle 2 HD")</f>
        <v>3D Fish Puzzle 2 HD</v>
      </c>
      <c r="B309" s="60"/>
      <c r="C309" s="61" t="str">
        <f>IFERROR(__xludf.DUMMYFUNCTION("""COMPUTED_VALUE"""),"Yes")</f>
        <v>Yes</v>
      </c>
      <c r="D309" s="62" t="str">
        <f>IFERROR(__xludf.DUMMYFUNCTION("""COMPUTED_VALUE"""),"Unlock all the rest of the Fish Pack")</f>
        <v>Unlock all the rest of the Fish Pack</v>
      </c>
      <c r="E309" s="61" t="str">
        <f>IFERROR(__xludf.DUMMYFUNCTION("""COMPUTED_VALUE"""),"Vista2k7")</f>
        <v>Vista2k7</v>
      </c>
      <c r="F309" s="63">
        <f>IFERROR(__xludf.DUMMYFUNCTION("""COMPUTED_VALUE"""),40926.0)</f>
        <v>40926</v>
      </c>
    </row>
    <row r="310">
      <c r="A310" s="59" t="str">
        <f>IFERROR(__xludf.DUMMYFUNCTION("""COMPUTED_VALUE"""),"Animated Puzzle")</f>
        <v>Animated Puzzle</v>
      </c>
      <c r="B310" s="60"/>
      <c r="C310" s="61" t="str">
        <f>IFERROR(__xludf.DUMMYFUNCTION("""COMPUTED_VALUE"""),"Yes")</f>
        <v>Yes</v>
      </c>
      <c r="D310" s="62" t="str">
        <f>IFERROR(__xludf.DUMMYFUNCTION("""COMPUTED_VALUE"""),"Unlock All additional animal")</f>
        <v>Unlock All additional animal</v>
      </c>
      <c r="E310" s="61" t="str">
        <f>IFERROR(__xludf.DUMMYFUNCTION("""COMPUTED_VALUE"""),"Vista2k7")</f>
        <v>Vista2k7</v>
      </c>
      <c r="F310" s="63">
        <f>IFERROR(__xludf.DUMMYFUNCTION("""COMPUTED_VALUE"""),40926.0)</f>
        <v>40926</v>
      </c>
    </row>
    <row r="311">
      <c r="A311" s="59" t="str">
        <f>IFERROR(__xludf.DUMMYFUNCTION("""COMPUTED_VALUE"""),"ArcMagic Lite")</f>
        <v>ArcMagic Lite</v>
      </c>
      <c r="B311" s="60"/>
      <c r="C311" s="61" t="str">
        <f>IFERROR(__xludf.DUMMYFUNCTION("""COMPUTED_VALUE"""),"Yes")</f>
        <v>Yes</v>
      </c>
      <c r="D311" s="62" t="str">
        <f>IFERROR(__xludf.DUMMYFUNCTION("""COMPUTED_VALUE"""),"Upgrade to full")</f>
        <v>Upgrade to full</v>
      </c>
      <c r="E311" s="61" t="str">
        <f>IFERROR(__xludf.DUMMYFUNCTION("""COMPUTED_VALUE"""),"Vista2k7")</f>
        <v>Vista2k7</v>
      </c>
      <c r="F311" s="63">
        <f>IFERROR(__xludf.DUMMYFUNCTION("""COMPUTED_VALUE"""),40926.0)</f>
        <v>40926</v>
      </c>
    </row>
    <row r="312">
      <c r="A312" s="59" t="str">
        <f>IFERROR(__xludf.DUMMYFUNCTION("""COMPUTED_VALUE"""),"Bouncy Penguin HD")</f>
        <v>Bouncy Penguin HD</v>
      </c>
      <c r="B312" s="60"/>
      <c r="C312" s="61" t="str">
        <f>IFERROR(__xludf.DUMMYFUNCTION("""COMPUTED_VALUE"""),"Yes")</f>
        <v>Yes</v>
      </c>
      <c r="D312" s="62" t="str">
        <f>IFERROR(__xludf.DUMMYFUNCTION("""COMPUTED_VALUE"""),"All in app purchases work ")</f>
        <v>All in app purchases work </v>
      </c>
      <c r="E312" s="61" t="str">
        <f>IFERROR(__xludf.DUMMYFUNCTION("""COMPUTED_VALUE"""),"Vista2k7")</f>
        <v>Vista2k7</v>
      </c>
      <c r="F312" s="63">
        <f>IFERROR(__xludf.DUMMYFUNCTION("""COMPUTED_VALUE"""),40926.0)</f>
        <v>40926</v>
      </c>
    </row>
    <row r="313">
      <c r="A313" s="59" t="str">
        <f>IFERROR(__xludf.DUMMYFUNCTION("""COMPUTED_VALUE"""),"Dino Puzzle HD")</f>
        <v>Dino Puzzle HD</v>
      </c>
      <c r="B313" s="60"/>
      <c r="C313" s="61" t="str">
        <f>IFERROR(__xludf.DUMMYFUNCTION("""COMPUTED_VALUE"""),"Yes")</f>
        <v>Yes</v>
      </c>
      <c r="D313" s="62" t="str">
        <f>IFERROR(__xludf.DUMMYFUNCTION("""COMPUTED_VALUE"""),"Unlock all 15 Dinosauer Pack")</f>
        <v>Unlock all 15 Dinosauer Pack</v>
      </c>
      <c r="E313" s="61" t="str">
        <f>IFERROR(__xludf.DUMMYFUNCTION("""COMPUTED_VALUE"""),"Vista2k7")</f>
        <v>Vista2k7</v>
      </c>
      <c r="F313" s="63">
        <f>IFERROR(__xludf.DUMMYFUNCTION("""COMPUTED_VALUE"""),40926.0)</f>
        <v>40926</v>
      </c>
    </row>
    <row r="314">
      <c r="A314" s="59" t="str">
        <f>IFERROR(__xludf.DUMMYFUNCTION("""COMPUTED_VALUE"""),"Dino Puzzles 2 HD")</f>
        <v>Dino Puzzles 2 HD</v>
      </c>
      <c r="B314" s="60"/>
      <c r="C314" s="61" t="str">
        <f>IFERROR(__xludf.DUMMYFUNCTION("""COMPUTED_VALUE"""),"Yes")</f>
        <v>Yes</v>
      </c>
      <c r="D314" s="62" t="str">
        <f>IFERROR(__xludf.DUMMYFUNCTION("""COMPUTED_VALUE"""),"Unlock all the rest of the Dinosuer Pack")</f>
        <v>Unlock all the rest of the Dinosuer Pack</v>
      </c>
      <c r="E314" s="61" t="str">
        <f>IFERROR(__xludf.DUMMYFUNCTION("""COMPUTED_VALUE"""),"Vista2k7")</f>
        <v>Vista2k7</v>
      </c>
      <c r="F314" s="63">
        <f>IFERROR(__xludf.DUMMYFUNCTION("""COMPUTED_VALUE"""),40926.0)</f>
        <v>40926</v>
      </c>
    </row>
    <row r="315">
      <c r="A315" s="59" t="str">
        <f>IFERROR(__xludf.DUMMYFUNCTION("""COMPUTED_VALUE"""),"Early Bird")</f>
        <v>Early Bird</v>
      </c>
      <c r="B315" s="60"/>
      <c r="C315" s="61" t="str">
        <f>IFERROR(__xludf.DUMMYFUNCTION("""COMPUTED_VALUE"""),"Yes")</f>
        <v>Yes</v>
      </c>
      <c r="D315" s="62" t="str">
        <f>IFERROR(__xludf.DUMMYFUNCTION("""COMPUTED_VALUE"""),"Works. Unlocks Phoenix")</f>
        <v>Works. Unlocks Phoenix</v>
      </c>
      <c r="E315" s="61" t="str">
        <f>IFERROR(__xludf.DUMMYFUNCTION("""COMPUTED_VALUE"""),"Antheleon")</f>
        <v>Antheleon</v>
      </c>
      <c r="F315" s="63">
        <f>IFERROR(__xludf.DUMMYFUNCTION("""COMPUTED_VALUE"""),40926.0)</f>
        <v>40926</v>
      </c>
    </row>
    <row r="316">
      <c r="A316" s="59" t="str">
        <f>IFERROR(__xludf.DUMMYFUNCTION("""COMPUTED_VALUE"""),"Fish Puzzle HD")</f>
        <v>Fish Puzzle HD</v>
      </c>
      <c r="B316" s="60"/>
      <c r="C316" s="61" t="str">
        <f>IFERROR(__xludf.DUMMYFUNCTION("""COMPUTED_VALUE"""),"Yes")</f>
        <v>Yes</v>
      </c>
      <c r="D316" s="62" t="str">
        <f>IFERROR(__xludf.DUMMYFUNCTION("""COMPUTED_VALUE"""),"unlock All the rest 25 fishes")</f>
        <v>unlock All the rest 25 fishes</v>
      </c>
      <c r="E316" s="61" t="str">
        <f>IFERROR(__xludf.DUMMYFUNCTION("""COMPUTED_VALUE"""),"Vista2k7")</f>
        <v>Vista2k7</v>
      </c>
      <c r="F316" s="63">
        <f>IFERROR(__xludf.DUMMYFUNCTION("""COMPUTED_VALUE"""),40926.0)</f>
        <v>40926</v>
      </c>
    </row>
    <row r="317">
      <c r="A317" s="59" t="str">
        <f>IFERROR(__xludf.DUMMYFUNCTION("""COMPUTED_VALUE"""),"Gardenscapes HD")</f>
        <v>Gardenscapes HD</v>
      </c>
      <c r="B317" s="60"/>
      <c r="C317" s="61" t="str">
        <f>IFERROR(__xludf.DUMMYFUNCTION("""COMPUTED_VALUE"""),"Yes")</f>
        <v>Yes</v>
      </c>
      <c r="D317" s="62" t="str">
        <f>IFERROR(__xludf.DUMMYFUNCTION("""COMPUTED_VALUE"""),"Unlock to Full version")</f>
        <v>Unlock to Full version</v>
      </c>
      <c r="E317" s="61" t="str">
        <f>IFERROR(__xludf.DUMMYFUNCTION("""COMPUTED_VALUE"""),"Vista2k7")</f>
        <v>Vista2k7</v>
      </c>
      <c r="F317" s="63">
        <f>IFERROR(__xludf.DUMMYFUNCTION("""COMPUTED_VALUE"""),40926.0)</f>
        <v>40926</v>
      </c>
    </row>
    <row r="318">
      <c r="A318" s="59" t="str">
        <f>IFERROR(__xludf.DUMMYFUNCTION("""COMPUTED_VALUE"""),"GD Swarm")</f>
        <v>GD Swarm</v>
      </c>
      <c r="B318" s="60"/>
      <c r="C318" s="61" t="str">
        <f>IFERROR(__xludf.DUMMYFUNCTION("""COMPUTED_VALUE"""),"Yes")</f>
        <v>Yes</v>
      </c>
      <c r="D318" s="62" t="str">
        <f>IFERROR(__xludf.DUMMYFUNCTION("""COMPUTED_VALUE"""),"Can purchase Horizon LP")</f>
        <v>Can purchase Horizon LP</v>
      </c>
      <c r="E318" s="61" t="str">
        <f>IFERROR(__xludf.DUMMYFUNCTION("""COMPUTED_VALUE"""),"00Shack")</f>
        <v>00Shack</v>
      </c>
      <c r="F318" s="63">
        <f>IFERROR(__xludf.DUMMYFUNCTION("""COMPUTED_VALUE"""),40926.0)</f>
        <v>40926</v>
      </c>
    </row>
    <row r="319">
      <c r="A319" s="59" t="str">
        <f>IFERROR(__xludf.DUMMYFUNCTION("""COMPUTED_VALUE"""),"Insect Puzzle HD")</f>
        <v>Insect Puzzle HD</v>
      </c>
      <c r="B319" s="60"/>
      <c r="C319" s="61" t="str">
        <f>IFERROR(__xludf.DUMMYFUNCTION("""COMPUTED_VALUE"""),"Yes")</f>
        <v>Yes</v>
      </c>
      <c r="D319" s="62" t="str">
        <f>IFERROR(__xludf.DUMMYFUNCTION("""COMPUTED_VALUE"""),"unlock all the rest 25 insects pack")</f>
        <v>unlock all the rest 25 insects pack</v>
      </c>
      <c r="E319" s="61" t="str">
        <f>IFERROR(__xludf.DUMMYFUNCTION("""COMPUTED_VALUE"""),"Vista2k7")</f>
        <v>Vista2k7</v>
      </c>
      <c r="F319" s="63">
        <f>IFERROR(__xludf.DUMMYFUNCTION("""COMPUTED_VALUE"""),40926.0)</f>
        <v>40926</v>
      </c>
    </row>
    <row r="320">
      <c r="A320" s="59" t="str">
        <f>IFERROR(__xludf.DUMMYFUNCTION("""COMPUTED_VALUE"""),"My first find the differences game: Pirates")</f>
        <v>My first find the differences game: Pirates</v>
      </c>
      <c r="B320" s="60"/>
      <c r="C320" s="61" t="str">
        <f>IFERROR(__xludf.DUMMYFUNCTION("""COMPUTED_VALUE"""),"Yes")</f>
        <v>Yes</v>
      </c>
      <c r="D320" s="62" t="str">
        <f>IFERROR(__xludf.DUMMYFUNCTION("""COMPUTED_VALUE"""),"Unlock Pack")</f>
        <v>Unlock Pack</v>
      </c>
      <c r="E320" s="61" t="str">
        <f>IFERROR(__xludf.DUMMYFUNCTION("""COMPUTED_VALUE"""),"Vista2k7")</f>
        <v>Vista2k7</v>
      </c>
      <c r="F320" s="63">
        <f>IFERROR(__xludf.DUMMYFUNCTION("""COMPUTED_VALUE"""),40926.0)</f>
        <v>40926</v>
      </c>
    </row>
    <row r="321">
      <c r="A321" s="59" t="str">
        <f>IFERROR(__xludf.DUMMYFUNCTION("""COMPUTED_VALUE"""),"My first games: find the differences HD")</f>
        <v>My first games: find the differences HD</v>
      </c>
      <c r="B321" s="60"/>
      <c r="C321" s="61" t="str">
        <f>IFERROR(__xludf.DUMMYFUNCTION("""COMPUTED_VALUE"""),"Yes")</f>
        <v>Yes</v>
      </c>
      <c r="D321" s="62" t="str">
        <f>IFERROR(__xludf.DUMMYFUNCTION("""COMPUTED_VALUE"""),"Unlock Pack")</f>
        <v>Unlock Pack</v>
      </c>
      <c r="E321" s="61" t="str">
        <f>IFERROR(__xludf.DUMMYFUNCTION("""COMPUTED_VALUE"""),"Vista2k7")</f>
        <v>Vista2k7</v>
      </c>
      <c r="F321" s="63">
        <f>IFERROR(__xludf.DUMMYFUNCTION("""COMPUTED_VALUE"""),40926.0)</f>
        <v>40926</v>
      </c>
    </row>
    <row r="322">
      <c r="A322" s="59" t="str">
        <f>IFERROR(__xludf.DUMMYFUNCTION("""COMPUTED_VALUE"""),"My first puzzles (Circus HD, Dinosaurs, Snakes)")</f>
        <v>My first puzzles (Circus HD, Dinosaurs, Snakes)</v>
      </c>
      <c r="B322" s="60"/>
      <c r="C322" s="61" t="str">
        <f>IFERROR(__xludf.DUMMYFUNCTION("""COMPUTED_VALUE"""),"Yes")</f>
        <v>Yes</v>
      </c>
      <c r="D322" s="62" t="str">
        <f>IFERROR(__xludf.DUMMYFUNCTION("""COMPUTED_VALUE"""),"Unlock Pack of 11 addtional")</f>
        <v>Unlock Pack of 11 addtional</v>
      </c>
      <c r="E322" s="61" t="str">
        <f>IFERROR(__xludf.DUMMYFUNCTION("""COMPUTED_VALUE"""),"Vista2k7")</f>
        <v>Vista2k7</v>
      </c>
      <c r="F322" s="63">
        <f>IFERROR(__xludf.DUMMYFUNCTION("""COMPUTED_VALUE"""),40926.0)</f>
        <v>40926</v>
      </c>
    </row>
    <row r="323">
      <c r="A323" s="59" t="str">
        <f>IFERROR(__xludf.DUMMYFUNCTION("""COMPUTED_VALUE"""),"Notes Plus")</f>
        <v>Notes Plus</v>
      </c>
      <c r="B323" s="60"/>
      <c r="C323" s="61" t="str">
        <f>IFERROR(__xludf.DUMMYFUNCTION("""COMPUTED_VALUE"""),"Yes")</f>
        <v>Yes</v>
      </c>
      <c r="D323" s="62" t="str">
        <f>IFERROR(__xludf.DUMMYFUNCTION("""COMPUTED_VALUE"""),"""Convert to text"" - Hand recognition")</f>
        <v>"Convert to text" - Hand recognition</v>
      </c>
      <c r="E323" s="61" t="str">
        <f>IFERROR(__xludf.DUMMYFUNCTION("""COMPUTED_VALUE"""),"-")</f>
        <v>-</v>
      </c>
      <c r="F323" s="63">
        <f>IFERROR(__xludf.DUMMYFUNCTION("""COMPUTED_VALUE"""),40926.0)</f>
        <v>40926</v>
      </c>
    </row>
    <row r="324">
      <c r="A324" s="59" t="str">
        <f>IFERROR(__xludf.DUMMYFUNCTION("""COMPUTED_VALUE"""),"Palavraz")</f>
        <v>Palavraz</v>
      </c>
      <c r="B324" s="60"/>
      <c r="C324" s="61" t="str">
        <f>IFERROR(__xludf.DUMMYFUNCTION("""COMPUTED_VALUE"""),"Yes")</f>
        <v>Yes</v>
      </c>
      <c r="D324" s="62" t="str">
        <f>IFERROR(__xludf.DUMMYFUNCTION("""COMPUTED_VALUE"""),"Allows you to become a pro member and have more privileges")</f>
        <v>Allows you to become a pro member and have more privileges</v>
      </c>
      <c r="E324" s="61" t="str">
        <f>IFERROR(__xludf.DUMMYFUNCTION("""COMPUTED_VALUE"""),"Manuzes")</f>
        <v>Manuzes</v>
      </c>
      <c r="F324" s="63">
        <f>IFERROR(__xludf.DUMMYFUNCTION("""COMPUTED_VALUE"""),40926.0)</f>
        <v>40926</v>
      </c>
    </row>
    <row r="325">
      <c r="A325" s="59" t="str">
        <f>IFERROR(__xludf.DUMMYFUNCTION("""COMPUTED_VALUE"""),"PolyMagic Lite")</f>
        <v>PolyMagic Lite</v>
      </c>
      <c r="B325" s="60"/>
      <c r="C325" s="61" t="str">
        <f>IFERROR(__xludf.DUMMYFUNCTION("""COMPUTED_VALUE"""),"Yes")</f>
        <v>Yes</v>
      </c>
      <c r="D325" s="62" t="str">
        <f>IFERROR(__xludf.DUMMYFUNCTION("""COMPUTED_VALUE"""),"Upgrade to full")</f>
        <v>Upgrade to full</v>
      </c>
      <c r="E325" s="61" t="str">
        <f>IFERROR(__xludf.DUMMYFUNCTION("""COMPUTED_VALUE"""),"Vista2k7")</f>
        <v>Vista2k7</v>
      </c>
      <c r="F325" s="63">
        <f>IFERROR(__xludf.DUMMYFUNCTION("""COMPUTED_VALUE"""),40926.0)</f>
        <v>40926</v>
      </c>
    </row>
    <row r="326">
      <c r="A326" s="59" t="str">
        <f>IFERROR(__xludf.DUMMYFUNCTION("""COMPUTED_VALUE"""),"RuneMaster")</f>
        <v>RuneMaster</v>
      </c>
      <c r="B326" s="60"/>
      <c r="C326" s="61" t="str">
        <f>IFERROR(__xludf.DUMMYFUNCTION("""COMPUTED_VALUE"""),"Yes")</f>
        <v>Yes</v>
      </c>
      <c r="D326" s="62" t="str">
        <f>IFERROR(__xludf.DUMMYFUNCTION("""COMPUTED_VALUE"""),"Buy all Gold")</f>
        <v>Buy all Gold</v>
      </c>
      <c r="E326" s="61" t="str">
        <f>IFERROR(__xludf.DUMMYFUNCTION("""COMPUTED_VALUE"""),"IceMeh")</f>
        <v>IceMeh</v>
      </c>
      <c r="F326" s="63">
        <f>IFERROR(__xludf.DUMMYFUNCTION("""COMPUTED_VALUE"""),40926.0)</f>
        <v>40926</v>
      </c>
    </row>
    <row r="327">
      <c r="A327" s="59" t="str">
        <f>IFERROR(__xludf.DUMMYFUNCTION("""COMPUTED_VALUE"""),"Sango Millionaire")</f>
        <v>Sango Millionaire</v>
      </c>
      <c r="B327" s="60"/>
      <c r="C327" s="61" t="str">
        <f>IFERROR(__xludf.DUMMYFUNCTION("""COMPUTED_VALUE"""),"Yes")</f>
        <v>Yes</v>
      </c>
      <c r="D327" s="62" t="str">
        <f>IFERROR(__xludf.DUMMYFUNCTION("""COMPUTED_VALUE"""),"Works for everything, can buy ""Yuan Bao""")</f>
        <v>Works for everything, can buy "Yuan Bao"</v>
      </c>
      <c r="E327" s="61" t="str">
        <f>IFERROR(__xludf.DUMMYFUNCTION("""COMPUTED_VALUE"""),"IceMeh")</f>
        <v>IceMeh</v>
      </c>
      <c r="F327" s="63">
        <f>IFERROR(__xludf.DUMMYFUNCTION("""COMPUTED_VALUE"""),40926.0)</f>
        <v>40926</v>
      </c>
    </row>
    <row r="328">
      <c r="A328" s="59" t="str">
        <f>IFERROR(__xludf.DUMMYFUNCTION("""COMPUTED_VALUE"""),"Sea Life HD")</f>
        <v>Sea Life HD</v>
      </c>
      <c r="B328" s="60"/>
      <c r="C328" s="61" t="str">
        <f>IFERROR(__xludf.DUMMYFUNCTION("""COMPUTED_VALUE"""),"Yes")</f>
        <v>Yes</v>
      </c>
      <c r="D328" s="62" t="str">
        <f>IFERROR(__xludf.DUMMYFUNCTION("""COMPUTED_VALUE"""),"unlock all ")</f>
        <v>unlock all </v>
      </c>
      <c r="E328" s="61" t="str">
        <f>IFERROR(__xludf.DUMMYFUNCTION("""COMPUTED_VALUE"""),"Vista2k7")</f>
        <v>Vista2k7</v>
      </c>
      <c r="F328" s="63">
        <f>IFERROR(__xludf.DUMMYFUNCTION("""COMPUTED_VALUE"""),40926.0)</f>
        <v>40926</v>
      </c>
    </row>
    <row r="329">
      <c r="A329" s="59" t="str">
        <f>IFERROR(__xludf.DUMMYFUNCTION("""COMPUTED_VALUE"""),"Sudoku ✯")</f>
        <v>Sudoku ✯</v>
      </c>
      <c r="B329" s="60"/>
      <c r="C329" s="61" t="str">
        <f>IFERROR(__xludf.DUMMYFUNCTION("""COMPUTED_VALUE"""),"Yes")</f>
        <v>Yes</v>
      </c>
      <c r="D329" s="62" t="str">
        <f>IFERROR(__xludf.DUMMYFUNCTION("""COMPUTED_VALUE"""),"Purchase all pack")</f>
        <v>Purchase all pack</v>
      </c>
      <c r="E329" s="61" t="str">
        <f>IFERROR(__xludf.DUMMYFUNCTION("""COMPUTED_VALUE"""),"Vista2k7")</f>
        <v>Vista2k7</v>
      </c>
      <c r="F329" s="63">
        <f>IFERROR(__xludf.DUMMYFUNCTION("""COMPUTED_VALUE"""),40926.0)</f>
        <v>40926</v>
      </c>
    </row>
    <row r="330">
      <c r="A330" s="59" t="str">
        <f>IFERROR(__xludf.DUMMYFUNCTION("""COMPUTED_VALUE"""),"Sudoku HD ✯")</f>
        <v>Sudoku HD ✯</v>
      </c>
      <c r="B330" s="60"/>
      <c r="C330" s="61" t="str">
        <f>IFERROR(__xludf.DUMMYFUNCTION("""COMPUTED_VALUE"""),"Yes")</f>
        <v>Yes</v>
      </c>
      <c r="D330" s="62" t="str">
        <f>IFERROR(__xludf.DUMMYFUNCTION("""COMPUTED_VALUE"""),"Purchase all pack")</f>
        <v>Purchase all pack</v>
      </c>
      <c r="E330" s="61" t="str">
        <f>IFERROR(__xludf.DUMMYFUNCTION("""COMPUTED_VALUE"""),"Vista2k7")</f>
        <v>Vista2k7</v>
      </c>
      <c r="F330" s="63">
        <f>IFERROR(__xludf.DUMMYFUNCTION("""COMPUTED_VALUE"""),40926.0)</f>
        <v>40926</v>
      </c>
    </row>
    <row r="331">
      <c r="A331" s="59" t="str">
        <f>IFERROR(__xludf.DUMMYFUNCTION("""COMPUTED_VALUE"""),"VoiceJam")</f>
        <v>VoiceJam</v>
      </c>
      <c r="B331" s="60"/>
      <c r="C331" s="61" t="str">
        <f>IFERROR(__xludf.DUMMYFUNCTION("""COMPUTED_VALUE"""),"Yes")</f>
        <v>Yes</v>
      </c>
      <c r="D331" s="62" t="str">
        <f>IFERROR(__xludf.DUMMYFUNCTION("""COMPUTED_VALUE"""),"Allows you to unlock two voice filters")</f>
        <v>Allows you to unlock two voice filters</v>
      </c>
      <c r="E331" s="61" t="str">
        <f>IFERROR(__xludf.DUMMYFUNCTION("""COMPUTED_VALUE"""),"Rami")</f>
        <v>Rami</v>
      </c>
      <c r="F331" s="63">
        <f>IFERROR(__xludf.DUMMYFUNCTION("""COMPUTED_VALUE"""),40926.0)</f>
        <v>40926</v>
      </c>
    </row>
    <row r="332">
      <c r="A332" s="59" t="str">
        <f>IFERROR(__xludf.DUMMYFUNCTION("""COMPUTED_VALUE"""),"Audiogalaxy")</f>
        <v>Audiogalaxy</v>
      </c>
      <c r="B332" s="60"/>
      <c r="C332" s="61" t="str">
        <f>IFERROR(__xludf.DUMMYFUNCTION("""COMPUTED_VALUE"""),"Yes")</f>
        <v>Yes</v>
      </c>
      <c r="D332" s="62" t="str">
        <f>IFERROR(__xludf.DUMMYFUNCTION("""COMPUTED_VALUE"""),"Can purchase offline playback")</f>
        <v>Can purchase offline playback</v>
      </c>
      <c r="E332" s="61" t="str">
        <f>IFERROR(__xludf.DUMMYFUNCTION("""COMPUTED_VALUE"""),"Moeses")</f>
        <v>Moeses</v>
      </c>
      <c r="F332" s="63">
        <f>IFERROR(__xludf.DUMMYFUNCTION("""COMPUTED_VALUE"""),40925.0)</f>
        <v>40925</v>
      </c>
    </row>
    <row r="333">
      <c r="A333" s="59" t="str">
        <f>IFERROR(__xludf.DUMMYFUNCTION("""COMPUTED_VALUE"""),"Bria (iPhone Edition)")</f>
        <v>Bria (iPhone Edition)</v>
      </c>
      <c r="B333" s="60"/>
      <c r="C333" s="61" t="str">
        <f>IFERROR(__xludf.DUMMYFUNCTION("""COMPUTED_VALUE"""),"Yes")</f>
        <v>Yes</v>
      </c>
      <c r="D333" s="62" t="str">
        <f>IFERROR(__xludf.DUMMYFUNCTION("""COMPUTED_VALUE"""),"All Premium Features (Codec, Messenger)")</f>
        <v>All Premium Features (Codec, Messenger)</v>
      </c>
      <c r="E333" s="61" t="str">
        <f>IFERROR(__xludf.DUMMYFUNCTION("""COMPUTED_VALUE"""),"D3LTA")</f>
        <v>D3LTA</v>
      </c>
      <c r="F333" s="63">
        <f>IFERROR(__xludf.DUMMYFUNCTION("""COMPUTED_VALUE"""),40925.0)</f>
        <v>40925</v>
      </c>
    </row>
    <row r="334">
      <c r="A334" s="59" t="str">
        <f>IFERROR(__xludf.DUMMYFUNCTION("""COMPUTED_VALUE"""),"Camera+")</f>
        <v>Camera+</v>
      </c>
      <c r="B334" s="60"/>
      <c r="C334" s="61" t="str">
        <f>IFERROR(__xludf.DUMMYFUNCTION("""COMPUTED_VALUE"""),"Yes")</f>
        <v>Yes</v>
      </c>
      <c r="D334" s="62" t="str">
        <f>IFERROR(__xludf.DUMMYFUNCTION("""COMPUTED_VALUE"""),"Works for all extra filter")</f>
        <v>Works for all extra filter</v>
      </c>
      <c r="E334" s="61" t="str">
        <f>IFERROR(__xludf.DUMMYFUNCTION("""COMPUTED_VALUE"""),"Hawkeye")</f>
        <v>Hawkeye</v>
      </c>
      <c r="F334" s="63">
        <f>IFERROR(__xludf.DUMMYFUNCTION("""COMPUTED_VALUE"""),40925.0)</f>
        <v>40925</v>
      </c>
    </row>
    <row r="335">
      <c r="A335" s="59" t="str">
        <f>IFERROR(__xludf.DUMMYFUNCTION("""COMPUTED_VALUE"""),"Netcamviewer")</f>
        <v>Netcamviewer</v>
      </c>
      <c r="B335" s="60"/>
      <c r="C335" s="61" t="str">
        <f>IFERROR(__xludf.DUMMYFUNCTION("""COMPUTED_VALUE"""),"Yes")</f>
        <v>Yes</v>
      </c>
      <c r="D335" s="62" t="str">
        <f>IFERROR(__xludf.DUMMYFUNCTION("""COMPUTED_VALUE"""),"Upgrade to more than 2 cameras works")</f>
        <v>Upgrade to more than 2 cameras works</v>
      </c>
      <c r="E335" s="61" t="str">
        <f>IFERROR(__xludf.DUMMYFUNCTION("""COMPUTED_VALUE"""),"Hawkeye")</f>
        <v>Hawkeye</v>
      </c>
      <c r="F335" s="63">
        <f>IFERROR(__xludf.DUMMYFUNCTION("""COMPUTED_VALUE"""),40925.0)</f>
        <v>40925</v>
      </c>
    </row>
    <row r="336">
      <c r="A336" s="59" t="str">
        <f>IFERROR(__xludf.DUMMYFUNCTION("""COMPUTED_VALUE"""),"Phoenix HD")</f>
        <v>Phoenix HD</v>
      </c>
      <c r="B336" s="60"/>
      <c r="C336" s="61" t="str">
        <f>IFERROR(__xludf.DUMMYFUNCTION("""COMPUTED_VALUE"""),"Yes")</f>
        <v>Yes</v>
      </c>
      <c r="D336" s="62" t="str">
        <f>IFERROR(__xludf.DUMMYFUNCTION("""COMPUTED_VALUE"""),"Just works.")</f>
        <v>Just works.</v>
      </c>
      <c r="E336" s="61"/>
      <c r="F336" s="63">
        <f>IFERROR(__xludf.DUMMYFUNCTION("""COMPUTED_VALUE"""),40925.0)</f>
        <v>40925</v>
      </c>
    </row>
    <row r="337">
      <c r="A337" s="59" t="str">
        <f>IFERROR(__xludf.DUMMYFUNCTION("""COMPUTED_VALUE"""),"PhotoForge2")</f>
        <v>PhotoForge2</v>
      </c>
      <c r="B337" s="60"/>
      <c r="C337" s="61" t="str">
        <f>IFERROR(__xludf.DUMMYFUNCTION("""COMPUTED_VALUE"""),"Yes")</f>
        <v>Yes</v>
      </c>
      <c r="D337" s="62" t="str">
        <f>IFERROR(__xludf.DUMMYFUNCTION("""COMPUTED_VALUE"""),"Unlocks Pop! Cam")</f>
        <v>Unlocks Pop! Cam</v>
      </c>
      <c r="E337" s="61" t="str">
        <f>IFERROR(__xludf.DUMMYFUNCTION("""COMPUTED_VALUE"""),"MasterBates50")</f>
        <v>MasterBates50</v>
      </c>
      <c r="F337" s="63">
        <f>IFERROR(__xludf.DUMMYFUNCTION("""COMPUTED_VALUE"""),40925.0)</f>
        <v>40925</v>
      </c>
    </row>
    <row r="338">
      <c r="A338" s="59" t="str">
        <f>IFERROR(__xludf.DUMMYFUNCTION("""COMPUTED_VALUE"""),"Tower Madness")</f>
        <v>Tower Madness</v>
      </c>
      <c r="B338" s="60"/>
      <c r="C338" s="61" t="str">
        <f>IFERROR(__xludf.DUMMYFUNCTION("""COMPUTED_VALUE"""),"Yes")</f>
        <v>Yes</v>
      </c>
      <c r="D338" s="62" t="str">
        <f>IFERROR(__xludf.DUMMYFUNCTION("""COMPUTED_VALUE"""),"Works for all maps and weapons.")</f>
        <v>Works for all maps and weapons.</v>
      </c>
      <c r="E338" s="61" t="str">
        <f>IFERROR(__xludf.DUMMYFUNCTION("""COMPUTED_VALUE"""),"baobiao")</f>
        <v>baobiao</v>
      </c>
      <c r="F338" s="63">
        <f>IFERROR(__xludf.DUMMYFUNCTION("""COMPUTED_VALUE"""),40925.0)</f>
        <v>40925</v>
      </c>
    </row>
    <row r="339">
      <c r="A339" s="59" t="str">
        <f>IFERROR(__xludf.DUMMYFUNCTION("""COMPUTED_VALUE"""),"Trollolol")</f>
        <v>Trollolol</v>
      </c>
      <c r="B339" s="60"/>
      <c r="C339" s="61" t="str">
        <f>IFERROR(__xludf.DUMMYFUNCTION("""COMPUTED_VALUE"""),"Yes")</f>
        <v>Yes</v>
      </c>
      <c r="D339" s="62" t="str">
        <f>IFERROR(__xludf.DUMMYFUNCTION("""COMPUTED_VALUE"""),"Works fine! You can purchase all faces.")</f>
        <v>Works fine! You can purchase all faces.</v>
      </c>
      <c r="E339" s="61" t="str">
        <f>IFERROR(__xludf.DUMMYFUNCTION("""COMPUTED_VALUE"""),"eborodulin")</f>
        <v>eborodulin</v>
      </c>
      <c r="F339" s="63">
        <f>IFERROR(__xludf.DUMMYFUNCTION("""COMPUTED_VALUE"""),40925.0)</f>
        <v>40925</v>
      </c>
    </row>
    <row r="340">
      <c r="A340" s="59" t="str">
        <f>IFERROR(__xludf.DUMMYFUNCTION("""COMPUTED_VALUE"""),"Wordfeud")</f>
        <v>Wordfeud</v>
      </c>
      <c r="B340" s="60"/>
      <c r="C340" s="61" t="str">
        <f>IFERROR(__xludf.DUMMYFUNCTION("""COMPUTED_VALUE"""),"Yes")</f>
        <v>Yes</v>
      </c>
      <c r="D340" s="62" t="str">
        <f>IFERROR(__xludf.DUMMYFUNCTION("""COMPUTED_VALUE"""),"Upgrade to no ads works great")</f>
        <v>Upgrade to no ads works great</v>
      </c>
      <c r="E340" s="61" t="str">
        <f>IFERROR(__xludf.DUMMYFUNCTION("""COMPUTED_VALUE"""),"Hawkeye")</f>
        <v>Hawkeye</v>
      </c>
      <c r="F340" s="63">
        <f>IFERROR(__xludf.DUMMYFUNCTION("""COMPUTED_VALUE"""),40925.0)</f>
        <v>40925</v>
      </c>
    </row>
    <row r="341">
      <c r="A341" s="59" t="str">
        <f>IFERROR(__xludf.DUMMYFUNCTION("""COMPUTED_VALUE"""),"Wordfeud Helper")</f>
        <v>Wordfeud Helper</v>
      </c>
      <c r="B341" s="60"/>
      <c r="C341" s="61" t="str">
        <f>IFERROR(__xludf.DUMMYFUNCTION("""COMPUTED_VALUE"""),"Yes")</f>
        <v>Yes</v>
      </c>
      <c r="D341" s="62" t="str">
        <f>IFERROR(__xludf.DUMMYFUNCTION("""COMPUTED_VALUE"""),"Free to premium dictionary update (To Full)")</f>
        <v>Free to premium dictionary update (To Full)</v>
      </c>
      <c r="E341" s="61" t="str">
        <f>IFERROR(__xludf.DUMMYFUNCTION("""COMPUTED_VALUE"""),"D3LTA")</f>
        <v>D3LTA</v>
      </c>
      <c r="F341" s="63">
        <f>IFERROR(__xludf.DUMMYFUNCTION("""COMPUTED_VALUE"""),40925.0)</f>
        <v>40925</v>
      </c>
    </row>
    <row r="342">
      <c r="A342" s="59" t="str">
        <f>IFERROR(__xludf.DUMMYFUNCTION("""COMPUTED_VALUE"""),"OffMaps 2")</f>
        <v>OffMaps 2</v>
      </c>
      <c r="B342" s="60"/>
      <c r="C342" s="61" t="str">
        <f>IFERROR(__xludf.DUMMYFUNCTION("""COMPUTED_VALUE"""),"Yes")</f>
        <v>Yes</v>
      </c>
      <c r="D342" s="62" t="str">
        <f>IFERROR(__xludf.DUMMYFUNCTION("""COMPUTED_VALUE"""),"Can download all maps (Map flatrate active)")</f>
        <v>Can download all maps (Map flatrate active)</v>
      </c>
      <c r="E342" s="61" t="str">
        <f>IFERROR(__xludf.DUMMYFUNCTION("""COMPUTED_VALUE"""),"Testeriap")</f>
        <v>Testeriap</v>
      </c>
      <c r="F342" s="63">
        <f>IFERROR(__xludf.DUMMYFUNCTION("""COMPUTED_VALUE"""),40924.0)</f>
        <v>40924</v>
      </c>
    </row>
    <row r="343">
      <c r="A343" s="59" t="str">
        <f>IFERROR(__xludf.DUMMYFUNCTION("""COMPUTED_VALUE"""),"Alien Jump")</f>
        <v>Alien Jump</v>
      </c>
      <c r="B343" s="60"/>
      <c r="C343" s="61" t="str">
        <f>IFERROR(__xludf.DUMMYFUNCTION("""COMPUTED_VALUE"""),"Yes")</f>
        <v>Yes</v>
      </c>
      <c r="D343" s="62" t="str">
        <f>IFERROR(__xludf.DUMMYFUNCTION("""COMPUTED_VALUE"""),"work perfectly. 100%")</f>
        <v>work perfectly. 100%</v>
      </c>
      <c r="E343" s="61" t="str">
        <f>IFERROR(__xludf.DUMMYFUNCTION("""COMPUTED_VALUE"""),"fi6e")</f>
        <v>fi6e</v>
      </c>
      <c r="F343" s="63">
        <f>IFERROR(__xludf.DUMMYFUNCTION("""COMPUTED_VALUE"""),40923.0)</f>
        <v>40923</v>
      </c>
    </row>
    <row r="344">
      <c r="A344" s="59" t="str">
        <f>IFERROR(__xludf.DUMMYFUNCTION("""COMPUTED_VALUE"""),"Belly Jam")</f>
        <v>Belly Jam</v>
      </c>
      <c r="B344" s="60"/>
      <c r="C344" s="61" t="str">
        <f>IFERROR(__xludf.DUMMYFUNCTION("""COMPUTED_VALUE"""),"Yes")</f>
        <v>Yes</v>
      </c>
      <c r="D344" s="62"/>
      <c r="E344" s="61" t="str">
        <f>IFERROR(__xludf.DUMMYFUNCTION("""COMPUTED_VALUE"""),"vidolaem")</f>
        <v>vidolaem</v>
      </c>
      <c r="F344" s="63">
        <f>IFERROR(__xludf.DUMMYFUNCTION("""COMPUTED_VALUE"""),40923.0)</f>
        <v>40923</v>
      </c>
    </row>
    <row r="345">
      <c r="A345" s="59" t="str">
        <f>IFERROR(__xludf.DUMMYFUNCTION("""COMPUTED_VALUE"""),"Bunny Shooter Christmas")</f>
        <v>Bunny Shooter Christmas</v>
      </c>
      <c r="B345" s="60"/>
      <c r="C345" s="61" t="str">
        <f>IFERROR(__xludf.DUMMYFUNCTION("""COMPUTED_VALUE"""),"Yes")</f>
        <v>Yes</v>
      </c>
      <c r="D345" s="62"/>
      <c r="E345" s="61" t="str">
        <f>IFERROR(__xludf.DUMMYFUNCTION("""COMPUTED_VALUE"""),"Z1nC")</f>
        <v>Z1nC</v>
      </c>
      <c r="F345" s="63">
        <f>IFERROR(__xludf.DUMMYFUNCTION("""COMPUTED_VALUE"""),40923.0)</f>
        <v>40923</v>
      </c>
    </row>
    <row r="346">
      <c r="A346" s="59" t="str">
        <f>IFERROR(__xludf.DUMMYFUNCTION("""COMPUTED_VALUE"""),"Football Kicks")</f>
        <v>Football Kicks</v>
      </c>
      <c r="B346" s="60"/>
      <c r="C346" s="61" t="str">
        <f>IFERROR(__xludf.DUMMYFUNCTION("""COMPUTED_VALUE"""),"Yes")</f>
        <v>Yes</v>
      </c>
      <c r="D346" s="62"/>
      <c r="E346" s="61" t="str">
        <f>IFERROR(__xludf.DUMMYFUNCTION("""COMPUTED_VALUE"""),"luudaigiang")</f>
        <v>luudaigiang</v>
      </c>
      <c r="F346" s="63">
        <f>IFERROR(__xludf.DUMMYFUNCTION("""COMPUTED_VALUE"""),40923.0)</f>
        <v>40923</v>
      </c>
    </row>
    <row r="347">
      <c r="A347" s="59" t="str">
        <f>IFERROR(__xludf.DUMMYFUNCTION("""COMPUTED_VALUE"""),"Geared")</f>
        <v>Geared</v>
      </c>
      <c r="B347" s="60"/>
      <c r="C347" s="61" t="str">
        <f>IFERROR(__xludf.DUMMYFUNCTION("""COMPUTED_VALUE"""),"Yes")</f>
        <v>Yes</v>
      </c>
      <c r="D347" s="62" t="str">
        <f>IFERROR(__xludf.DUMMYFUNCTION("""COMPUTED_VALUE"""),"You can buy tokens")</f>
        <v>You can buy tokens</v>
      </c>
      <c r="E347" s="61" t="str">
        <f>IFERROR(__xludf.DUMMYFUNCTION("""COMPUTED_VALUE"""),"Ozirone")</f>
        <v>Ozirone</v>
      </c>
      <c r="F347" s="63">
        <f>IFERROR(__xludf.DUMMYFUNCTION("""COMPUTED_VALUE"""),40923.0)</f>
        <v>40923</v>
      </c>
    </row>
    <row r="348">
      <c r="A348" s="59" t="str">
        <f>IFERROR(__xludf.DUMMYFUNCTION("""COMPUTED_VALUE"""),"Mindsnacks French")</f>
        <v>Mindsnacks French</v>
      </c>
      <c r="B348" s="60"/>
      <c r="C348" s="61" t="str">
        <f>IFERROR(__xludf.DUMMYFUNCTION("""COMPUTED_VALUE"""),"Yes")</f>
        <v>Yes</v>
      </c>
      <c r="D348" s="62" t="str">
        <f>IFERROR(__xludf.DUMMYFUNCTION("""COMPUTED_VALUE"""),"Unlock all lessons")</f>
        <v>Unlock all lessons</v>
      </c>
      <c r="E348" s="61" t="str">
        <f>IFERROR(__xludf.DUMMYFUNCTION("""COMPUTED_VALUE"""),"Testeriap")</f>
        <v>Testeriap</v>
      </c>
      <c r="F348" s="63">
        <f>IFERROR(__xludf.DUMMYFUNCTION("""COMPUTED_VALUE"""),40923.0)</f>
        <v>40923</v>
      </c>
    </row>
    <row r="349">
      <c r="A349" s="59" t="str">
        <f>IFERROR(__xludf.DUMMYFUNCTION("""COMPUTED_VALUE"""),"Need for Speed Hot Pursuit")</f>
        <v>Need for Speed Hot Pursuit</v>
      </c>
      <c r="B349" s="60"/>
      <c r="C349" s="61" t="str">
        <f>IFERROR(__xludf.DUMMYFUNCTION("""COMPUTED_VALUE"""),"Yes")</f>
        <v>Yes</v>
      </c>
      <c r="D349" s="62" t="str">
        <f>IFERROR(__xludf.DUMMYFUNCTION("""COMPUTED_VALUE"""),"Tested on cracked v1.0.3")</f>
        <v>Tested on cracked v1.0.3</v>
      </c>
      <c r="E349" s="61" t="str">
        <f>IFERROR(__xludf.DUMMYFUNCTION("""COMPUTED_VALUE"""),"Z1nC")</f>
        <v>Z1nC</v>
      </c>
      <c r="F349" s="63">
        <f>IFERROR(__xludf.DUMMYFUNCTION("""COMPUTED_VALUE"""),40923.0)</f>
        <v>40923</v>
      </c>
    </row>
    <row r="350">
      <c r="A350" s="59" t="str">
        <f>IFERROR(__xludf.DUMMYFUNCTION("""COMPUTED_VALUE"""),"RemoteX Premium")</f>
        <v>RemoteX Premium</v>
      </c>
      <c r="B350" s="60"/>
      <c r="C350" s="61" t="str">
        <f>IFERROR(__xludf.DUMMYFUNCTION("""COMPUTED_VALUE"""),"Yes")</f>
        <v>Yes</v>
      </c>
      <c r="D350" s="62"/>
      <c r="E350" s="61" t="str">
        <f>IFERROR(__xludf.DUMMYFUNCTION("""COMPUTED_VALUE"""),"fi6e")</f>
        <v>fi6e</v>
      </c>
      <c r="F350" s="63">
        <f>IFERROR(__xludf.DUMMYFUNCTION("""COMPUTED_VALUE"""),40923.0)</f>
        <v>40923</v>
      </c>
    </row>
    <row r="351">
      <c r="A351" s="59" t="str">
        <f>IFERROR(__xludf.DUMMYFUNCTION("""COMPUTED_VALUE"""),"SEED 2")</f>
        <v>SEED 2</v>
      </c>
      <c r="B351" s="60"/>
      <c r="C351" s="61" t="str">
        <f>IFERROR(__xludf.DUMMYFUNCTION("""COMPUTED_VALUE"""),"Yes")</f>
        <v>Yes</v>
      </c>
      <c r="D351" s="62" t="str">
        <f>IFERROR(__xludf.DUMMYFUNCTION("""COMPUTED_VALUE"""),"It takes a while; just kill app with SBSettings and rerun, and the points will be there")</f>
        <v>It takes a while; just kill app with SBSettings and rerun, and the points will be there</v>
      </c>
      <c r="E351" s="61" t="str">
        <f>IFERROR(__xludf.DUMMYFUNCTION("""COMPUTED_VALUE"""),"rdtx")</f>
        <v>rdtx</v>
      </c>
      <c r="F351" s="63">
        <f>IFERROR(__xludf.DUMMYFUNCTION("""COMPUTED_VALUE"""),40923.0)</f>
        <v>40923</v>
      </c>
    </row>
    <row r="352">
      <c r="A352" s="59" t="str">
        <f>IFERROR(__xludf.DUMMYFUNCTION("""COMPUTED_VALUE"""),"Vengeance On Evil")</f>
        <v>Vengeance On Evil</v>
      </c>
      <c r="B352" s="60"/>
      <c r="C352" s="61" t="str">
        <f>IFERROR(__xludf.DUMMYFUNCTION("""COMPUTED_VALUE"""),"Yes")</f>
        <v>Yes</v>
      </c>
      <c r="D352" s="62"/>
      <c r="E352" s="61" t="str">
        <f>IFERROR(__xludf.DUMMYFUNCTION("""COMPUTED_VALUE"""),"iLovePi")</f>
        <v>iLovePi</v>
      </c>
      <c r="F352" s="63">
        <f>IFERROR(__xludf.DUMMYFUNCTION("""COMPUTED_VALUE"""),40923.0)</f>
        <v>40923</v>
      </c>
    </row>
    <row r="353">
      <c r="A353" s="59" t="str">
        <f>IFERROR(__xludf.DUMMYFUNCTION("""COMPUTED_VALUE"""),"Zombie Wonderland 2: Outta Time!")</f>
        <v>Zombie Wonderland 2: Outta Time!</v>
      </c>
      <c r="B353" s="60"/>
      <c r="C353" s="61" t="str">
        <f>IFERROR(__xludf.DUMMYFUNCTION("""COMPUTED_VALUE"""),"Yes")</f>
        <v>Yes</v>
      </c>
      <c r="D353" s="62" t="str">
        <f>IFERROR(__xludf.DUMMYFUNCTION("""COMPUTED_VALUE"""),"Everything")</f>
        <v>Everything</v>
      </c>
      <c r="E353" s="61" t="str">
        <f>IFERROR(__xludf.DUMMYFUNCTION("""COMPUTED_VALUE"""),"luudaigiang")</f>
        <v>luudaigiang</v>
      </c>
      <c r="F353" s="63">
        <f>IFERROR(__xludf.DUMMYFUNCTION("""COMPUTED_VALUE"""),40923.0)</f>
        <v>40923</v>
      </c>
    </row>
    <row r="354">
      <c r="A354" s="59" t="str">
        <f>IFERROR(__xludf.DUMMYFUNCTION("""COMPUTED_VALUE"""),"Action Truck")</f>
        <v>Action Truck</v>
      </c>
      <c r="B354" s="60"/>
      <c r="C354" s="61" t="str">
        <f>IFERROR(__xludf.DUMMYFUNCTION("""COMPUTED_VALUE"""),"Yes")</f>
        <v>Yes</v>
      </c>
      <c r="D354" s="62"/>
      <c r="E354" s="61"/>
      <c r="F354" s="63">
        <f>IFERROR(__xludf.DUMMYFUNCTION("""COMPUTED_VALUE"""),40922.0)</f>
        <v>40922</v>
      </c>
    </row>
    <row r="355">
      <c r="A355" s="59" t="str">
        <f>IFERROR(__xludf.DUMMYFUNCTION("""COMPUTED_VALUE"""),"Adobe Ideas")</f>
        <v>Adobe Ideas</v>
      </c>
      <c r="B355" s="60"/>
      <c r="C355" s="61" t="str">
        <f>IFERROR(__xludf.DUMMYFUNCTION("""COMPUTED_VALUE"""),"Yes")</f>
        <v>Yes</v>
      </c>
      <c r="D355" s="62" t="str">
        <f>IFERROR(__xludf.DUMMYFUNCTION("""COMPUTED_VALUE"""),"Can buy Layer with iAP Cracker 0.6-1")</f>
        <v>Can buy Layer with iAP Cracker 0.6-1</v>
      </c>
      <c r="E355" s="61" t="str">
        <f>IFERROR(__xludf.DUMMYFUNCTION("""COMPUTED_VALUE"""),"luudaigiang")</f>
        <v>luudaigiang</v>
      </c>
      <c r="F355" s="63">
        <f>IFERROR(__xludf.DUMMYFUNCTION("""COMPUTED_VALUE"""),40922.0)</f>
        <v>40922</v>
      </c>
    </row>
    <row r="356">
      <c r="A356" s="59" t="str">
        <f>IFERROR(__xludf.DUMMYFUNCTION("""COMPUTED_VALUE"""),"ArtCamera")</f>
        <v>ArtCamera</v>
      </c>
      <c r="B356" s="60"/>
      <c r="C356" s="61" t="str">
        <f>IFERROR(__xludf.DUMMYFUNCTION("""COMPUTED_VALUE"""),"Yes")</f>
        <v>Yes</v>
      </c>
      <c r="D356" s="62"/>
      <c r="E356" s="61" t="str">
        <f>IFERROR(__xludf.DUMMYFUNCTION("""COMPUTED_VALUE"""),"luudaigiang")</f>
        <v>luudaigiang</v>
      </c>
      <c r="F356" s="63">
        <f>IFERROR(__xludf.DUMMYFUNCTION("""COMPUTED_VALUE"""),40922.0)</f>
        <v>40922</v>
      </c>
    </row>
    <row r="357">
      <c r="A357" s="59" t="str">
        <f>IFERROR(__xludf.DUMMYFUNCTION("""COMPUTED_VALUE"""),"Candy Count - Learn Colors &amp; Numbers")</f>
        <v>Candy Count - Learn Colors &amp; Numbers</v>
      </c>
      <c r="B357" s="60"/>
      <c r="C357" s="61" t="str">
        <f>IFERROR(__xludf.DUMMYFUNCTION("""COMPUTED_VALUE"""),"Yes")</f>
        <v>Yes</v>
      </c>
      <c r="D357" s="62"/>
      <c r="E357" s="61" t="str">
        <f>IFERROR(__xludf.DUMMYFUNCTION("""COMPUTED_VALUE"""),"luudaigiang")</f>
        <v>luudaigiang</v>
      </c>
      <c r="F357" s="63">
        <f>IFERROR(__xludf.DUMMYFUNCTION("""COMPUTED_VALUE"""),40922.0)</f>
        <v>40922</v>
      </c>
    </row>
    <row r="358">
      <c r="A358" s="59" t="str">
        <f>IFERROR(__xludf.DUMMYFUNCTION("""COMPUTED_VALUE"""),"CATCHa PRINCE")</f>
        <v>CATCHa PRINCE</v>
      </c>
      <c r="B358" s="60"/>
      <c r="C358" s="61" t="str">
        <f>IFERROR(__xludf.DUMMYFUNCTION("""COMPUTED_VALUE"""),"Yes")</f>
        <v>Yes</v>
      </c>
      <c r="D358" s="62" t="str">
        <f>IFERROR(__xludf.DUMMYFUNCTION("""COMPUTED_VALUE"""),"Works fine")</f>
        <v>Works fine</v>
      </c>
      <c r="E358" s="61" t="str">
        <f>IFERROR(__xludf.DUMMYFUNCTION("""COMPUTED_VALUE"""),"luudaigiang")</f>
        <v>luudaigiang</v>
      </c>
      <c r="F358" s="63">
        <f>IFERROR(__xludf.DUMMYFUNCTION("""COMPUTED_VALUE"""),40922.0)</f>
        <v>40922</v>
      </c>
    </row>
    <row r="359">
      <c r="A359" s="59" t="str">
        <f>IFERROR(__xludf.DUMMYFUNCTION("""COMPUTED_VALUE"""),"Evertales")</f>
        <v>Evertales</v>
      </c>
      <c r="B359" s="60"/>
      <c r="C359" s="61" t="str">
        <f>IFERROR(__xludf.DUMMYFUNCTION("""COMPUTED_VALUE"""),"Yes")</f>
        <v>Yes</v>
      </c>
      <c r="D359" s="62" t="str">
        <f>IFERROR(__xludf.DUMMYFUNCTION("""COMPUTED_VALUE"""),"Great game")</f>
        <v>Great game</v>
      </c>
      <c r="E359" s="61" t="str">
        <f>IFERROR(__xludf.DUMMYFUNCTION("""COMPUTED_VALUE"""),"vidolaem")</f>
        <v>vidolaem</v>
      </c>
      <c r="F359" s="63">
        <f>IFERROR(__xludf.DUMMYFUNCTION("""COMPUTED_VALUE"""),40922.0)</f>
        <v>40922</v>
      </c>
    </row>
    <row r="360">
      <c r="A360" s="59" t="str">
        <f>IFERROR(__xludf.DUMMYFUNCTION("""COMPUTED_VALUE"""),"FX Photo Studio HD")</f>
        <v>FX Photo Studio HD</v>
      </c>
      <c r="B360" s="60"/>
      <c r="C360" s="61" t="str">
        <f>IFERROR(__xludf.DUMMYFUNCTION("""COMPUTED_VALUE"""),"Yes")</f>
        <v>Yes</v>
      </c>
      <c r="D360" s="62"/>
      <c r="E360" s="61" t="str">
        <f>IFERROR(__xludf.DUMMYFUNCTION("""COMPUTED_VALUE"""),"luudaigiang")</f>
        <v>luudaigiang</v>
      </c>
      <c r="F360" s="63">
        <f>IFERROR(__xludf.DUMMYFUNCTION("""COMPUTED_VALUE"""),40922.0)</f>
        <v>40922</v>
      </c>
    </row>
    <row r="361">
      <c r="A361" s="59" t="str">
        <f>IFERROR(__xludf.DUMMYFUNCTION("""COMPUTED_VALUE"""),"Guide for Plants vs Zombies &amp; Angry Birds &amp; Cut the Rope (all apps)")</f>
        <v>Guide for Plants vs Zombies &amp; Angry Birds &amp; Cut the Rope (all apps)</v>
      </c>
      <c r="B361" s="60"/>
      <c r="C361" s="61" t="str">
        <f>IFERROR(__xludf.DUMMYFUNCTION("""COMPUTED_VALUE"""),"Yes")</f>
        <v>Yes</v>
      </c>
      <c r="D361" s="62"/>
      <c r="E361" s="61" t="str">
        <f>IFERROR(__xludf.DUMMYFUNCTION("""COMPUTED_VALUE"""),"luudaigiang")</f>
        <v>luudaigiang</v>
      </c>
      <c r="F361" s="63">
        <f>IFERROR(__xludf.DUMMYFUNCTION("""COMPUTED_VALUE"""),40922.0)</f>
        <v>40922</v>
      </c>
    </row>
    <row r="362">
      <c r="A362" s="59" t="str">
        <f>IFERROR(__xludf.DUMMYFUNCTION("""COMPUTED_VALUE"""),"Hot Donut")</f>
        <v>Hot Donut</v>
      </c>
      <c r="B362" s="60"/>
      <c r="C362" s="61" t="str">
        <f>IFERROR(__xludf.DUMMYFUNCTION("""COMPUTED_VALUE"""),"Yes")</f>
        <v>Yes</v>
      </c>
      <c r="D362" s="62" t="str">
        <f>IFERROR(__xludf.DUMMYFUNCTION("""COMPUTED_VALUE"""),"Bought Crystals")</f>
        <v>Bought Crystals</v>
      </c>
      <c r="E362" s="61" t="str">
        <f>IFERROR(__xludf.DUMMYFUNCTION("""COMPUTED_VALUE"""),"tdhtdh0")</f>
        <v>tdhtdh0</v>
      </c>
      <c r="F362" s="63">
        <f>IFERROR(__xludf.DUMMYFUNCTION("""COMPUTED_VALUE"""),40922.0)</f>
        <v>40922</v>
      </c>
    </row>
    <row r="363">
      <c r="A363" s="59" t="str">
        <f>IFERROR(__xludf.DUMMYFUNCTION("""COMPUTED_VALUE"""),"iGun Zombie")</f>
        <v>iGun Zombie</v>
      </c>
      <c r="B363" s="60"/>
      <c r="C363" s="61" t="str">
        <f>IFERROR(__xludf.DUMMYFUNCTION("""COMPUTED_VALUE"""),"Yes")</f>
        <v>Yes</v>
      </c>
      <c r="D363" s="62" t="str">
        <f>IFERROR(__xludf.DUMMYFUNCTION("""COMPUTED_VALUE"""),"Purchase everything")</f>
        <v>Purchase everything</v>
      </c>
      <c r="E363" s="61" t="str">
        <f>IFERROR(__xludf.DUMMYFUNCTION("""COMPUTED_VALUE"""),"luudaigiang")</f>
        <v>luudaigiang</v>
      </c>
      <c r="F363" s="63">
        <f>IFERROR(__xludf.DUMMYFUNCTION("""COMPUTED_VALUE"""),40922.0)</f>
        <v>40922</v>
      </c>
    </row>
    <row r="364">
      <c r="A364" s="59" t="str">
        <f>IFERROR(__xludf.DUMMYFUNCTION("""COMPUTED_VALUE"""),"MyTifi Remote")</f>
        <v>MyTifi Remote</v>
      </c>
      <c r="B364" s="60"/>
      <c r="C364" s="61" t="str">
        <f>IFERROR(__xludf.DUMMYFUNCTION("""COMPUTED_VALUE"""),"Yes")</f>
        <v>Yes</v>
      </c>
      <c r="D364" s="62" t="str">
        <f>IFERROR(__xludf.DUMMYFUNCTION("""COMPUTED_VALUE"""),"Upgrade to pro license (full version)")</f>
        <v>Upgrade to pro license (full version)</v>
      </c>
      <c r="E364" s="61" t="str">
        <f>IFERROR(__xludf.DUMMYFUNCTION("""COMPUTED_VALUE"""),"D3LTA")</f>
        <v>D3LTA</v>
      </c>
      <c r="F364" s="63">
        <f>IFERROR(__xludf.DUMMYFUNCTION("""COMPUTED_VALUE"""),40922.0)</f>
        <v>40922</v>
      </c>
    </row>
    <row r="365">
      <c r="A365" s="59" t="str">
        <f>IFERROR(__xludf.DUMMYFUNCTION("""COMPUTED_VALUE"""),"Paper Glider vs. Gnomes")</f>
        <v>Paper Glider vs. Gnomes</v>
      </c>
      <c r="B365" s="60"/>
      <c r="C365" s="61" t="str">
        <f>IFERROR(__xludf.DUMMYFUNCTION("""COMPUTED_VALUE"""),"Yes")</f>
        <v>Yes</v>
      </c>
      <c r="D365" s="62" t="str">
        <f>IFERROR(__xludf.DUMMYFUNCTION("""COMPUTED_VALUE"""),"Purchase everything")</f>
        <v>Purchase everything</v>
      </c>
      <c r="E365" s="61" t="str">
        <f>IFERROR(__xludf.DUMMYFUNCTION("""COMPUTED_VALUE"""),"luudaigiang")</f>
        <v>luudaigiang</v>
      </c>
      <c r="F365" s="63">
        <f>IFERROR(__xludf.DUMMYFUNCTION("""COMPUTED_VALUE"""),40922.0)</f>
        <v>40922</v>
      </c>
    </row>
    <row r="366">
      <c r="A366" s="59" t="str">
        <f>IFERROR(__xludf.DUMMYFUNCTION("""COMPUTED_VALUE"""),"RaOne")</f>
        <v>RaOne</v>
      </c>
      <c r="B366" s="60"/>
      <c r="C366" s="61" t="str">
        <f>IFERROR(__xludf.DUMMYFUNCTION("""COMPUTED_VALUE"""),"Yes")</f>
        <v>Yes</v>
      </c>
      <c r="D366" s="62" t="str">
        <f>IFERROR(__xludf.DUMMYFUNCTION("""COMPUTED_VALUE"""),"Connect to wifi before open the game")</f>
        <v>Connect to wifi before open the game</v>
      </c>
      <c r="E366" s="61" t="str">
        <f>IFERROR(__xludf.DUMMYFUNCTION("""COMPUTED_VALUE"""),"luudaigiang")</f>
        <v>luudaigiang</v>
      </c>
      <c r="F366" s="63">
        <f>IFERROR(__xludf.DUMMYFUNCTION("""COMPUTED_VALUE"""),40922.0)</f>
        <v>40922</v>
      </c>
    </row>
    <row r="367">
      <c r="A367" s="59" t="str">
        <f>IFERROR(__xludf.DUMMYFUNCTION("""COMPUTED_VALUE"""),"Talking Pirate")</f>
        <v>Talking Pirate</v>
      </c>
      <c r="B367" s="60"/>
      <c r="C367" s="61" t="str">
        <f>IFERROR(__xludf.DUMMYFUNCTION("""COMPUTED_VALUE"""),"Yes")</f>
        <v>Yes</v>
      </c>
      <c r="D367" s="62"/>
      <c r="E367" s="61" t="str">
        <f>IFERROR(__xludf.DUMMYFUNCTION("""COMPUTED_VALUE"""),"luudaigiang")</f>
        <v>luudaigiang</v>
      </c>
      <c r="F367" s="63">
        <f>IFERROR(__xludf.DUMMYFUNCTION("""COMPUTED_VALUE"""),40922.0)</f>
        <v>40922</v>
      </c>
    </row>
    <row r="368">
      <c r="A368" s="59" t="str">
        <f>IFERROR(__xludf.DUMMYFUNCTION("""COMPUTED_VALUE"""),"Touring Mobilis Pro 3.5")</f>
        <v>Touring Mobilis Pro 3.5</v>
      </c>
      <c r="B368" s="60"/>
      <c r="C368" s="61" t="str">
        <f>IFERROR(__xludf.DUMMYFUNCTION("""COMPUTED_VALUE"""),"Yes")</f>
        <v>Yes</v>
      </c>
      <c r="D368" s="62"/>
      <c r="E368" s="61"/>
      <c r="F368" s="63">
        <f>IFERROR(__xludf.DUMMYFUNCTION("""COMPUTED_VALUE"""),40922.0)</f>
        <v>40922</v>
      </c>
    </row>
    <row r="369">
      <c r="A369" s="59" t="str">
        <f>IFERROR(__xludf.DUMMYFUNCTION("""COMPUTED_VALUE"""),"Voice Changer Plus")</f>
        <v>Voice Changer Plus</v>
      </c>
      <c r="B369" s="60"/>
      <c r="C369" s="61" t="str">
        <f>IFERROR(__xludf.DUMMYFUNCTION("""COMPUTED_VALUE"""),"Yes")</f>
        <v>Yes</v>
      </c>
      <c r="D369" s="62"/>
      <c r="E369" s="61" t="str">
        <f>IFERROR(__xludf.DUMMYFUNCTION("""COMPUTED_VALUE"""),"luudaigiang")</f>
        <v>luudaigiang</v>
      </c>
      <c r="F369" s="63">
        <f>IFERROR(__xludf.DUMMYFUNCTION("""COMPUTED_VALUE"""),40922.0)</f>
        <v>40922</v>
      </c>
    </row>
    <row r="370">
      <c r="A370" s="59" t="str">
        <f>IFERROR(__xludf.DUMMYFUNCTION("""COMPUTED_VALUE"""),"Hospital Havoc 2 v1.2")</f>
        <v>Hospital Havoc 2 v1.2</v>
      </c>
      <c r="B370" s="60"/>
      <c r="C370" s="61" t="str">
        <f>IFERROR(__xludf.DUMMYFUNCTION("""COMPUTED_VALUE"""),"Yes")</f>
        <v>Yes</v>
      </c>
      <c r="D370" s="62" t="str">
        <f>IFERROR(__xludf.DUMMYFUNCTION("""COMPUTED_VALUE"""),"Tested work with iap Cracker 0.6-1")</f>
        <v>Tested work with iap Cracker 0.6-1</v>
      </c>
      <c r="E370" s="61" t="str">
        <f>IFERROR(__xludf.DUMMYFUNCTION("""COMPUTED_VALUE"""),"luudaigiang")</f>
        <v>luudaigiang</v>
      </c>
      <c r="F370" s="63">
        <f>IFERROR(__xludf.DUMMYFUNCTION("""COMPUTED_VALUE"""),40921.0)</f>
        <v>40921</v>
      </c>
    </row>
    <row r="371">
      <c r="A371" s="59" t="str">
        <f>IFERROR(__xludf.DUMMYFUNCTION("""COMPUTED_VALUE"""),"Ascension")</f>
        <v>Ascension</v>
      </c>
      <c r="B371" s="60"/>
      <c r="C371" s="61" t="str">
        <f>IFERROR(__xludf.DUMMYFUNCTION("""COMPUTED_VALUE"""),"Yes")</f>
        <v>Yes</v>
      </c>
      <c r="D371" s="62" t="str">
        <f>IFERROR(__xludf.DUMMYFUNCTION("""COMPUTED_VALUE""")," Return of the Fallen IAP")</f>
        <v> Return of the Fallen IAP</v>
      </c>
      <c r="E371" s="61" t="str">
        <f>IFERROR(__xludf.DUMMYFUNCTION("""COMPUTED_VALUE"""),"Mariano Rajoy")</f>
        <v>Mariano Rajoy</v>
      </c>
      <c r="F371" s="63">
        <f>IFERROR(__xludf.DUMMYFUNCTION("""COMPUTED_VALUE"""),40920.0)</f>
        <v>40920</v>
      </c>
    </row>
    <row r="372">
      <c r="A372" s="59" t="str">
        <f>IFERROR(__xludf.DUMMYFUNCTION("""COMPUTED_VALUE"""),"Bubble Bust!")</f>
        <v>Bubble Bust!</v>
      </c>
      <c r="B372" s="60"/>
      <c r="C372" s="61" t="str">
        <f>IFERROR(__xludf.DUMMYFUNCTION("""COMPUTED_VALUE"""),"Yes")</f>
        <v>Yes</v>
      </c>
      <c r="D372" s="62" t="str">
        <f>IFERROR(__xludf.DUMMYFUNCTION("""COMPUTED_VALUE"""),"Works fine!")</f>
        <v>Works fine!</v>
      </c>
      <c r="E372" s="61" t="str">
        <f>IFERROR(__xludf.DUMMYFUNCTION("""COMPUTED_VALUE"""),"[Ars]Giang")</f>
        <v>[Ars]Giang</v>
      </c>
      <c r="F372" s="63">
        <f>IFERROR(__xludf.DUMMYFUNCTION("""COMPUTED_VALUE"""),40920.0)</f>
        <v>40920</v>
      </c>
    </row>
    <row r="373">
      <c r="A373" s="59" t="str">
        <f>IFERROR(__xludf.DUMMYFUNCTION("""COMPUTED_VALUE"""),"Car City Pro")</f>
        <v>Car City Pro</v>
      </c>
      <c r="B373" s="60"/>
      <c r="C373" s="61" t="str">
        <f>IFERROR(__xludf.DUMMYFUNCTION("""COMPUTED_VALUE"""),"Yes")</f>
        <v>Yes</v>
      </c>
      <c r="D373" s="62" t="str">
        <f>IFERROR(__xludf.DUMMYFUNCTION("""COMPUTED_VALUE"""),"Buying coins ok")</f>
        <v>Buying coins ok</v>
      </c>
      <c r="E373" s="61">
        <f>IFERROR(__xludf.DUMMYFUNCTION("""COMPUTED_VALUE"""),4004.0)</f>
        <v>4004</v>
      </c>
      <c r="F373" s="63">
        <f>IFERROR(__xludf.DUMMYFUNCTION("""COMPUTED_VALUE"""),40920.0)</f>
        <v>40920</v>
      </c>
    </row>
    <row r="374">
      <c r="A374" s="59" t="str">
        <f>IFERROR(__xludf.DUMMYFUNCTION("""COMPUTED_VALUE"""),"Circus City")</f>
        <v>Circus City</v>
      </c>
      <c r="B374" s="60"/>
      <c r="C374" s="61" t="str">
        <f>IFERROR(__xludf.DUMMYFUNCTION("""COMPUTED_VALUE"""),"Yes")</f>
        <v>Yes</v>
      </c>
      <c r="D374" s="62" t="str">
        <f>IFERROR(__xludf.DUMMYFUNCTION("""COMPUTED_VALUE"""),"You can buy Tickets")</f>
        <v>You can buy Tickets</v>
      </c>
      <c r="E374" s="61" t="str">
        <f>IFERROR(__xludf.DUMMYFUNCTION("""COMPUTED_VALUE"""),"Gambit")</f>
        <v>Gambit</v>
      </c>
      <c r="F374" s="63">
        <f>IFERROR(__xludf.DUMMYFUNCTION("""COMPUTED_VALUE"""),40920.0)</f>
        <v>40920</v>
      </c>
    </row>
    <row r="375">
      <c r="A375" s="59" t="str">
        <f>IFERROR(__xludf.DUMMYFUNCTION("""COMPUTED_VALUE"""),"Doodle Fit")</f>
        <v>Doodle Fit</v>
      </c>
      <c r="B375" s="60"/>
      <c r="C375" s="61" t="str">
        <f>IFERROR(__xludf.DUMMYFUNCTION("""COMPUTED_VALUE"""),"Yes")</f>
        <v>Yes</v>
      </c>
      <c r="D375" s="62"/>
      <c r="E375" s="61" t="str">
        <f>IFERROR(__xludf.DUMMYFUNCTION("""COMPUTED_VALUE"""),"Moose")</f>
        <v>Moose</v>
      </c>
      <c r="F375" s="63">
        <f>IFERROR(__xludf.DUMMYFUNCTION("""COMPUTED_VALUE"""),40920.0)</f>
        <v>40920</v>
      </c>
    </row>
    <row r="376">
      <c r="A376" s="59" t="str">
        <f>IFERROR(__xludf.DUMMYFUNCTION("""COMPUTED_VALUE"""),"Fashion City")</f>
        <v>Fashion City</v>
      </c>
      <c r="B376" s="60"/>
      <c r="C376" s="61" t="str">
        <f>IFERROR(__xludf.DUMMYFUNCTION("""COMPUTED_VALUE"""),"Yes")</f>
        <v>Yes</v>
      </c>
      <c r="D376" s="62" t="str">
        <f>IFERROR(__xludf.DUMMYFUNCTION("""COMPUTED_VALUE"""),"You can buy lucky charms")</f>
        <v>You can buy lucky charms</v>
      </c>
      <c r="E376" s="61" t="str">
        <f>IFERROR(__xludf.DUMMYFUNCTION("""COMPUTED_VALUE"""),"Gambit")</f>
        <v>Gambit</v>
      </c>
      <c r="F376" s="63">
        <f>IFERROR(__xludf.DUMMYFUNCTION("""COMPUTED_VALUE"""),40920.0)</f>
        <v>40920</v>
      </c>
    </row>
    <row r="377">
      <c r="A377" s="59" t="str">
        <f>IFERROR(__xludf.DUMMYFUNCTION("""COMPUTED_VALUE"""),"Hello Kitty Beauty Salon")</f>
        <v>Hello Kitty Beauty Salon</v>
      </c>
      <c r="B377" s="60"/>
      <c r="C377" s="61" t="str">
        <f>IFERROR(__xludf.DUMMYFUNCTION("""COMPUTED_VALUE"""),"Yes")</f>
        <v>Yes</v>
      </c>
      <c r="D377" s="62" t="str">
        <f>IFERROR(__xludf.DUMMYFUNCTION("""COMPUTED_VALUE"""),"Purchases Hallo Kitty Point perfectly")</f>
        <v>Purchases Hallo Kitty Point perfectly</v>
      </c>
      <c r="E377" s="61" t="str">
        <f>IFERROR(__xludf.DUMMYFUNCTION("""COMPUTED_VALUE"""),"Gambit")</f>
        <v>Gambit</v>
      </c>
      <c r="F377" s="63">
        <f>IFERROR(__xludf.DUMMYFUNCTION("""COMPUTED_VALUE"""),40920.0)</f>
        <v>40920</v>
      </c>
    </row>
    <row r="378">
      <c r="A378" s="59" t="str">
        <f>IFERROR(__xludf.DUMMYFUNCTION("""COMPUTED_VALUE"""),"Jack'd")</f>
        <v>Jack'd</v>
      </c>
      <c r="B378" s="60"/>
      <c r="C378" s="61" t="str">
        <f>IFERROR(__xludf.DUMMYFUNCTION("""COMPUTED_VALUE"""),"Yes")</f>
        <v>Yes</v>
      </c>
      <c r="D378" s="62" t="str">
        <f>IFERROR(__xludf.DUMMYFUNCTION("""COMPUTED_VALUE"""),"Tested, donation works. Unlock premium feature")</f>
        <v>Tested, donation works. Unlock premium feature</v>
      </c>
      <c r="E378" s="61" t="str">
        <f>IFERROR(__xludf.DUMMYFUNCTION("""COMPUTED_VALUE"""),"Jabberwoku")</f>
        <v>Jabberwoku</v>
      </c>
      <c r="F378" s="63">
        <f>IFERROR(__xludf.DUMMYFUNCTION("""COMPUTED_VALUE"""),40920.0)</f>
        <v>40920</v>
      </c>
    </row>
    <row r="379">
      <c r="A379" s="59" t="str">
        <f>IFERROR(__xludf.DUMMYFUNCTION("""COMPUTED_VALUE"""),"Paladog!")</f>
        <v>Paladog!</v>
      </c>
      <c r="B379" s="60" t="str">
        <f>IFERROR(__xludf.DUMMYFUNCTION("""COMPUTED_VALUE"""),"3.0.0")</f>
        <v>3.0.0</v>
      </c>
      <c r="C379" s="61" t="str">
        <f>IFERROR(__xludf.DUMMYFUNCTION("""COMPUTED_VALUE"""),"Yes")</f>
        <v>Yes</v>
      </c>
      <c r="D379" s="62" t="str">
        <f>IFERROR(__xludf.DUMMYFUNCTION("""COMPUTED_VALUE"""),"Tested on cracked v3.0.0. May load for quite awhile, but it'll go through eventually.")</f>
        <v>Tested on cracked v3.0.0. May load for quite awhile, but it'll go through eventually.</v>
      </c>
      <c r="E379" s="61" t="str">
        <f>IFERROR(__xludf.DUMMYFUNCTION("""COMPUTED_VALUE"""),"Z1nC")</f>
        <v>Z1nC</v>
      </c>
      <c r="F379" s="63">
        <f>IFERROR(__xludf.DUMMYFUNCTION("""COMPUTED_VALUE"""),40920.0)</f>
        <v>40920</v>
      </c>
    </row>
    <row r="380">
      <c r="A380" s="59" t="str">
        <f>IFERROR(__xludf.DUMMYFUNCTION("""COMPUTED_VALUE"""),"Pet Fair")</f>
        <v>Pet Fair</v>
      </c>
      <c r="B380" s="60"/>
      <c r="C380" s="61" t="str">
        <f>IFERROR(__xludf.DUMMYFUNCTION("""COMPUTED_VALUE"""),"Yes")</f>
        <v>Yes</v>
      </c>
      <c r="D380" s="62" t="str">
        <f>IFERROR(__xludf.DUMMYFUNCTION("""COMPUTED_VALUE"""),"You can purchase all")</f>
        <v>You can purchase all</v>
      </c>
      <c r="E380" s="61" t="str">
        <f>IFERROR(__xludf.DUMMYFUNCTION("""COMPUTED_VALUE"""),"Gambit")</f>
        <v>Gambit</v>
      </c>
      <c r="F380" s="63">
        <f>IFERROR(__xludf.DUMMYFUNCTION("""COMPUTED_VALUE"""),40920.0)</f>
        <v>40920</v>
      </c>
    </row>
    <row r="381">
      <c r="A381" s="59" t="str">
        <f>IFERROR(__xludf.DUMMYFUNCTION("""COMPUTED_VALUE"""),"Safari Zoo")</f>
        <v>Safari Zoo</v>
      </c>
      <c r="B381" s="60"/>
      <c r="C381" s="61" t="str">
        <f>IFERROR(__xludf.DUMMYFUNCTION("""COMPUTED_VALUE"""),"Yes")</f>
        <v>Yes</v>
      </c>
      <c r="D381" s="62"/>
      <c r="E381" s="61" t="str">
        <f>IFERROR(__xludf.DUMMYFUNCTION("""COMPUTED_VALUE"""),"Gambit")</f>
        <v>Gambit</v>
      </c>
      <c r="F381" s="63">
        <f>IFERROR(__xludf.DUMMYFUNCTION("""COMPUTED_VALUE"""),40920.0)</f>
        <v>40920</v>
      </c>
    </row>
    <row r="382">
      <c r="A382" s="59" t="str">
        <f>IFERROR(__xludf.DUMMYFUNCTION("""COMPUTED_VALUE"""),"SHIFT 2 Unleashed (World)")</f>
        <v>SHIFT 2 Unleashed (World)</v>
      </c>
      <c r="B382" s="60"/>
      <c r="C382" s="61" t="str">
        <f>IFERROR(__xludf.DUMMYFUNCTION("""COMPUTED_VALUE"""),"Yes")</f>
        <v>Yes</v>
      </c>
      <c r="D382" s="62" t="str">
        <f>IFERROR(__xludf.DUMMYFUNCTION("""COMPUTED_VALUE"""),"Tested on genuine v1.0.6")</f>
        <v>Tested on genuine v1.0.6</v>
      </c>
      <c r="E382" s="61" t="str">
        <f>IFERROR(__xludf.DUMMYFUNCTION("""COMPUTED_VALUE"""),"Z1nC")</f>
        <v>Z1nC</v>
      </c>
      <c r="F382" s="63">
        <f>IFERROR(__xludf.DUMMYFUNCTION("""COMPUTED_VALUE"""),40920.0)</f>
        <v>40920</v>
      </c>
    </row>
    <row r="383">
      <c r="A383" s="59" t="str">
        <f>IFERROR(__xludf.DUMMYFUNCTION("""COMPUTED_VALUE"""),"Smash Cops")</f>
        <v>Smash Cops</v>
      </c>
      <c r="B383" s="60"/>
      <c r="C383" s="61" t="str">
        <f>IFERROR(__xludf.DUMMYFUNCTION("""COMPUTED_VALUE"""),"Yes")</f>
        <v>Yes</v>
      </c>
      <c r="D383" s="62" t="str">
        <f>IFERROR(__xludf.DUMMYFUNCTION("""COMPUTED_VALUE"""),"Works great")</f>
        <v>Works great</v>
      </c>
      <c r="E383" s="61" t="str">
        <f>IFERROR(__xludf.DUMMYFUNCTION("""COMPUTED_VALUE"""),"Greek-Immortal")</f>
        <v>Greek-Immortal</v>
      </c>
      <c r="F383" s="63">
        <f>IFERROR(__xludf.DUMMYFUNCTION("""COMPUTED_VALUE"""),40920.0)</f>
        <v>40920</v>
      </c>
    </row>
    <row r="384">
      <c r="A384" s="59" t="str">
        <f>IFERROR(__xludf.DUMMYFUNCTION("""COMPUTED_VALUE"""),"Streetbike: Full Blast")</f>
        <v>Streetbike: Full Blast</v>
      </c>
      <c r="B384" s="60"/>
      <c r="C384" s="61" t="str">
        <f>IFERROR(__xludf.DUMMYFUNCTION("""COMPUTED_VALUE"""),"Yes")</f>
        <v>Yes</v>
      </c>
      <c r="D384" s="62" t="str">
        <f>IFERROR(__xludf.DUMMYFUNCTION("""COMPUTED_VALUE"""),"Seems to work fine with buying all tracks / bikes / money.")</f>
        <v>Seems to work fine with buying all tracks / bikes / money.</v>
      </c>
      <c r="E384" s="61" t="str">
        <f>IFERROR(__xludf.DUMMYFUNCTION("""COMPUTED_VALUE"""),"JustinCredible")</f>
        <v>JustinCredible</v>
      </c>
      <c r="F384" s="63">
        <f>IFERROR(__xludf.DUMMYFUNCTION("""COMPUTED_VALUE"""),40920.0)</f>
        <v>40920</v>
      </c>
    </row>
    <row r="385">
      <c r="A385" s="59" t="str">
        <f>IFERROR(__xludf.DUMMYFUNCTION("""COMPUTED_VALUE"""),"Zen of Snow HD")</f>
        <v>Zen of Snow HD</v>
      </c>
      <c r="B385" s="60"/>
      <c r="C385" s="61" t="str">
        <f>IFERROR(__xludf.DUMMYFUNCTION("""COMPUTED_VALUE"""),"Yes")</f>
        <v>Yes</v>
      </c>
      <c r="D385" s="62" t="str">
        <f>IFERROR(__xludf.DUMMYFUNCTION("""COMPUTED_VALUE"""),"Purchases Rabbit Food perfectly")</f>
        <v>Purchases Rabbit Food perfectly</v>
      </c>
      <c r="E385" s="61" t="str">
        <f>IFERROR(__xludf.DUMMYFUNCTION("""COMPUTED_VALUE"""),"raptorV")</f>
        <v>raptorV</v>
      </c>
      <c r="F385" s="63">
        <f>IFERROR(__xludf.DUMMYFUNCTION("""COMPUTED_VALUE"""),40920.0)</f>
        <v>40920</v>
      </c>
    </row>
    <row r="386">
      <c r="A386" s="59" t="str">
        <f>IFERROR(__xludf.DUMMYFUNCTION("""COMPUTED_VALUE"""),"Ipanema Girls")</f>
        <v>Ipanema Girls</v>
      </c>
      <c r="B386" s="60"/>
      <c r="C386" s="61" t="str">
        <f>IFERROR(__xludf.DUMMYFUNCTION("""COMPUTED_VALUE"""),"Yes")</f>
        <v>Yes</v>
      </c>
      <c r="D386" s="62" t="str">
        <f>IFERROR(__xludf.DUMMYFUNCTION("""COMPUTED_VALUE"""),"Work all purchases")</f>
        <v>Work all purchases</v>
      </c>
      <c r="E386" s="61" t="str">
        <f>IFERROR(__xludf.DUMMYFUNCTION("""COMPUTED_VALUE"""),"luudaigiang")</f>
        <v>luudaigiang</v>
      </c>
      <c r="F386" s="63">
        <f>IFERROR(__xludf.DUMMYFUNCTION("""COMPUTED_VALUE"""),40919.0)</f>
        <v>40919</v>
      </c>
    </row>
    <row r="387">
      <c r="A387" s="59" t="str">
        <f>IFERROR(__xludf.DUMMYFUNCTION("""COMPUTED_VALUE"""),"Spanish Dictionary (by iThinkdiff)")</f>
        <v>Spanish Dictionary (by iThinkdiff)</v>
      </c>
      <c r="B387" s="60"/>
      <c r="C387" s="61" t="str">
        <f>IFERROR(__xludf.DUMMYFUNCTION("""COMPUTED_VALUE"""),"Yes")</f>
        <v>Yes</v>
      </c>
      <c r="D387" s="62" t="str">
        <f>IFERROR(__xludf.DUMMYFUNCTION("""COMPUTED_VALUE"""),"Removed ads and got Pro database")</f>
        <v>Removed ads and got Pro database</v>
      </c>
      <c r="E387" s="61" t="str">
        <f>IFERROR(__xludf.DUMMYFUNCTION("""COMPUTED_VALUE"""),"Specksynder")</f>
        <v>Specksynder</v>
      </c>
      <c r="F387" s="63">
        <f>IFERROR(__xludf.DUMMYFUNCTION("""COMPUTED_VALUE"""),40919.0)</f>
        <v>40919</v>
      </c>
    </row>
    <row r="388">
      <c r="A388" s="59" t="str">
        <f>IFERROR(__xludf.DUMMYFUNCTION("""COMPUTED_VALUE"""),"American Heritage Dictionary 5th Ed v1.2")</f>
        <v>American Heritage Dictionary 5th Ed v1.2</v>
      </c>
      <c r="B388" s="60"/>
      <c r="C388" s="61" t="str">
        <f>IFERROR(__xludf.DUMMYFUNCTION("""COMPUTED_VALUE"""),"Yes")</f>
        <v>Yes</v>
      </c>
      <c r="D388" s="62" t="str">
        <f>IFERROR(__xludf.DUMMYFUNCTION("""COMPUTED_VALUE"""),"Have IAP Cracker 0.6.1 installed. I signed out of iTunes then 'purchased'.")</f>
        <v>Have IAP Cracker 0.6.1 installed. I signed out of iTunes then 'purchased'.</v>
      </c>
      <c r="E388" s="61" t="str">
        <f>IFERROR(__xludf.DUMMYFUNCTION("""COMPUTED_VALUE"""),"Binky")</f>
        <v>Binky</v>
      </c>
      <c r="F388" s="63">
        <f>IFERROR(__xludf.DUMMYFUNCTION("""COMPUTED_VALUE"""),40918.0)</f>
        <v>40918</v>
      </c>
    </row>
    <row r="389">
      <c r="A389" s="59" t="str">
        <f>IFERROR(__xludf.DUMMYFUNCTION("""COMPUTED_VALUE"""),"artDatabase")</f>
        <v>artDatabase</v>
      </c>
      <c r="B389" s="60"/>
      <c r="C389" s="61" t="str">
        <f>IFERROR(__xludf.DUMMYFUNCTION("""COMPUTED_VALUE"""),"Yes")</f>
        <v>Yes</v>
      </c>
      <c r="D389" s="62"/>
      <c r="E389" s="61" t="str">
        <f>IFERROR(__xludf.DUMMYFUNCTION("""COMPUTED_VALUE"""),"luudaigiang")</f>
        <v>luudaigiang</v>
      </c>
      <c r="F389" s="63">
        <f>IFERROR(__xludf.DUMMYFUNCTION("""COMPUTED_VALUE"""),40918.0)</f>
        <v>40918</v>
      </c>
    </row>
    <row r="390">
      <c r="A390" s="59" t="str">
        <f>IFERROR(__xludf.DUMMYFUNCTION("""COMPUTED_VALUE"""),"Blade Of Darkness ")</f>
        <v>Blade Of Darkness </v>
      </c>
      <c r="B390" s="60"/>
      <c r="C390" s="61" t="str">
        <f>IFERROR(__xludf.DUMMYFUNCTION("""COMPUTED_VALUE"""),"Yes")</f>
        <v>Yes</v>
      </c>
      <c r="D390" s="62"/>
      <c r="E390" s="61" t="str">
        <f>IFERROR(__xludf.DUMMYFUNCTION("""COMPUTED_VALUE"""),"ShaunLQZ")</f>
        <v>ShaunLQZ</v>
      </c>
      <c r="F390" s="63">
        <f>IFERROR(__xludf.DUMMYFUNCTION("""COMPUTED_VALUE"""),40918.0)</f>
        <v>40918</v>
      </c>
    </row>
    <row r="391">
      <c r="A391" s="59" t="str">
        <f>IFERROR(__xludf.DUMMYFUNCTION("""COMPUTED_VALUE"""),"Cartoon Wars (Original)")</f>
        <v>Cartoon Wars (Original)</v>
      </c>
      <c r="B391" s="60"/>
      <c r="C391" s="61" t="str">
        <f>IFERROR(__xludf.DUMMYFUNCTION("""COMPUTED_VALUE"""),"Yes")</f>
        <v>Yes</v>
      </c>
      <c r="D391" s="62" t="str">
        <f>IFERROR(__xludf.DUMMYFUNCTION("""COMPUTED_VALUE"""),"Able to Buy Gold")</f>
        <v>Able to Buy Gold</v>
      </c>
      <c r="E391" s="61" t="str">
        <f>IFERROR(__xludf.DUMMYFUNCTION("""COMPUTED_VALUE"""),"JD")</f>
        <v>JD</v>
      </c>
      <c r="F391" s="63">
        <f>IFERROR(__xludf.DUMMYFUNCTION("""COMPUTED_VALUE"""),40918.0)</f>
        <v>40918</v>
      </c>
    </row>
    <row r="392">
      <c r="A392" s="59" t="str">
        <f>IFERROR(__xludf.DUMMYFUNCTION("""COMPUTED_VALUE"""),"Cogs")</f>
        <v>Cogs</v>
      </c>
      <c r="B392" s="60"/>
      <c r="C392" s="61" t="str">
        <f>IFERROR(__xludf.DUMMYFUNCTION("""COMPUTED_VALUE"""),"Yes")</f>
        <v>Yes</v>
      </c>
      <c r="D392" s="62" t="str">
        <f>IFERROR(__xludf.DUMMYFUNCTION("""COMPUTED_VALUE"""),"Purchase all levels")</f>
        <v>Purchase all levels</v>
      </c>
      <c r="E392" s="61" t="str">
        <f>IFERROR(__xludf.DUMMYFUNCTION("""COMPUTED_VALUE"""),"luudaigiang")</f>
        <v>luudaigiang</v>
      </c>
      <c r="F392" s="63">
        <f>IFERROR(__xludf.DUMMYFUNCTION("""COMPUTED_VALUE"""),40918.0)</f>
        <v>40918</v>
      </c>
    </row>
    <row r="393">
      <c r="A393" s="59" t="str">
        <f>IFERROR(__xludf.DUMMYFUNCTION("""COMPUTED_VALUE"""),"Command &amp; Conquer: Red Alert")</f>
        <v>Command &amp; Conquer: Red Alert</v>
      </c>
      <c r="B393" s="60"/>
      <c r="C393" s="61" t="str">
        <f>IFERROR(__xludf.DUMMYFUNCTION("""COMPUTED_VALUE"""),"Yes")</f>
        <v>Yes</v>
      </c>
      <c r="D393" s="62" t="str">
        <f>IFERROR(__xludf.DUMMYFUNCTION("""COMPUTED_VALUE"""),"Map and Expansion parks download and install, but are not present in Skirmish mode.")</f>
        <v>Map and Expansion parks download and install, but are not present in Skirmish mode.</v>
      </c>
      <c r="E393" s="61" t="str">
        <f>IFERROR(__xludf.DUMMYFUNCTION("""COMPUTED_VALUE"""),"Annyms")</f>
        <v>Annyms</v>
      </c>
      <c r="F393" s="63">
        <f>IFERROR(__xludf.DUMMYFUNCTION("""COMPUTED_VALUE"""),40918.0)</f>
        <v>40918</v>
      </c>
    </row>
    <row r="394">
      <c r="A394" s="59" t="str">
        <f>IFERROR(__xludf.DUMMYFUNCTION("""COMPUTED_VALUE"""),"Feed Me Oil")</f>
        <v>Feed Me Oil</v>
      </c>
      <c r="B394" s="60"/>
      <c r="C394" s="61" t="str">
        <f>IFERROR(__xludf.DUMMYFUNCTION("""COMPUTED_VALUE"""),"Yes")</f>
        <v>Yes</v>
      </c>
      <c r="D394" s="62"/>
      <c r="E394" s="61" t="str">
        <f>IFERROR(__xludf.DUMMYFUNCTION("""COMPUTED_VALUE"""),"luudaigiang")</f>
        <v>luudaigiang</v>
      </c>
      <c r="F394" s="63">
        <f>IFERROR(__xludf.DUMMYFUNCTION("""COMPUTED_VALUE"""),40918.0)</f>
        <v>40918</v>
      </c>
    </row>
    <row r="395">
      <c r="A395" s="59" t="str">
        <f>IFERROR(__xludf.DUMMYFUNCTION("""COMPUTED_VALUE"""),"Lunar Racer")</f>
        <v>Lunar Racer</v>
      </c>
      <c r="B395" s="60"/>
      <c r="C395" s="61" t="str">
        <f>IFERROR(__xludf.DUMMYFUNCTION("""COMPUTED_VALUE"""),"Yes")</f>
        <v>Yes</v>
      </c>
      <c r="D395" s="62"/>
      <c r="E395" s="61" t="str">
        <f>IFERROR(__xludf.DUMMYFUNCTION("""COMPUTED_VALUE"""),"luudaigiang")</f>
        <v>luudaigiang</v>
      </c>
      <c r="F395" s="63">
        <f>IFERROR(__xludf.DUMMYFUNCTION("""COMPUTED_VALUE"""),40918.0)</f>
        <v>40918</v>
      </c>
    </row>
    <row r="396">
      <c r="A396" s="59" t="str">
        <f>IFERROR(__xludf.DUMMYFUNCTION("""COMPUTED_VALUE"""),"Modern Conflict 2")</f>
        <v>Modern Conflict 2</v>
      </c>
      <c r="B396" s="60"/>
      <c r="C396" s="61" t="str">
        <f>IFERROR(__xludf.DUMMYFUNCTION("""COMPUTED_VALUE"""),"Yes")</f>
        <v>Yes</v>
      </c>
      <c r="D396" s="62"/>
      <c r="E396" s="61" t="str">
        <f>IFERROR(__xludf.DUMMYFUNCTION("""COMPUTED_VALUE"""),"luudaigiang")</f>
        <v>luudaigiang</v>
      </c>
      <c r="F396" s="63">
        <f>IFERROR(__xludf.DUMMYFUNCTION("""COMPUTED_VALUE"""),40918.0)</f>
        <v>40918</v>
      </c>
    </row>
    <row r="397">
      <c r="A397" s="59" t="str">
        <f>IFERROR(__xludf.DUMMYFUNCTION("""COMPUTED_VALUE"""),"Pig Rockets")</f>
        <v>Pig Rockets</v>
      </c>
      <c r="B397" s="60"/>
      <c r="C397" s="61" t="str">
        <f>IFERROR(__xludf.DUMMYFUNCTION("""COMPUTED_VALUE"""),"Yes")</f>
        <v>Yes</v>
      </c>
      <c r="D397" s="62"/>
      <c r="E397" s="61" t="str">
        <f>IFERROR(__xludf.DUMMYFUNCTION("""COMPUTED_VALUE"""),"luudaigiang")</f>
        <v>luudaigiang</v>
      </c>
      <c r="F397" s="63">
        <f>IFERROR(__xludf.DUMMYFUNCTION("""COMPUTED_VALUE"""),40918.0)</f>
        <v>40918</v>
      </c>
    </row>
    <row r="398">
      <c r="A398" s="59" t="str">
        <f>IFERROR(__xludf.DUMMYFUNCTION("""COMPUTED_VALUE"""),"Run Roo Run")</f>
        <v>Run Roo Run</v>
      </c>
      <c r="B398" s="60"/>
      <c r="C398" s="61" t="str">
        <f>IFERROR(__xludf.DUMMYFUNCTION("""COMPUTED_VALUE"""),"Yes")</f>
        <v>Yes</v>
      </c>
      <c r="D398" s="62" t="str">
        <f>IFERROR(__xludf.DUMMYFUNCTION("""COMPUTED_VALUE"""),"Works like a charm, for cracked version, you need to change in Installous/Setings/Remove metadata to off")</f>
        <v>Works like a charm, for cracked version, you need to change in Installous/Setings/Remove metadata to off</v>
      </c>
      <c r="E398" s="61" t="str">
        <f>IFERROR(__xludf.DUMMYFUNCTION("""COMPUTED_VALUE"""),"luudaigiang")</f>
        <v>luudaigiang</v>
      </c>
      <c r="F398" s="63">
        <f>IFERROR(__xludf.DUMMYFUNCTION("""COMPUTED_VALUE"""),40918.0)</f>
        <v>40918</v>
      </c>
    </row>
    <row r="399">
      <c r="A399" s="59" t="str">
        <f>IFERROR(__xludf.DUMMYFUNCTION("""COMPUTED_VALUE"""),"Toy Village")</f>
        <v>Toy Village</v>
      </c>
      <c r="B399" s="60"/>
      <c r="C399" s="61" t="str">
        <f>IFERROR(__xludf.DUMMYFUNCTION("""COMPUTED_VALUE"""),"Yes")</f>
        <v>Yes</v>
      </c>
      <c r="D399" s="62"/>
      <c r="E399" s="61" t="str">
        <f>IFERROR(__xludf.DUMMYFUNCTION("""COMPUTED_VALUE"""),"luudaigiang")</f>
        <v>luudaigiang</v>
      </c>
      <c r="F399" s="63">
        <f>IFERROR(__xludf.DUMMYFUNCTION("""COMPUTED_VALUE"""),40918.0)</f>
        <v>40918</v>
      </c>
    </row>
    <row r="400">
      <c r="A400" s="59" t="str">
        <f>IFERROR(__xludf.DUMMYFUNCTION("""COMPUTED_VALUE"""),"Zenonia 3 (Both Versions)")</f>
        <v>Zenonia 3 (Both Versions)</v>
      </c>
      <c r="B400" s="60"/>
      <c r="C400" s="61" t="str">
        <f>IFERROR(__xludf.DUMMYFUNCTION("""COMPUTED_VALUE"""),"Yes")</f>
        <v>Yes</v>
      </c>
      <c r="D400" s="62" t="str">
        <f>IFERROR(__xludf.DUMMYFUNCTION("""COMPUTED_VALUE"""),"Able to buy Zen")</f>
        <v>Able to buy Zen</v>
      </c>
      <c r="E400" s="61" t="str">
        <f>IFERROR(__xludf.DUMMYFUNCTION("""COMPUTED_VALUE"""),"JD")</f>
        <v>JD</v>
      </c>
      <c r="F400" s="63">
        <f>IFERROR(__xludf.DUMMYFUNCTION("""COMPUTED_VALUE"""),40918.0)</f>
        <v>40918</v>
      </c>
    </row>
    <row r="401">
      <c r="A401" s="59" t="str">
        <f>IFERROR(__xludf.DUMMYFUNCTION("""COMPUTED_VALUE"""),"Cover Orange")</f>
        <v>Cover Orange</v>
      </c>
      <c r="B401" s="60"/>
      <c r="C401" s="61" t="str">
        <f>IFERROR(__xludf.DUMMYFUNCTION("""COMPUTED_VALUE"""),"Yes")</f>
        <v>Yes</v>
      </c>
      <c r="D401" s="62"/>
      <c r="E401" s="61" t="str">
        <f>IFERROR(__xludf.DUMMYFUNCTION("""COMPUTED_VALUE"""),"[Ars]Giang")</f>
        <v>[Ars]Giang</v>
      </c>
      <c r="F401" s="63">
        <f>IFERROR(__xludf.DUMMYFUNCTION("""COMPUTED_VALUE"""),40917.0)</f>
        <v>40917</v>
      </c>
    </row>
    <row r="402">
      <c r="A402" s="59" t="str">
        <f>IFERROR(__xludf.DUMMYFUNCTION("""COMPUTED_VALUE"""),"DocScan")</f>
        <v>DocScan</v>
      </c>
      <c r="B402" s="60"/>
      <c r="C402" s="61" t="str">
        <f>IFERROR(__xludf.DUMMYFUNCTION("""COMPUTED_VALUE"""),"Yes")</f>
        <v>Yes</v>
      </c>
      <c r="D402" s="62"/>
      <c r="E402" s="61" t="str">
        <f>IFERROR(__xludf.DUMMYFUNCTION("""COMPUTED_VALUE"""),"[Ars]Giang")</f>
        <v>[Ars]Giang</v>
      </c>
      <c r="F402" s="63">
        <f>IFERROR(__xludf.DUMMYFUNCTION("""COMPUTED_VALUE"""),40917.0)</f>
        <v>40917</v>
      </c>
    </row>
    <row r="403">
      <c r="A403" s="59" t="str">
        <f>IFERROR(__xludf.DUMMYFUNCTION("""COMPUTED_VALUE"""),"Shopping Cart Hero 3")</f>
        <v>Shopping Cart Hero 3</v>
      </c>
      <c r="B403" s="60"/>
      <c r="C403" s="61" t="str">
        <f>IFERROR(__xludf.DUMMYFUNCTION("""COMPUTED_VALUE"""),"Yes")</f>
        <v>Yes</v>
      </c>
      <c r="D403" s="62" t="str">
        <f>IFERROR(__xludf.DUMMYFUNCTION("""COMPUTED_VALUE"""),"Works fine - can purchase money")</f>
        <v>Works fine - can purchase money</v>
      </c>
      <c r="E403" s="61" t="str">
        <f>IFERROR(__xludf.DUMMYFUNCTION("""COMPUTED_VALUE"""),"Coreninja")</f>
        <v>Coreninja</v>
      </c>
      <c r="F403" s="63">
        <f>IFERROR(__xludf.DUMMYFUNCTION("""COMPUTED_VALUE"""),40917.0)</f>
        <v>40917</v>
      </c>
    </row>
    <row r="404">
      <c r="A404" s="59" t="str">
        <f>IFERROR(__xludf.DUMMYFUNCTION("""COMPUTED_VALUE"""),"Traffic Panic 3D")</f>
        <v>Traffic Panic 3D</v>
      </c>
      <c r="B404" s="60"/>
      <c r="C404" s="61" t="str">
        <f>IFERROR(__xludf.DUMMYFUNCTION("""COMPUTED_VALUE"""),"Yes")</f>
        <v>Yes</v>
      </c>
      <c r="D404" s="62" t="str">
        <f>IFERROR(__xludf.DUMMYFUNCTION("""COMPUTED_VALUE"""),"Unlock All!")</f>
        <v>Unlock All!</v>
      </c>
      <c r="E404" s="61" t="str">
        <f>IFERROR(__xludf.DUMMYFUNCTION("""COMPUTED_VALUE"""),"Keigo")</f>
        <v>Keigo</v>
      </c>
      <c r="F404" s="63">
        <f>IFERROR(__xludf.DUMMYFUNCTION("""COMPUTED_VALUE"""),40917.0)</f>
        <v>40917</v>
      </c>
    </row>
    <row r="405">
      <c r="A405" s="59" t="str">
        <f>IFERROR(__xludf.DUMMYFUNCTION("""COMPUTED_VALUE"""),"Velocispider Zero")</f>
        <v>Velocispider Zero</v>
      </c>
      <c r="B405" s="60"/>
      <c r="C405" s="61" t="str">
        <f>IFERROR(__xludf.DUMMYFUNCTION("""COMPUTED_VALUE"""),"Yes")</f>
        <v>Yes</v>
      </c>
      <c r="D405" s="62" t="str">
        <f>IFERROR(__xludf.DUMMYFUNCTION("""COMPUTED_VALUE"""),"Perfect!")</f>
        <v>Perfect!</v>
      </c>
      <c r="E405" s="61" t="str">
        <f>IFERROR(__xludf.DUMMYFUNCTION("""COMPUTED_VALUE"""),"Fantomac")</f>
        <v>Fantomac</v>
      </c>
      <c r="F405" s="63">
        <f>IFERROR(__xludf.DUMMYFUNCTION("""COMPUTED_VALUE"""),40917.0)</f>
        <v>40917</v>
      </c>
    </row>
    <row r="406">
      <c r="A406" s="59" t="str">
        <f>IFERROR(__xludf.DUMMYFUNCTION("""COMPUTED_VALUE"""),"4 Elements")</f>
        <v>4 Elements</v>
      </c>
      <c r="B406" s="60"/>
      <c r="C406" s="61" t="str">
        <f>IFERROR(__xludf.DUMMYFUNCTION("""COMPUTED_VALUE"""),"Yes")</f>
        <v>Yes</v>
      </c>
      <c r="D406" s="62" t="str">
        <f>IFERROR(__xludf.DUMMYFUNCTION("""COMPUTED_VALUE"""),"Free → Full")</f>
        <v>Free → Full</v>
      </c>
      <c r="E406" s="61" t="str">
        <f>IFERROR(__xludf.DUMMYFUNCTION("""COMPUTED_VALUE"""),"Glisern")</f>
        <v>Glisern</v>
      </c>
      <c r="F406" s="63">
        <f>IFERROR(__xludf.DUMMYFUNCTION("""COMPUTED_VALUE"""),40916.0)</f>
        <v>40916</v>
      </c>
    </row>
    <row r="407">
      <c r="A407" s="59" t="str">
        <f>IFERROR(__xludf.DUMMYFUNCTION("""COMPUTED_VALUE"""),"Arsenal")</f>
        <v>Arsenal</v>
      </c>
      <c r="B407" s="60"/>
      <c r="C407" s="61" t="str">
        <f>IFERROR(__xludf.DUMMYFUNCTION("""COMPUTED_VALUE"""),"Yes")</f>
        <v>Yes</v>
      </c>
      <c r="D407" s="62" t="str">
        <f>IFERROR(__xludf.DUMMYFUNCTION("""COMPUTED_VALUE""")," You can get all pre match contents and post match videos. including longer highlights")</f>
        <v> You can get all pre match contents and post match videos. including longer highlights</v>
      </c>
      <c r="E407" s="61" t="str">
        <f>IFERROR(__xludf.DUMMYFUNCTION("""COMPUTED_VALUE"""),"KashMan")</f>
        <v>KashMan</v>
      </c>
      <c r="F407" s="63">
        <f>IFERROR(__xludf.DUMMYFUNCTION("""COMPUTED_VALUE"""),40916.0)</f>
        <v>40916</v>
      </c>
    </row>
    <row r="408">
      <c r="A408" s="59" t="str">
        <f>IFERROR(__xludf.DUMMYFUNCTION("""COMPUTED_VALUE"""),"Cartoon War 2: Heros")</f>
        <v>Cartoon War 2: Heros</v>
      </c>
      <c r="B408" s="60"/>
      <c r="C408" s="61" t="str">
        <f>IFERROR(__xludf.DUMMYFUNCTION("""COMPUTED_VALUE"""),"Yes")</f>
        <v>Yes</v>
      </c>
      <c r="D408" s="62"/>
      <c r="E408" s="61" t="str">
        <f>IFERROR(__xludf.DUMMYFUNCTION("""COMPUTED_VALUE"""),"evildragon")</f>
        <v>evildragon</v>
      </c>
      <c r="F408" s="63">
        <f>IFERROR(__xludf.DUMMYFUNCTION("""COMPUTED_VALUE"""),40916.0)</f>
        <v>40916</v>
      </c>
    </row>
    <row r="409">
      <c r="A409" s="59" t="str">
        <f>IFERROR(__xludf.DUMMYFUNCTION("""COMPUTED_VALUE"""),"Do Not Press The Red Button")</f>
        <v>Do Not Press The Red Button</v>
      </c>
      <c r="B409" s="60"/>
      <c r="C409" s="61" t="str">
        <f>IFERROR(__xludf.DUMMYFUNCTION("""COMPUTED_VALUE"""),"Yes")</f>
        <v>Yes</v>
      </c>
      <c r="D409" s="62" t="str">
        <f>IFERROR(__xludf.DUMMYFUNCTION("""COMPUTED_VALUE"""),"Use latest iAP Cracker")</f>
        <v>Use latest iAP Cracker</v>
      </c>
      <c r="E409" s="61" t="str">
        <f>IFERROR(__xludf.DUMMYFUNCTION("""COMPUTED_VALUE"""),"luudaigiang")</f>
        <v>luudaigiang</v>
      </c>
      <c r="F409" s="63">
        <f>IFERROR(__xludf.DUMMYFUNCTION("""COMPUTED_VALUE"""),40916.0)</f>
        <v>40916</v>
      </c>
    </row>
    <row r="410">
      <c r="A410" s="59" t="str">
        <f>IFERROR(__xludf.DUMMYFUNCTION("""COMPUTED_VALUE"""),"Ghost Harvest")</f>
        <v>Ghost Harvest</v>
      </c>
      <c r="B410" s="60"/>
      <c r="C410" s="61" t="str">
        <f>IFERROR(__xludf.DUMMYFUNCTION("""COMPUTED_VALUE"""),"Yes")</f>
        <v>Yes</v>
      </c>
      <c r="D410" s="62"/>
      <c r="E410" s="61" t="str">
        <f>IFERROR(__xludf.DUMMYFUNCTION("""COMPUTED_VALUE"""),"Kitty9")</f>
        <v>Kitty9</v>
      </c>
      <c r="F410" s="63">
        <f>IFERROR(__xludf.DUMMYFUNCTION("""COMPUTED_VALUE"""),40916.0)</f>
        <v>40916</v>
      </c>
    </row>
    <row r="411">
      <c r="A411" s="59" t="str">
        <f>IFERROR(__xludf.DUMMYFUNCTION("""COMPUTED_VALUE"""),"Kawaii Pet Megu")</f>
        <v>Kawaii Pet Megu</v>
      </c>
      <c r="B411" s="60"/>
      <c r="C411" s="61" t="str">
        <f>IFERROR(__xludf.DUMMYFUNCTION("""COMPUTED_VALUE"""),"Yes")</f>
        <v>Yes</v>
      </c>
      <c r="D411" s="62" t="str">
        <f>IFERROR(__xludf.DUMMYFUNCTION("""COMPUTED_VALUE""")," Works great!")</f>
        <v> Works great!</v>
      </c>
      <c r="E411" s="61" t="str">
        <f>IFERROR(__xludf.DUMMYFUNCTION("""COMPUTED_VALUE"""),"ShaunLQZ")</f>
        <v>ShaunLQZ</v>
      </c>
      <c r="F411" s="63">
        <f>IFERROR(__xludf.DUMMYFUNCTION("""COMPUTED_VALUE"""),40916.0)</f>
        <v>40916</v>
      </c>
    </row>
    <row r="412">
      <c r="A412" s="59" t="str">
        <f>IFERROR(__xludf.DUMMYFUNCTION("""COMPUTED_VALUE"""),"9GAG Reader")</f>
        <v>9GAG Reader</v>
      </c>
      <c r="B412" s="60"/>
      <c r="C412" s="61" t="str">
        <f>IFERROR(__xludf.DUMMYFUNCTION("""COMPUTED_VALUE"""),"Yes")</f>
        <v>Yes</v>
      </c>
      <c r="D412" s="62" t="str">
        <f>IFERROR(__xludf.DUMMYFUNCTION("""COMPUTED_VALUE"""),"Ad removal. Just Click 'buy now'. You'll get a 'thank you Greg' message. Now completely kill the app and reload and it'll be ad free :)")</f>
        <v>Ad removal. Just Click 'buy now'. You'll get a 'thank you Greg' message. Now completely kill the app and reload and it'll be ad free :)</v>
      </c>
      <c r="E412" s="61" t="str">
        <f>IFERROR(__xludf.DUMMYFUNCTION("""COMPUTED_VALUE"""),"blackthund3r")</f>
        <v>blackthund3r</v>
      </c>
      <c r="F412" s="63">
        <f>IFERROR(__xludf.DUMMYFUNCTION("""COMPUTED_VALUE"""),40915.0)</f>
        <v>40915</v>
      </c>
    </row>
    <row r="413">
      <c r="A413" s="59" t="str">
        <f>IFERROR(__xludf.DUMMYFUNCTION("""COMPUTED_VALUE"""),"Break &amp; Crack it !")</f>
        <v>Break &amp; Crack it !</v>
      </c>
      <c r="B413" s="60"/>
      <c r="C413" s="61" t="str">
        <f>IFERROR(__xludf.DUMMYFUNCTION("""COMPUTED_VALUE"""),"Yes")</f>
        <v>Yes</v>
      </c>
      <c r="D413" s="62"/>
      <c r="E413" s="61" t="str">
        <f>IFERROR(__xludf.DUMMYFUNCTION("""COMPUTED_VALUE"""),"Greek-Immortal")</f>
        <v>Greek-Immortal</v>
      </c>
      <c r="F413" s="63">
        <f>IFERROR(__xludf.DUMMYFUNCTION("""COMPUTED_VALUE"""),40915.0)</f>
        <v>40915</v>
      </c>
    </row>
    <row r="414">
      <c r="A414" s="59" t="str">
        <f>IFERROR(__xludf.DUMMYFUNCTION("""COMPUTED_VALUE"""),"Chicken Revolution")</f>
        <v>Chicken Revolution</v>
      </c>
      <c r="B414" s="60"/>
      <c r="C414" s="61" t="str">
        <f>IFERROR(__xludf.DUMMYFUNCTION("""COMPUTED_VALUE"""),"Yes")</f>
        <v>Yes</v>
      </c>
      <c r="D414" s="62" t="str">
        <f>IFERROR(__xludf.DUMMYFUNCTION("""COMPUTED_VALUE"""),"Everything works")</f>
        <v>Everything works</v>
      </c>
      <c r="E414" s="61" t="str">
        <f>IFERROR(__xludf.DUMMYFUNCTION("""COMPUTED_VALUE"""),"Greek-Immortal")</f>
        <v>Greek-Immortal</v>
      </c>
      <c r="F414" s="63">
        <f>IFERROR(__xludf.DUMMYFUNCTION("""COMPUTED_VALUE"""),40915.0)</f>
        <v>40915</v>
      </c>
    </row>
    <row r="415">
      <c r="A415" s="59" t="str">
        <f>IFERROR(__xludf.DUMMYFUNCTION("""COMPUTED_VALUE"""),"Disposable")</f>
        <v>Disposable</v>
      </c>
      <c r="B415" s="60"/>
      <c r="C415" s="61" t="str">
        <f>IFERROR(__xludf.DUMMYFUNCTION("""COMPUTED_VALUE"""),"Yes")</f>
        <v>Yes</v>
      </c>
      <c r="D415" s="62" t="str">
        <f>IFERROR(__xludf.DUMMYFUNCTION("""COMPUTED_VALUE"""),"Works great with all in-app.")</f>
        <v>Works great with all in-app.</v>
      </c>
      <c r="E415" s="61" t="str">
        <f>IFERROR(__xludf.DUMMYFUNCTION("""COMPUTED_VALUE"""),"Greek-Immortal")</f>
        <v>Greek-Immortal</v>
      </c>
      <c r="F415" s="63">
        <f>IFERROR(__xludf.DUMMYFUNCTION("""COMPUTED_VALUE"""),40915.0)</f>
        <v>40915</v>
      </c>
    </row>
    <row r="416">
      <c r="A416" s="59" t="str">
        <f>IFERROR(__xludf.DUMMYFUNCTION("""COMPUTED_VALUE"""),"Fatify")</f>
        <v>Fatify</v>
      </c>
      <c r="B416" s="60"/>
      <c r="C416" s="61" t="str">
        <f>IFERROR(__xludf.DUMMYFUNCTION("""COMPUTED_VALUE"""),"Yes")</f>
        <v>Yes</v>
      </c>
      <c r="D416" s="62" t="str">
        <f>IFERROR(__xludf.DUMMYFUNCTION("""COMPUTED_VALUE"""),"Works great!")</f>
        <v>Works great!</v>
      </c>
      <c r="E416" s="61" t="str">
        <f>IFERROR(__xludf.DUMMYFUNCTION("""COMPUTED_VALUE"""),"Greek-Immortal")</f>
        <v>Greek-Immortal</v>
      </c>
      <c r="F416" s="63">
        <f>IFERROR(__xludf.DUMMYFUNCTION("""COMPUTED_VALUE"""),40915.0)</f>
        <v>40915</v>
      </c>
    </row>
    <row r="417">
      <c r="A417" s="59" t="str">
        <f>IFERROR(__xludf.DUMMYFUNCTION("""COMPUTED_VALUE"""),"Happy Park")</f>
        <v>Happy Park</v>
      </c>
      <c r="B417" s="60"/>
      <c r="C417" s="61" t="str">
        <f>IFERROR(__xludf.DUMMYFUNCTION("""COMPUTED_VALUE"""),"Yes")</f>
        <v>Yes</v>
      </c>
      <c r="D417" s="62"/>
      <c r="E417" s="61" t="str">
        <f>IFERROR(__xludf.DUMMYFUNCTION("""COMPUTED_VALUE"""),"Vicksss")</f>
        <v>Vicksss</v>
      </c>
      <c r="F417" s="63">
        <f>IFERROR(__xludf.DUMMYFUNCTION("""COMPUTED_VALUE"""),40915.0)</f>
        <v>40915</v>
      </c>
    </row>
    <row r="418">
      <c r="A418" s="59" t="str">
        <f>IFERROR(__xludf.DUMMYFUNCTION("""COMPUTED_VALUE"""),"Morfo")</f>
        <v>Morfo</v>
      </c>
      <c r="B418" s="60"/>
      <c r="C418" s="61" t="str">
        <f>IFERROR(__xludf.DUMMYFUNCTION("""COMPUTED_VALUE"""),"Yes")</f>
        <v>Yes</v>
      </c>
      <c r="D418" s="62" t="str">
        <f>IFERROR(__xludf.DUMMYFUNCTION("""COMPUTED_VALUE"""),"Works great with all in-app.")</f>
        <v>Works great with all in-app.</v>
      </c>
      <c r="E418" s="61" t="str">
        <f>IFERROR(__xludf.DUMMYFUNCTION("""COMPUTED_VALUE"""),"Greek-Immortal")</f>
        <v>Greek-Immortal</v>
      </c>
      <c r="F418" s="63">
        <f>IFERROR(__xludf.DUMMYFUNCTION("""COMPUTED_VALUE"""),40915.0)</f>
        <v>40915</v>
      </c>
    </row>
    <row r="419">
      <c r="A419" s="59" t="str">
        <f>IFERROR(__xludf.DUMMYFUNCTION("""COMPUTED_VALUE"""),"NightHaven")</f>
        <v>NightHaven</v>
      </c>
      <c r="B419" s="60"/>
      <c r="C419" s="61" t="str">
        <f>IFERROR(__xludf.DUMMYFUNCTION("""COMPUTED_VALUE"""),"Yes")</f>
        <v>Yes</v>
      </c>
      <c r="D419" s="62" t="str">
        <f>IFERROR(__xludf.DUMMYFUNCTION("""COMPUTED_VALUE"""),"Works great!")</f>
        <v>Works great!</v>
      </c>
      <c r="E419" s="61" t="str">
        <f>IFERROR(__xludf.DUMMYFUNCTION("""COMPUTED_VALUE"""),"Greek-Immortal")</f>
        <v>Greek-Immortal</v>
      </c>
      <c r="F419" s="63">
        <f>IFERROR(__xludf.DUMMYFUNCTION("""COMPUTED_VALUE"""),40915.0)</f>
        <v>40915</v>
      </c>
    </row>
    <row r="420">
      <c r="A420" s="59" t="str">
        <f>IFERROR(__xludf.DUMMYFUNCTION("""COMPUTED_VALUE"""),"Ringtones")</f>
        <v>Ringtones</v>
      </c>
      <c r="B420" s="60"/>
      <c r="C420" s="61" t="str">
        <f>IFERROR(__xludf.DUMMYFUNCTION("""COMPUTED_VALUE"""),"Yes")</f>
        <v>Yes</v>
      </c>
      <c r="D420" s="62" t="str">
        <f>IFERROR(__xludf.DUMMYFUNCTION("""COMPUTED_VALUE"""),"Works great!")</f>
        <v>Works great!</v>
      </c>
      <c r="E420" s="61" t="str">
        <f>IFERROR(__xludf.DUMMYFUNCTION("""COMPUTED_VALUE"""),"Greek-Immortal")</f>
        <v>Greek-Immortal</v>
      </c>
      <c r="F420" s="63">
        <f>IFERROR(__xludf.DUMMYFUNCTION("""COMPUTED_VALUE"""),40915.0)</f>
        <v>40915</v>
      </c>
    </row>
    <row r="421">
      <c r="A421" s="59" t="str">
        <f>IFERROR(__xludf.DUMMYFUNCTION("""COMPUTED_VALUE"""),"Zombie Revolution")</f>
        <v>Zombie Revolution</v>
      </c>
      <c r="B421" s="60"/>
      <c r="C421" s="61" t="str">
        <f>IFERROR(__xludf.DUMMYFUNCTION("""COMPUTED_VALUE"""),"Yes")</f>
        <v>Yes</v>
      </c>
      <c r="D421" s="62" t="str">
        <f>IFERROR(__xludf.DUMMYFUNCTION("""COMPUTED_VALUE"""),"Works great!")</f>
        <v>Works great!</v>
      </c>
      <c r="E421" s="61" t="str">
        <f>IFERROR(__xludf.DUMMYFUNCTION("""COMPUTED_VALUE"""),"Greek-Immortal")</f>
        <v>Greek-Immortal</v>
      </c>
      <c r="F421" s="63">
        <f>IFERROR(__xludf.DUMMYFUNCTION("""COMPUTED_VALUE"""),40915.0)</f>
        <v>40915</v>
      </c>
    </row>
    <row r="422">
      <c r="A422" s="59" t="str">
        <f>IFERROR(__xludf.DUMMYFUNCTION("""COMPUTED_VALUE"""),"Action Movie FX")</f>
        <v>Action Movie FX</v>
      </c>
      <c r="B422" s="60"/>
      <c r="C422" s="61" t="str">
        <f>IFERROR(__xludf.DUMMYFUNCTION("""COMPUTED_VALUE"""),"Yes")</f>
        <v>Yes</v>
      </c>
      <c r="D422" s="62" t="str">
        <f>IFERROR(__xludf.DUMMYFUNCTION("""COMPUTED_VALUE"""),"Can buy the additional 4 packs")</f>
        <v>Can buy the additional 4 packs</v>
      </c>
      <c r="E422" s="61" t="str">
        <f>IFERROR(__xludf.DUMMYFUNCTION("""COMPUTED_VALUE"""),"Guk")</f>
        <v>Guk</v>
      </c>
      <c r="F422" s="63">
        <f>IFERROR(__xludf.DUMMYFUNCTION("""COMPUTED_VALUE"""),40914.0)</f>
        <v>40914</v>
      </c>
    </row>
    <row r="423">
      <c r="A423" s="59" t="str">
        <f>IFERROR(__xludf.DUMMYFUNCTION("""COMPUTED_VALUE"""),"Aralon: Sword and Shadow")</f>
        <v>Aralon: Sword and Shadow</v>
      </c>
      <c r="B423" s="60"/>
      <c r="C423" s="61" t="str">
        <f>IFERROR(__xludf.DUMMYFUNCTION("""COMPUTED_VALUE"""),"Yes")</f>
        <v>Yes</v>
      </c>
      <c r="D423" s="62" t="str">
        <f>IFERROR(__xludf.DUMMYFUNCTION("""COMPUTED_VALUE"""),"Takes a little while to initialize karma, but it works")</f>
        <v>Takes a little while to initialize karma, but it works</v>
      </c>
      <c r="E423" s="61" t="str">
        <f>IFERROR(__xludf.DUMMYFUNCTION("""COMPUTED_VALUE"""),"EdgarDrake")</f>
        <v>EdgarDrake</v>
      </c>
      <c r="F423" s="63">
        <f>IFERROR(__xludf.DUMMYFUNCTION("""COMPUTED_VALUE"""),40914.0)</f>
        <v>40914</v>
      </c>
    </row>
    <row r="424">
      <c r="A424" s="59" t="str">
        <f>IFERROR(__xludf.DUMMYFUNCTION("""COMPUTED_VALUE"""),"Calculator for iPad Free")</f>
        <v>Calculator for iPad Free</v>
      </c>
      <c r="B424" s="60"/>
      <c r="C424" s="61" t="str">
        <f>IFERROR(__xludf.DUMMYFUNCTION("""COMPUTED_VALUE"""),"Yes")</f>
        <v>Yes</v>
      </c>
      <c r="D424" s="62" t="str">
        <f>IFERROR(__xludf.DUMMYFUNCTION("""COMPUTED_VALUE"""),"Free → Full")</f>
        <v>Free → Full</v>
      </c>
      <c r="E424" s="61" t="str">
        <f>IFERROR(__xludf.DUMMYFUNCTION("""COMPUTED_VALUE"""),"Glisern")</f>
        <v>Glisern</v>
      </c>
      <c r="F424" s="63">
        <f>IFERROR(__xludf.DUMMYFUNCTION("""COMPUTED_VALUE"""),40914.0)</f>
        <v>40914</v>
      </c>
    </row>
    <row r="425">
      <c r="A425" s="59" t="str">
        <f>IFERROR(__xludf.DUMMYFUNCTION("""COMPUTED_VALUE"""),"Dragonvale")</f>
        <v>Dragonvale</v>
      </c>
      <c r="B425" s="60"/>
      <c r="C425" s="61" t="str">
        <f>IFERROR(__xludf.DUMMYFUNCTION("""COMPUTED_VALUE"""),"Yes")</f>
        <v>Yes</v>
      </c>
      <c r="D425" s="62" t="str">
        <f>IFERROR(__xludf.DUMMYFUNCTION("""COMPUTED_VALUE"""),"Works with everything")</f>
        <v>Works with everything</v>
      </c>
      <c r="E425" s="61" t="str">
        <f>IFERROR(__xludf.DUMMYFUNCTION("""COMPUTED_VALUE"""),"J:)")</f>
        <v>J:)</v>
      </c>
      <c r="F425" s="63">
        <f>IFERROR(__xludf.DUMMYFUNCTION("""COMPUTED_VALUE"""),40914.0)</f>
        <v>40914</v>
      </c>
    </row>
    <row r="426">
      <c r="A426" s="59" t="str">
        <f>IFERROR(__xludf.DUMMYFUNCTION("""COMPUTED_VALUE"""),"Stardom")</f>
        <v>Stardom</v>
      </c>
      <c r="B426" s="60"/>
      <c r="C426" s="61" t="str">
        <f>IFERROR(__xludf.DUMMYFUNCTION("""COMPUTED_VALUE"""),"Yes")</f>
        <v>Yes</v>
      </c>
      <c r="D426" s="62" t="str">
        <f>IFERROR(__xludf.DUMMYFUNCTION("""COMPUTED_VALUE"""),"Purchasing all items")</f>
        <v>Purchasing all items</v>
      </c>
      <c r="E426" s="61" t="str">
        <f>IFERROR(__xludf.DUMMYFUNCTION("""COMPUTED_VALUE"""),"kikiki")</f>
        <v>kikiki</v>
      </c>
      <c r="F426" s="63">
        <f>IFERROR(__xludf.DUMMYFUNCTION("""COMPUTED_VALUE"""),40914.0)</f>
        <v>40914</v>
      </c>
    </row>
    <row r="427">
      <c r="A427" s="59" t="str">
        <f>IFERROR(__xludf.DUMMYFUNCTION("""COMPUTED_VALUE"""),"Time Geeks Find All!")</f>
        <v>Time Geeks Find All!</v>
      </c>
      <c r="B427" s="60"/>
      <c r="C427" s="61" t="str">
        <f>IFERROR(__xludf.DUMMYFUNCTION("""COMPUTED_VALUE"""),"Yes")</f>
        <v>Yes</v>
      </c>
      <c r="D427" s="62"/>
      <c r="E427" s="61" t="str">
        <f>IFERROR(__xludf.DUMMYFUNCTION("""COMPUTED_VALUE"""),"Guk")</f>
        <v>Guk</v>
      </c>
      <c r="F427" s="63">
        <f>IFERROR(__xludf.DUMMYFUNCTION("""COMPUTED_VALUE"""),40914.0)</f>
        <v>40914</v>
      </c>
    </row>
    <row r="428">
      <c r="A428" s="59" t="str">
        <f>IFERROR(__xludf.DUMMYFUNCTION("""COMPUTED_VALUE"""),"Anime Dress Up HD")</f>
        <v>Anime Dress Up HD</v>
      </c>
      <c r="B428" s="60"/>
      <c r="C428" s="61" t="str">
        <f>IFERROR(__xludf.DUMMYFUNCTION("""COMPUTED_VALUE"""),"Yes")</f>
        <v>Yes</v>
      </c>
      <c r="D428" s="62"/>
      <c r="E428" s="61" t="str">
        <f>IFERROR(__xludf.DUMMYFUNCTION("""COMPUTED_VALUE"""),"luudaigiang")</f>
        <v>luudaigiang</v>
      </c>
      <c r="F428" s="63">
        <f>IFERROR(__xludf.DUMMYFUNCTION("""COMPUTED_VALUE"""),40913.0)</f>
        <v>40913</v>
      </c>
    </row>
    <row r="429">
      <c r="A429" s="59" t="str">
        <f>IFERROR(__xludf.DUMMYFUNCTION("""COMPUTED_VALUE"""),"busuu Language Programs")</f>
        <v>busuu Language Programs</v>
      </c>
      <c r="B429" s="60"/>
      <c r="C429" s="61" t="str">
        <f>IFERROR(__xludf.DUMMYFUNCTION("""COMPUTED_VALUE"""),"Yes")</f>
        <v>Yes</v>
      </c>
      <c r="D429" s="62" t="str">
        <f>IFERROR(__xludf.DUMMYFUNCTION("""COMPUTED_VALUE"""),"All additional levels")</f>
        <v>All additional levels</v>
      </c>
      <c r="E429" s="61" t="str">
        <f>IFERROR(__xludf.DUMMYFUNCTION("""COMPUTED_VALUE"""),"Lang")</f>
        <v>Lang</v>
      </c>
      <c r="F429" s="63">
        <f>IFERROR(__xludf.DUMMYFUNCTION("""COMPUTED_VALUE"""),40913.0)</f>
        <v>40913</v>
      </c>
    </row>
    <row r="430">
      <c r="A430" s="59" t="str">
        <f>IFERROR(__xludf.DUMMYFUNCTION("""COMPUTED_VALUE"""),"Falldown 3D")</f>
        <v>Falldown 3D</v>
      </c>
      <c r="B430" s="60"/>
      <c r="C430" s="61" t="str">
        <f>IFERROR(__xludf.DUMMYFUNCTION("""COMPUTED_VALUE"""),"Yes")</f>
        <v>Yes</v>
      </c>
      <c r="D430" s="62"/>
      <c r="E430" s="61" t="str">
        <f>IFERROR(__xludf.DUMMYFUNCTION("""COMPUTED_VALUE"""),"Hoithebest")</f>
        <v>Hoithebest</v>
      </c>
      <c r="F430" s="63">
        <f>IFERROR(__xludf.DUMMYFUNCTION("""COMPUTED_VALUE"""),40913.0)</f>
        <v>40913</v>
      </c>
    </row>
    <row r="431">
      <c r="A431" s="59" t="str">
        <f>IFERROR(__xludf.DUMMYFUNCTION("""COMPUTED_VALUE"""),"Frametastic")</f>
        <v>Frametastic</v>
      </c>
      <c r="B431" s="60"/>
      <c r="C431" s="61" t="str">
        <f>IFERROR(__xludf.DUMMYFUNCTION("""COMPUTED_VALUE"""),"Yes")</f>
        <v>Yes</v>
      </c>
      <c r="D431" s="62" t="str">
        <f>IFERROR(__xludf.DUMMYFUNCTION("""COMPUTED_VALUE"""),"Unlock all frame formats")</f>
        <v>Unlock all frame formats</v>
      </c>
      <c r="E431" s="61" t="str">
        <f>IFERROR(__xludf.DUMMYFUNCTION("""COMPUTED_VALUE"""),"indraf")</f>
        <v>indraf</v>
      </c>
      <c r="F431" s="63">
        <f>IFERROR(__xludf.DUMMYFUNCTION("""COMPUTED_VALUE"""),40913.0)</f>
        <v>40913</v>
      </c>
    </row>
    <row r="432">
      <c r="A432" s="59" t="str">
        <f>IFERROR(__xludf.DUMMYFUNCTION("""COMPUTED_VALUE"""),"Horror  2 scene it")</f>
        <v>Horror  2 scene it</v>
      </c>
      <c r="B432" s="60"/>
      <c r="C432" s="61" t="str">
        <f>IFERROR(__xludf.DUMMYFUNCTION("""COMPUTED_VALUE"""),"Yes")</f>
        <v>Yes</v>
      </c>
      <c r="D432" s="62" t="str">
        <f>IFERROR(__xludf.DUMMYFUNCTION("""COMPUTED_VALUE"""),"Purchase all trivia packs")</f>
        <v>Purchase all trivia packs</v>
      </c>
      <c r="E432" s="61" t="str">
        <f>IFERROR(__xludf.DUMMYFUNCTION("""COMPUTED_VALUE"""),"Rodzombi")</f>
        <v>Rodzombi</v>
      </c>
      <c r="F432" s="63">
        <f>IFERROR(__xludf.DUMMYFUNCTION("""COMPUTED_VALUE"""),40913.0)</f>
        <v>40913</v>
      </c>
    </row>
    <row r="433">
      <c r="A433" s="59" t="str">
        <f>IFERROR(__xludf.DUMMYFUNCTION("""COMPUTED_VALUE"""),"iBeer")</f>
        <v>iBeer</v>
      </c>
      <c r="B433" s="60"/>
      <c r="C433" s="61" t="str">
        <f>IFERROR(__xludf.DUMMYFUNCTION("""COMPUTED_VALUE"""),"Yes")</f>
        <v>Yes</v>
      </c>
      <c r="D433" s="62"/>
      <c r="E433" s="61" t="str">
        <f>IFERROR(__xludf.DUMMYFUNCTION("""COMPUTED_VALUE"""),"Dizzy")</f>
        <v>Dizzy</v>
      </c>
      <c r="F433" s="63">
        <f>IFERROR(__xludf.DUMMYFUNCTION("""COMPUTED_VALUE"""),40913.0)</f>
        <v>40913</v>
      </c>
    </row>
    <row r="434">
      <c r="A434" s="59" t="str">
        <f>IFERROR(__xludf.DUMMYFUNCTION("""COMPUTED_VALUE"""),"Infinity Quest")</f>
        <v>Infinity Quest</v>
      </c>
      <c r="B434" s="60"/>
      <c r="C434" s="61" t="str">
        <f>IFERROR(__xludf.DUMMYFUNCTION("""COMPUTED_VALUE"""),"Yes")</f>
        <v>Yes</v>
      </c>
      <c r="D434" s="62" t="str">
        <f>IFERROR(__xludf.DUMMYFUNCTION("""COMPUTED_VALUE"""),"Buy coins and diamonds")</f>
        <v>Buy coins and diamonds</v>
      </c>
      <c r="E434" s="61"/>
      <c r="F434" s="63">
        <f>IFERROR(__xludf.DUMMYFUNCTION("""COMPUTED_VALUE"""),40913.0)</f>
        <v>40913</v>
      </c>
    </row>
    <row r="435">
      <c r="A435" s="59" t="str">
        <f>IFERROR(__xludf.DUMMYFUNCTION("""COMPUTED_VALUE"""),"Music Studio 2.")</f>
        <v>Music Studio 2.</v>
      </c>
      <c r="B435" s="60"/>
      <c r="C435" s="61" t="str">
        <f>IFERROR(__xludf.DUMMYFUNCTION("""COMPUTED_VALUE"""),"Yes")</f>
        <v>Yes</v>
      </c>
      <c r="D435" s="62" t="str">
        <f>IFERROR(__xludf.DUMMYFUNCTION("""COMPUTED_VALUE"""),"Purchase ALL Instruments .. tested version 2.0.3 on 3GS and IPad2 ")</f>
        <v>Purchase ALL Instruments .. tested version 2.0.3 on 3GS and IPad2 </v>
      </c>
      <c r="E435" s="61" t="str">
        <f>IFERROR(__xludf.DUMMYFUNCTION("""COMPUTED_VALUE"""),"Omar")</f>
        <v>Omar</v>
      </c>
      <c r="F435" s="63">
        <f>IFERROR(__xludf.DUMMYFUNCTION("""COMPUTED_VALUE"""),40913.0)</f>
        <v>40913</v>
      </c>
    </row>
    <row r="436">
      <c r="A436" s="59" t="str">
        <f>IFERROR(__xludf.DUMMYFUNCTION("""COMPUTED_VALUE"""),"Sample Tank/Free")</f>
        <v>Sample Tank/Free</v>
      </c>
      <c r="B436" s="60"/>
      <c r="C436" s="61" t="str">
        <f>IFERROR(__xludf.DUMMYFUNCTION("""COMPUTED_VALUE"""),"Yes")</f>
        <v>Yes</v>
      </c>
      <c r="D436" s="62" t="str">
        <f>IFERROR(__xludf.DUMMYFUNCTION("""COMPUTED_VALUE"""),"Could not get ""purchases"" to restore to another device (nonJB)  (lol ofc you cant restore purchases... because you didnt rly buy anything!)")</f>
        <v>Could not get "purchases" to restore to another device (nonJB)  (lol ofc you cant restore purchases... because you didnt rly buy anything!)</v>
      </c>
      <c r="E436" s="61" t="str">
        <f>IFERROR(__xludf.DUMMYFUNCTION("""COMPUTED_VALUE"""),"Moose")</f>
        <v>Moose</v>
      </c>
      <c r="F436" s="63">
        <f>IFERROR(__xludf.DUMMYFUNCTION("""COMPUTED_VALUE"""),40913.0)</f>
        <v>40913</v>
      </c>
    </row>
    <row r="437">
      <c r="A437" s="59" t="str">
        <f>IFERROR(__xludf.DUMMYFUNCTION("""COMPUTED_VALUE"""),"Antrim Escape 3")</f>
        <v>Antrim Escape 3</v>
      </c>
      <c r="B437" s="60"/>
      <c r="C437" s="61" t="str">
        <f>IFERROR(__xludf.DUMMYFUNCTION("""COMPUTED_VALUE"""),"Yes")</f>
        <v>Yes</v>
      </c>
      <c r="D437" s="62"/>
      <c r="E437" s="61" t="str">
        <f>IFERROR(__xludf.DUMMYFUNCTION("""COMPUTED_VALUE"""),"Dizzy")</f>
        <v>Dizzy</v>
      </c>
      <c r="F437" s="63">
        <f>IFERROR(__xludf.DUMMYFUNCTION("""COMPUTED_VALUE"""),40912.0)</f>
        <v>40912</v>
      </c>
    </row>
    <row r="438">
      <c r="A438" s="59" t="str">
        <f>IFERROR(__xludf.DUMMYFUNCTION("""COMPUTED_VALUE"""),"Bike Mania")</f>
        <v>Bike Mania</v>
      </c>
      <c r="B438" s="60"/>
      <c r="C438" s="61" t="str">
        <f>IFERROR(__xludf.DUMMYFUNCTION("""COMPUTED_VALUE"""),"Yes")</f>
        <v>Yes</v>
      </c>
      <c r="D438" s="62" t="str">
        <f>IFERROR(__xludf.DUMMYFUNCTION("""COMPUTED_VALUE"""),"Unlock all levels")</f>
        <v>Unlock all levels</v>
      </c>
      <c r="E438" s="61" t="str">
        <f>IFERROR(__xludf.DUMMYFUNCTION("""COMPUTED_VALUE"""),"BoLaS")</f>
        <v>BoLaS</v>
      </c>
      <c r="F438" s="63">
        <f>IFERROR(__xludf.DUMMYFUNCTION("""COMPUTED_VALUE"""),40912.0)</f>
        <v>40912</v>
      </c>
    </row>
    <row r="439">
      <c r="A439" s="59" t="str">
        <f>IFERROR(__xludf.DUMMYFUNCTION("""COMPUTED_VALUE"""),"Call Monitor")</f>
        <v>Call Monitor</v>
      </c>
      <c r="B439" s="60"/>
      <c r="C439" s="61" t="str">
        <f>IFERROR(__xludf.DUMMYFUNCTION("""COMPUTED_VALUE"""),"Yes")</f>
        <v>Yes</v>
      </c>
      <c r="D439" s="62" t="str">
        <f>IFERROR(__xludf.DUMMYFUNCTION("""COMPUTED_VALUE"""),"Unlocks Plan Monitor")</f>
        <v>Unlocks Plan Monitor</v>
      </c>
      <c r="E439" s="61"/>
      <c r="F439" s="63">
        <f>IFERROR(__xludf.DUMMYFUNCTION("""COMPUTED_VALUE"""),40912.0)</f>
        <v>40912</v>
      </c>
    </row>
    <row r="440">
      <c r="A440" s="59" t="str">
        <f>IFERROR(__xludf.DUMMYFUNCTION("""COMPUTED_VALUE"""),"Drag racing Free")</f>
        <v>Drag racing Free</v>
      </c>
      <c r="B440" s="60"/>
      <c r="C440" s="61" t="str">
        <f>IFERROR(__xludf.DUMMYFUNCTION("""COMPUTED_VALUE"""),"Yes")</f>
        <v>Yes</v>
      </c>
      <c r="D440" s="62" t="str">
        <f>IFERROR(__xludf.DUMMYFUNCTION("""COMPUTED_VALUE"""),"Infinite RP and ad removal working.")</f>
        <v>Infinite RP and ad removal working.</v>
      </c>
      <c r="E440" s="61" t="str">
        <f>IFERROR(__xludf.DUMMYFUNCTION("""COMPUTED_VALUE"""),"Barnzey94")</f>
        <v>Barnzey94</v>
      </c>
      <c r="F440" s="63">
        <f>IFERROR(__xludf.DUMMYFUNCTION("""COMPUTED_VALUE"""),40912.0)</f>
        <v>40912</v>
      </c>
    </row>
    <row r="441">
      <c r="A441" s="59" t="str">
        <f>IFERROR(__xludf.DUMMYFUNCTION("""COMPUTED_VALUE"""),"Froggy Jump")</f>
        <v>Froggy Jump</v>
      </c>
      <c r="B441" s="60"/>
      <c r="C441" s="61" t="str">
        <f>IFERROR(__xludf.DUMMYFUNCTION("""COMPUTED_VALUE"""),"Yes")</f>
        <v>Yes</v>
      </c>
      <c r="D441" s="62"/>
      <c r="E441" s="61" t="str">
        <f>IFERROR(__xludf.DUMMYFUNCTION("""COMPUTED_VALUE"""),"Zer0id")</f>
        <v>Zer0id</v>
      </c>
      <c r="F441" s="63">
        <f>IFERROR(__xludf.DUMMYFUNCTION("""COMPUTED_VALUE"""),40912.0)</f>
        <v>40912</v>
      </c>
    </row>
    <row r="442">
      <c r="A442" s="59" t="str">
        <f>IFERROR(__xludf.DUMMYFUNCTION("""COMPUTED_VALUE"""),"Froggy Launcher")</f>
        <v>Froggy Launcher</v>
      </c>
      <c r="B442" s="60"/>
      <c r="C442" s="61" t="str">
        <f>IFERROR(__xludf.DUMMYFUNCTION("""COMPUTED_VALUE"""),"Yes")</f>
        <v>Yes</v>
      </c>
      <c r="D442" s="62"/>
      <c r="E442" s="61" t="str">
        <f>IFERROR(__xludf.DUMMYFUNCTION("""COMPUTED_VALUE"""),"Zer0id")</f>
        <v>Zer0id</v>
      </c>
      <c r="F442" s="63">
        <f>IFERROR(__xludf.DUMMYFUNCTION("""COMPUTED_VALUE"""),40912.0)</f>
        <v>40912</v>
      </c>
    </row>
    <row r="443">
      <c r="A443" s="59" t="str">
        <f>IFERROR(__xludf.DUMMYFUNCTION("""COMPUTED_VALUE"""),"Gunner Galaxies")</f>
        <v>Gunner Galaxies</v>
      </c>
      <c r="B443" s="60"/>
      <c r="C443" s="61" t="str">
        <f>IFERROR(__xludf.DUMMYFUNCTION("""COMPUTED_VALUE"""),"Yes")</f>
        <v>Yes</v>
      </c>
      <c r="D443" s="62"/>
      <c r="E443" s="61" t="str">
        <f>IFERROR(__xludf.DUMMYFUNCTION("""COMPUTED_VALUE"""),"Zer0id")</f>
        <v>Zer0id</v>
      </c>
      <c r="F443" s="63">
        <f>IFERROR(__xludf.DUMMYFUNCTION("""COMPUTED_VALUE"""),40912.0)</f>
        <v>40912</v>
      </c>
    </row>
    <row r="444">
      <c r="A444" s="59" t="str">
        <f>IFERROR(__xludf.DUMMYFUNCTION("""COMPUTED_VALUE"""),"Legendary Heroes")</f>
        <v>Legendary Heroes</v>
      </c>
      <c r="B444" s="60"/>
      <c r="C444" s="61" t="str">
        <f>IFERROR(__xludf.DUMMYFUNCTION("""COMPUTED_VALUE"""),"Yes")</f>
        <v>Yes</v>
      </c>
      <c r="D444" s="62" t="str">
        <f>IFERROR(__xludf.DUMMYFUNCTION("""COMPUTED_VALUE"""),"Can buy all IAP but kind of breaks the game and make it meanlingless")</f>
        <v>Can buy all IAP but kind of breaks the game and make it meanlingless</v>
      </c>
      <c r="E444" s="61" t="str">
        <f>IFERROR(__xludf.DUMMYFUNCTION("""COMPUTED_VALUE"""),"HKD")</f>
        <v>HKD</v>
      </c>
      <c r="F444" s="63">
        <f>IFERROR(__xludf.DUMMYFUNCTION("""COMPUTED_VALUE"""),40912.0)</f>
        <v>40912</v>
      </c>
    </row>
    <row r="445">
      <c r="A445" s="59" t="str">
        <f>IFERROR(__xludf.DUMMYFUNCTION("""COMPUTED_VALUE"""),"Princess punt")</f>
        <v>Princess punt</v>
      </c>
      <c r="B445" s="60"/>
      <c r="C445" s="61" t="str">
        <f>IFERROR(__xludf.DUMMYFUNCTION("""COMPUTED_VALUE"""),"Yes")</f>
        <v>Yes</v>
      </c>
      <c r="D445" s="62" t="str">
        <f>IFERROR(__xludf.DUMMYFUNCTION("""COMPUTED_VALUE"""),"Works when purchase level5")</f>
        <v>Works when purchase level5</v>
      </c>
      <c r="E445" s="61" t="str">
        <f>IFERROR(__xludf.DUMMYFUNCTION("""COMPUTED_VALUE"""),"Manson")</f>
        <v>Manson</v>
      </c>
      <c r="F445" s="63">
        <f>IFERROR(__xludf.DUMMYFUNCTION("""COMPUTED_VALUE"""),40912.0)</f>
        <v>40912</v>
      </c>
    </row>
    <row r="446">
      <c r="A446" s="59" t="str">
        <f>IFERROR(__xludf.DUMMYFUNCTION("""COMPUTED_VALUE"""),"Solomon's Keep")</f>
        <v>Solomon's Keep</v>
      </c>
      <c r="B446" s="60"/>
      <c r="C446" s="61" t="str">
        <f>IFERROR(__xludf.DUMMYFUNCTION("""COMPUTED_VALUE"""),"Yes")</f>
        <v>Yes</v>
      </c>
      <c r="D446" s="62"/>
      <c r="E446" s="61" t="str">
        <f>IFERROR(__xludf.DUMMYFUNCTION("""COMPUTED_VALUE"""),"Zer0id")</f>
        <v>Zer0id</v>
      </c>
      <c r="F446" s="63">
        <f>IFERROR(__xludf.DUMMYFUNCTION("""COMPUTED_VALUE"""),40912.0)</f>
        <v>40912</v>
      </c>
    </row>
    <row r="447">
      <c r="A447" s="59" t="str">
        <f>IFERROR(__xludf.DUMMYFUNCTION("""COMPUTED_VALUE"""),"Sprinkle")</f>
        <v>Sprinkle</v>
      </c>
      <c r="B447" s="60"/>
      <c r="C447" s="61" t="str">
        <f>IFERROR(__xludf.DUMMYFUNCTION("""COMPUTED_VALUE"""),"Yes")</f>
        <v>Yes</v>
      </c>
      <c r="D447" s="62" t="str">
        <f>IFERROR(__xludf.DUMMYFUNCTION("""COMPUTED_VALUE"""),"Unlock all levels")</f>
        <v>Unlock all levels</v>
      </c>
      <c r="E447" s="61" t="str">
        <f>IFERROR(__xludf.DUMMYFUNCTION("""COMPUTED_VALUE"""),"EdgarDrake")</f>
        <v>EdgarDrake</v>
      </c>
      <c r="F447" s="63">
        <f>IFERROR(__xludf.DUMMYFUNCTION("""COMPUTED_VALUE"""),40912.0)</f>
        <v>40912</v>
      </c>
    </row>
    <row r="448">
      <c r="A448" s="59" t="str">
        <f>IFERROR(__xludf.DUMMYFUNCTION("""COMPUTED_VALUE"""),"The Impossible Game")</f>
        <v>The Impossible Game</v>
      </c>
      <c r="B448" s="60"/>
      <c r="C448" s="61" t="str">
        <f>IFERROR(__xludf.DUMMYFUNCTION("""COMPUTED_VALUE"""),"Yes")</f>
        <v>Yes</v>
      </c>
      <c r="D448" s="62" t="str">
        <f>IFERROR(__xludf.DUMMYFUNCTION("""COMPUTED_VALUE"""),"You can unlock all the extra levels")</f>
        <v>You can unlock all the extra levels</v>
      </c>
      <c r="E448" s="61" t="str">
        <f>IFERROR(__xludf.DUMMYFUNCTION("""COMPUTED_VALUE"""),"taka00")</f>
        <v>taka00</v>
      </c>
      <c r="F448" s="63">
        <f>IFERROR(__xludf.DUMMYFUNCTION("""COMPUTED_VALUE"""),40912.0)</f>
        <v>40912</v>
      </c>
    </row>
    <row r="449">
      <c r="A449" s="59" t="str">
        <f>IFERROR(__xludf.DUMMYFUNCTION("""COMPUTED_VALUE"""),"TowrCraft")</f>
        <v>TowrCraft</v>
      </c>
      <c r="B449" s="60"/>
      <c r="C449" s="61" t="str">
        <f>IFERROR(__xludf.DUMMYFUNCTION("""COMPUTED_VALUE"""),"Yes")</f>
        <v>Yes</v>
      </c>
      <c r="D449" s="62"/>
      <c r="E449" s="61" t="str">
        <f>IFERROR(__xludf.DUMMYFUNCTION("""COMPUTED_VALUE"""),"Zer0id")</f>
        <v>Zer0id</v>
      </c>
      <c r="F449" s="63">
        <f>IFERROR(__xludf.DUMMYFUNCTION("""COMPUTED_VALUE"""),40912.0)</f>
        <v>40912</v>
      </c>
    </row>
    <row r="450">
      <c r="A450" s="59" t="str">
        <f>IFERROR(__xludf.DUMMYFUNCTION("""COMPUTED_VALUE"""),"Wind-Up Knight")</f>
        <v>Wind-Up Knight</v>
      </c>
      <c r="B450" s="60"/>
      <c r="C450" s="61" t="str">
        <f>IFERROR(__xludf.DUMMYFUNCTION("""COMPUTED_VALUE"""),"Yes")</f>
        <v>Yes</v>
      </c>
      <c r="D450" s="62" t="str">
        <f>IFERROR(__xludf.DUMMYFUNCTION("""COMPUTED_VALUE"""),"Shop for coin")</f>
        <v>Shop for coin</v>
      </c>
      <c r="E450" s="61" t="str">
        <f>IFERROR(__xludf.DUMMYFUNCTION("""COMPUTED_VALUE"""),"EdgarDrake")</f>
        <v>EdgarDrake</v>
      </c>
      <c r="F450" s="63">
        <f>IFERROR(__xludf.DUMMYFUNCTION("""COMPUTED_VALUE"""),40912.0)</f>
        <v>40912</v>
      </c>
    </row>
    <row r="451">
      <c r="A451" s="59" t="str">
        <f>IFERROR(__xludf.DUMMYFUNCTION("""COMPUTED_VALUE"""),"WordLens")</f>
        <v>WordLens</v>
      </c>
      <c r="B451" s="60"/>
      <c r="C451" s="61" t="str">
        <f>IFERROR(__xludf.DUMMYFUNCTION("""COMPUTED_VALUE"""),"Yes")</f>
        <v>Yes</v>
      </c>
      <c r="D451" s="62"/>
      <c r="E451" s="61" t="str">
        <f>IFERROR(__xludf.DUMMYFUNCTION("""COMPUTED_VALUE"""),"HKD")</f>
        <v>HKD</v>
      </c>
      <c r="F451" s="63">
        <f>IFERROR(__xludf.DUMMYFUNCTION("""COMPUTED_VALUE"""),40912.0)</f>
        <v>40912</v>
      </c>
    </row>
    <row r="452">
      <c r="A452" s="59" t="str">
        <f>IFERROR(__xludf.DUMMYFUNCTION("""COMPUTED_VALUE"""),"Worms 2: Armageddon")</f>
        <v>Worms 2: Armageddon</v>
      </c>
      <c r="B452" s="60"/>
      <c r="C452" s="61" t="str">
        <f>IFERROR(__xludf.DUMMYFUNCTION("""COMPUTED_VALUE"""),"Yes")</f>
        <v>Yes</v>
      </c>
      <c r="D452" s="62" t="str">
        <f>IFERROR(__xludf.DUMMYFUNCTION("""COMPUTED_VALUE"""),"Battlepack Works")</f>
        <v>Battlepack Works</v>
      </c>
      <c r="E452" s="61" t="str">
        <f>IFERROR(__xludf.DUMMYFUNCTION("""COMPUTED_VALUE"""),"EdgarDrake")</f>
        <v>EdgarDrake</v>
      </c>
      <c r="F452" s="63">
        <f>IFERROR(__xludf.DUMMYFUNCTION("""COMPUTED_VALUE"""),40912.0)</f>
        <v>40912</v>
      </c>
    </row>
    <row r="453">
      <c r="A453" s="59" t="str">
        <f>IFERROR(__xludf.DUMMYFUNCTION("""COMPUTED_VALUE"""),"Dress Taylor")</f>
        <v>Dress Taylor</v>
      </c>
      <c r="B453" s="60"/>
      <c r="C453" s="61" t="str">
        <f>IFERROR(__xludf.DUMMYFUNCTION("""COMPUTED_VALUE"""),"Yes")</f>
        <v>Yes</v>
      </c>
      <c r="D453" s="62" t="str">
        <f>IFERROR(__xludf.DUMMYFUNCTION("""COMPUTED_VALUE"""),"Unlocks all dresses, accessories, shoes and backgrounds.")</f>
        <v>Unlocks all dresses, accessories, shoes and backgrounds.</v>
      </c>
      <c r="E453" s="61" t="str">
        <f>IFERROR(__xludf.DUMMYFUNCTION("""COMPUTED_VALUE"""),"Saitz")</f>
        <v>Saitz</v>
      </c>
      <c r="F453" s="63">
        <f>IFERROR(__xludf.DUMMYFUNCTION("""COMPUTED_VALUE"""),40911.0)</f>
        <v>40911</v>
      </c>
    </row>
    <row r="454">
      <c r="A454" s="59" t="str">
        <f>IFERROR(__xludf.DUMMYFUNCTION("""COMPUTED_VALUE"""),"Heroes vs Monsters")</f>
        <v>Heroes vs Monsters</v>
      </c>
      <c r="B454" s="60"/>
      <c r="C454" s="61" t="str">
        <f>IFERROR(__xludf.DUMMYFUNCTION("""COMPUTED_VALUE"""),"Yes")</f>
        <v>Yes</v>
      </c>
      <c r="D454" s="62" t="str">
        <f>IFERROR(__xludf.DUMMYFUNCTION("""COMPUTED_VALUE"""),"Works great")</f>
        <v>Works great</v>
      </c>
      <c r="E454" s="61" t="str">
        <f>IFERROR(__xludf.DUMMYFUNCTION("""COMPUTED_VALUE"""),"Signe, hisamisu")</f>
        <v>Signe, hisamisu</v>
      </c>
      <c r="F454" s="63">
        <f>IFERROR(__xludf.DUMMYFUNCTION("""COMPUTED_VALUE"""),40911.0)</f>
        <v>40911</v>
      </c>
    </row>
    <row r="455">
      <c r="A455" s="59" t="str">
        <f>IFERROR(__xludf.DUMMYFUNCTION("""COMPUTED_VALUE"""),"Mini Pets")</f>
        <v>Mini Pets</v>
      </c>
      <c r="B455" s="60"/>
      <c r="C455" s="61" t="str">
        <f>IFERROR(__xludf.DUMMYFUNCTION("""COMPUTED_VALUE"""),"Yes")</f>
        <v>Yes</v>
      </c>
      <c r="D455" s="62"/>
      <c r="E455" s="61" t="str">
        <f>IFERROR(__xludf.DUMMYFUNCTION("""COMPUTED_VALUE"""),"pongo")</f>
        <v>pongo</v>
      </c>
      <c r="F455" s="63">
        <f>IFERROR(__xludf.DUMMYFUNCTION("""COMPUTED_VALUE"""),40911.0)</f>
        <v>40911</v>
      </c>
    </row>
    <row r="456">
      <c r="A456" s="59" t="str">
        <f>IFERROR(__xludf.DUMMYFUNCTION("""COMPUTED_VALUE"""),"SteamBirds Survival HD")</f>
        <v>SteamBirds Survival HD</v>
      </c>
      <c r="B456" s="60"/>
      <c r="C456" s="61" t="str">
        <f>IFERROR(__xludf.DUMMYFUNCTION("""COMPUTED_VALUE"""),"Yes")</f>
        <v>Yes</v>
      </c>
      <c r="D456" s="62"/>
      <c r="E456" s="61"/>
      <c r="F456" s="63">
        <f>IFERROR(__xludf.DUMMYFUNCTION("""COMPUTED_VALUE"""),40911.0)</f>
        <v>40911</v>
      </c>
    </row>
    <row r="457">
      <c r="A457" s="59" t="str">
        <f>IFERROR(__xludf.DUMMYFUNCTION("""COMPUTED_VALUE"""),"Talking Ben")</f>
        <v>Talking Ben</v>
      </c>
      <c r="B457" s="60"/>
      <c r="C457" s="61" t="str">
        <f>IFERROR(__xludf.DUMMYFUNCTION("""COMPUTED_VALUE"""),"Yes")</f>
        <v>Yes</v>
      </c>
      <c r="D457" s="62"/>
      <c r="E457" s="61" t="str">
        <f>IFERROR(__xludf.DUMMYFUNCTION("""COMPUTED_VALUE"""),"PJR")</f>
        <v>PJR</v>
      </c>
      <c r="F457" s="63">
        <f>IFERROR(__xludf.DUMMYFUNCTION("""COMPUTED_VALUE"""),40911.0)</f>
        <v>40911</v>
      </c>
    </row>
    <row r="458">
      <c r="A458" s="59" t="str">
        <f>IFERROR(__xludf.DUMMYFUNCTION("""COMPUTED_VALUE"""),"Death Rider")</f>
        <v>Death Rider</v>
      </c>
      <c r="B458" s="60"/>
      <c r="C458" s="61" t="str">
        <f>IFERROR(__xludf.DUMMYFUNCTION("""COMPUTED_VALUE"""),"Yes")</f>
        <v>Yes</v>
      </c>
      <c r="D458" s="62"/>
      <c r="E458" s="61" t="str">
        <f>IFERROR(__xludf.DUMMYFUNCTION("""COMPUTED_VALUE"""),"Dizzy")</f>
        <v>Dizzy</v>
      </c>
      <c r="F458" s="63">
        <f>IFERROR(__xludf.DUMMYFUNCTION("""COMPUTED_VALUE"""),40910.0)</f>
        <v>40910</v>
      </c>
    </row>
    <row r="459">
      <c r="A459" s="59" t="str">
        <f>IFERROR(__xludf.DUMMYFUNCTION("""COMPUTED_VALUE"""),"NHL Game center")</f>
        <v>NHL Game center</v>
      </c>
      <c r="B459" s="60"/>
      <c r="C459" s="61" t="str">
        <f>IFERROR(__xludf.DUMMYFUNCTION("""COMPUTED_VALUE"""),"Yes")</f>
        <v>Yes</v>
      </c>
      <c r="D459" s="62" t="str">
        <f>IFERROR(__xludf.DUMMYFUNCTION("""COMPUTED_VALUE"""),"buys game center premium or game center live ")</f>
        <v>buys game center premium or game center live </v>
      </c>
      <c r="E459" s="61" t="str">
        <f>IFERROR(__xludf.DUMMYFUNCTION("""COMPUTED_VALUE"""),"GOGOME")</f>
        <v>GOGOME</v>
      </c>
      <c r="F459" s="63">
        <f>IFERROR(__xludf.DUMMYFUNCTION("""COMPUTED_VALUE"""),40910.0)</f>
        <v>40910</v>
      </c>
    </row>
    <row r="460">
      <c r="A460" s="59" t="str">
        <f>IFERROR(__xludf.DUMMYFUNCTION("""COMPUTED_VALUE"""),"Rail Maze Pro / HD")</f>
        <v>Rail Maze Pro / HD</v>
      </c>
      <c r="B460" s="60"/>
      <c r="C460" s="61" t="str">
        <f>IFERROR(__xludf.DUMMYFUNCTION("""COMPUTED_VALUE"""),"Yes")</f>
        <v>Yes</v>
      </c>
      <c r="D460" s="62"/>
      <c r="E460" s="61" t="str">
        <f>IFERROR(__xludf.DUMMYFUNCTION("""COMPUTED_VALUE"""),"Dizzy")</f>
        <v>Dizzy</v>
      </c>
      <c r="F460" s="63">
        <f>IFERROR(__xludf.DUMMYFUNCTION("""COMPUTED_VALUE"""),40910.0)</f>
        <v>40910</v>
      </c>
    </row>
    <row r="461">
      <c r="A461" s="59" t="str">
        <f>IFERROR(__xludf.DUMMYFUNCTION("""COMPUTED_VALUE"""),"StickBo free")</f>
        <v>StickBo free</v>
      </c>
      <c r="B461" s="60"/>
      <c r="C461" s="61" t="str">
        <f>IFERROR(__xludf.DUMMYFUNCTION("""COMPUTED_VALUE"""),"Yes")</f>
        <v>Yes</v>
      </c>
      <c r="D461" s="62" t="str">
        <f>IFERROR(__xludf.DUMMYFUNCTION("""COMPUTED_VALUE"""),"able to buy full version")</f>
        <v>able to buy full version</v>
      </c>
      <c r="E461" s="61" t="str">
        <f>IFERROR(__xludf.DUMMYFUNCTION("""COMPUTED_VALUE"""),"ONTOP")</f>
        <v>ONTOP</v>
      </c>
      <c r="F461" s="63">
        <f>IFERROR(__xludf.DUMMYFUNCTION("""COMPUTED_VALUE"""),40910.0)</f>
        <v>40910</v>
      </c>
    </row>
    <row r="462">
      <c r="A462" s="59" t="str">
        <f>IFERROR(__xludf.DUMMYFUNCTION("""COMPUTED_VALUE"""),"Top Girl")</f>
        <v>Top Girl</v>
      </c>
      <c r="B462" s="60"/>
      <c r="C462" s="61" t="str">
        <f>IFERROR(__xludf.DUMMYFUNCTION("""COMPUTED_VALUE"""),"Yes")</f>
        <v>Yes</v>
      </c>
      <c r="D462" s="62"/>
      <c r="E462" s="61"/>
      <c r="F462" s="63">
        <f>IFERROR(__xludf.DUMMYFUNCTION("""COMPUTED_VALUE"""),40910.0)</f>
        <v>40910</v>
      </c>
    </row>
    <row r="463">
      <c r="A463" s="59" t="str">
        <f>IFERROR(__xludf.DUMMYFUNCTION("""COMPUTED_VALUE"""),"MegaJump")</f>
        <v>MegaJump</v>
      </c>
      <c r="B463" s="60"/>
      <c r="C463" s="61" t="str">
        <f>IFERROR(__xludf.DUMMYFUNCTION("""COMPUTED_VALUE"""),"Yes")</f>
        <v>Yes</v>
      </c>
      <c r="D463" s="62" t="str">
        <f>IFERROR(__xludf.DUMMYFUNCTION("""COMPUTED_VALUE"""),"Can purchase coins and unlock things")</f>
        <v>Can purchase coins and unlock things</v>
      </c>
      <c r="E463" s="61" t="str">
        <f>IFERROR(__xludf.DUMMYFUNCTION("""COMPUTED_VALUE"""),"Gamecom")</f>
        <v>Gamecom</v>
      </c>
      <c r="F463" s="63">
        <f>IFERROR(__xludf.DUMMYFUNCTION("""COMPUTED_VALUE"""),40909.0)</f>
        <v>40909</v>
      </c>
    </row>
    <row r="464">
      <c r="A464" s="59" t="str">
        <f>IFERROR(__xludf.DUMMYFUNCTION("""COMPUTED_VALUE"""),"Sfera")</f>
        <v>Sfera</v>
      </c>
      <c r="B464" s="60"/>
      <c r="C464" s="61" t="str">
        <f>IFERROR(__xludf.DUMMYFUNCTION("""COMPUTED_VALUE"""),"Yes")</f>
        <v>Yes</v>
      </c>
      <c r="D464" s="62" t="str">
        <f>IFERROR(__xludf.DUMMYFUNCTION("""COMPUTED_VALUE"""),"Works perfectly for all purchases")</f>
        <v>Works perfectly for all purchases</v>
      </c>
      <c r="E464" s="61" t="str">
        <f>IFERROR(__xludf.DUMMYFUNCTION("""COMPUTED_VALUE"""),"Arayel")</f>
        <v>Arayel</v>
      </c>
      <c r="F464" s="63">
        <f>IFERROR(__xludf.DUMMYFUNCTION("""COMPUTED_VALUE"""),40909.0)</f>
        <v>40909</v>
      </c>
    </row>
    <row r="465">
      <c r="A465" s="59" t="str">
        <f>IFERROR(__xludf.DUMMYFUNCTION("""COMPUTED_VALUE"""),"Space City")</f>
        <v>Space City</v>
      </c>
      <c r="B465" s="60"/>
      <c r="C465" s="61" t="str">
        <f>IFERROR(__xludf.DUMMYFUNCTION("""COMPUTED_VALUE"""),"Yes")</f>
        <v>Yes</v>
      </c>
      <c r="D465" s="62" t="str">
        <f>IFERROR(__xludf.DUMMYFUNCTION("""COMPUTED_VALUE"""),"Works")</f>
        <v>Works</v>
      </c>
      <c r="E465" s="61" t="str">
        <f>IFERROR(__xludf.DUMMYFUNCTION("""COMPUTED_VALUE"""),"Signe")</f>
        <v>Signe</v>
      </c>
      <c r="F465" s="63">
        <f>IFERROR(__xludf.DUMMYFUNCTION("""COMPUTED_VALUE"""),40909.0)</f>
        <v>40909</v>
      </c>
    </row>
    <row r="466">
      <c r="A466" s="59" t="str">
        <f>IFERROR(__xludf.DUMMYFUNCTION("""COMPUTED_VALUE"""),"Tweetcaster for Twitter")</f>
        <v>Tweetcaster for Twitter</v>
      </c>
      <c r="B466" s="60"/>
      <c r="C466" s="61" t="str">
        <f>IFERROR(__xludf.DUMMYFUNCTION("""COMPUTED_VALUE"""),"Yes")</f>
        <v>Yes</v>
      </c>
      <c r="D466" s="62" t="str">
        <f>IFERROR(__xludf.DUMMYFUNCTION("""COMPUTED_VALUE"""),"Free to Pro (No Ads)")</f>
        <v>Free to Pro (No Ads)</v>
      </c>
      <c r="E466" s="61" t="str">
        <f>IFERROR(__xludf.DUMMYFUNCTION("""COMPUTED_VALUE"""),"BruiserBrody")</f>
        <v>BruiserBrody</v>
      </c>
      <c r="F466" s="63">
        <f>IFERROR(__xludf.DUMMYFUNCTION("""COMPUTED_VALUE"""),40909.0)</f>
        <v>40909</v>
      </c>
    </row>
    <row r="467">
      <c r="A467" s="59" t="str">
        <f>IFERROR(__xludf.DUMMYFUNCTION("""COMPUTED_VALUE"""),"Wedding Dash")</f>
        <v>Wedding Dash</v>
      </c>
      <c r="B467" s="60"/>
      <c r="C467" s="61" t="str">
        <f>IFERROR(__xludf.DUMMYFUNCTION("""COMPUTED_VALUE"""),"Yes")</f>
        <v>Yes</v>
      </c>
      <c r="D467" s="62" t="str">
        <f>IFERROR(__xludf.DUMMYFUNCTION("""COMPUTED_VALUE"""),"Works")</f>
        <v>Works</v>
      </c>
      <c r="E467" s="61" t="str">
        <f>IFERROR(__xludf.DUMMYFUNCTION("""COMPUTED_VALUE"""),"Everdata")</f>
        <v>Everdata</v>
      </c>
      <c r="F467" s="63">
        <f>IFERROR(__xludf.DUMMYFUNCTION("""COMPUTED_VALUE"""),40909.0)</f>
        <v>40909</v>
      </c>
    </row>
    <row r="468">
      <c r="A468" s="59" t="str">
        <f>IFERROR(__xludf.DUMMYFUNCTION("""COMPUTED_VALUE"""),"Abdominaux en 8 minutes")</f>
        <v>Abdominaux en 8 minutes</v>
      </c>
      <c r="B468" s="60"/>
      <c r="C468" s="61" t="str">
        <f>IFERROR(__xludf.DUMMYFUNCTION("""COMPUTED_VALUE"""),"Yes")</f>
        <v>Yes</v>
      </c>
      <c r="D468" s="62"/>
      <c r="E468" s="61" t="str">
        <f>IFERROR(__xludf.DUMMYFUNCTION("""COMPUTED_VALUE"""),"Dav ")</f>
        <v>Dav </v>
      </c>
      <c r="F468" s="63">
        <f>IFERROR(__xludf.DUMMYFUNCTION("""COMPUTED_VALUE"""),40908.0)</f>
        <v>40908</v>
      </c>
    </row>
    <row r="469">
      <c r="A469" s="59" t="str">
        <f>IFERROR(__xludf.DUMMYFUNCTION("""COMPUTED_VALUE"""),"CanKnockDown")</f>
        <v>CanKnockDown</v>
      </c>
      <c r="B469" s="60"/>
      <c r="C469" s="61" t="str">
        <f>IFERROR(__xludf.DUMMYFUNCTION("""COMPUTED_VALUE"""),"Yes")</f>
        <v>Yes</v>
      </c>
      <c r="D469" s="62" t="str">
        <f>IFERROR(__xludf.DUMMYFUNCTION("""COMPUTED_VALUE"""),"Unlock ""EXTRA STUFF""")</f>
        <v>Unlock "EXTRA STUFF"</v>
      </c>
      <c r="E469" s="61" t="str">
        <f>IFERROR(__xludf.DUMMYFUNCTION("""COMPUTED_VALUE"""),"SaviorAdam")</f>
        <v>SaviorAdam</v>
      </c>
      <c r="F469" s="63">
        <f>IFERROR(__xludf.DUMMYFUNCTION("""COMPUTED_VALUE"""),40908.0)</f>
        <v>40908</v>
      </c>
    </row>
    <row r="470">
      <c r="A470" s="59" t="str">
        <f>IFERROR(__xludf.DUMMYFUNCTION("""COMPUTED_VALUE"""),"Dungeon Defenders")</f>
        <v>Dungeon Defenders</v>
      </c>
      <c r="B470" s="60"/>
      <c r="C470" s="61" t="str">
        <f>IFERROR(__xludf.DUMMYFUNCTION("""COMPUTED_VALUE"""),"Yes")</f>
        <v>Yes</v>
      </c>
      <c r="D470" s="62" t="str">
        <f>IFERROR(__xludf.DUMMYFUNCTION("""COMPUTED_VALUE"""),"Everything works")</f>
        <v>Everything works</v>
      </c>
      <c r="E470" s="61" t="str">
        <f>IFERROR(__xludf.DUMMYFUNCTION("""COMPUTED_VALUE"""),"Greek-Immortal")</f>
        <v>Greek-Immortal</v>
      </c>
      <c r="F470" s="63">
        <f>IFERROR(__xludf.DUMMYFUNCTION("""COMPUTED_VALUE"""),40908.0)</f>
        <v>40908</v>
      </c>
    </row>
    <row r="471">
      <c r="A471" s="59" t="str">
        <f>IFERROR(__xludf.DUMMYFUNCTION("""COMPUTED_VALUE"""),"My country")</f>
        <v>My country</v>
      </c>
      <c r="B471" s="60"/>
      <c r="C471" s="61" t="str">
        <f>IFERROR(__xludf.DUMMYFUNCTION("""COMPUTED_VALUE"""),"Yes")</f>
        <v>Yes</v>
      </c>
      <c r="D471" s="62" t="str">
        <f>IFERROR(__xludf.DUMMYFUNCTION("""COMPUTED_VALUE"""),"Bucks and money both work all amounts")</f>
        <v>Bucks and money both work all amounts</v>
      </c>
      <c r="E471" s="61" t="str">
        <f>IFERROR(__xludf.DUMMYFUNCTION("""COMPUTED_VALUE"""),"Mahoney")</f>
        <v>Mahoney</v>
      </c>
      <c r="F471" s="63">
        <f>IFERROR(__xludf.DUMMYFUNCTION("""COMPUTED_VALUE"""),40908.0)</f>
        <v>40908</v>
      </c>
    </row>
    <row r="472">
      <c r="A472" s="59" t="str">
        <f>IFERROR(__xludf.DUMMYFUNCTION("""COMPUTED_VALUE"""),"Project MOS")</f>
        <v>Project MOS</v>
      </c>
      <c r="B472" s="60"/>
      <c r="C472" s="61" t="str">
        <f>IFERROR(__xludf.DUMMYFUNCTION("""COMPUTED_VALUE"""),"Yes")</f>
        <v>Yes</v>
      </c>
      <c r="D472" s="62" t="str">
        <f>IFERROR(__xludf.DUMMYFUNCTION("""COMPUTED_VALUE"""),"Works fine no errors")</f>
        <v>Works fine no errors</v>
      </c>
      <c r="E472" s="61" t="str">
        <f>IFERROR(__xludf.DUMMYFUNCTION("""COMPUTED_VALUE"""),"Signe")</f>
        <v>Signe</v>
      </c>
      <c r="F472" s="63">
        <f>IFERROR(__xludf.DUMMYFUNCTION("""COMPUTED_VALUE"""),40908.0)</f>
        <v>40908</v>
      </c>
    </row>
    <row r="473">
      <c r="A473" s="59" t="str">
        <f>IFERROR(__xludf.DUMMYFUNCTION("""COMPUTED_VALUE"""),"Surviving High School (Content)")</f>
        <v>Surviving High School (Content)</v>
      </c>
      <c r="B473" s="60"/>
      <c r="C473" s="61" t="str">
        <f>IFERROR(__xludf.DUMMYFUNCTION("""COMPUTED_VALUE"""),"Yes")</f>
        <v>Yes</v>
      </c>
      <c r="D473" s="62" t="str">
        <f>IFERROR(__xludf.DUMMYFUNCTION("""COMPUTED_VALUE"""),"You will be able to download all Surviving High School Content")</f>
        <v>You will be able to download all Surviving High School Content</v>
      </c>
      <c r="E473" s="61" t="str">
        <f>IFERROR(__xludf.DUMMYFUNCTION("""COMPUTED_VALUE"""),"Unknown")</f>
        <v>Unknown</v>
      </c>
      <c r="F473" s="63">
        <f>IFERROR(__xludf.DUMMYFUNCTION("""COMPUTED_VALUE"""),40908.0)</f>
        <v>40908</v>
      </c>
    </row>
    <row r="474">
      <c r="A474" s="59" t="str">
        <f>IFERROR(__xludf.DUMMYFUNCTION("""COMPUTED_VALUE"""),"Virtual City (Free version)")</f>
        <v>Virtual City (Free version)</v>
      </c>
      <c r="B474" s="60"/>
      <c r="C474" s="61" t="str">
        <f>IFERROR(__xludf.DUMMYFUNCTION("""COMPUTED_VALUE"""),"Yes")</f>
        <v>Yes</v>
      </c>
      <c r="D474" s="62" t="str">
        <f>IFERROR(__xludf.DUMMYFUNCTION("""COMPUTED_VALUE"""),"Free → Full")</f>
        <v>Free → Full</v>
      </c>
      <c r="E474" s="61" t="str">
        <f>IFERROR(__xludf.DUMMYFUNCTION("""COMPUTED_VALUE"""),"Signe")</f>
        <v>Signe</v>
      </c>
      <c r="F474" s="63">
        <f>IFERROR(__xludf.DUMMYFUNCTION("""COMPUTED_VALUE"""),40908.0)</f>
        <v>40908</v>
      </c>
    </row>
    <row r="475">
      <c r="A475" s="59" t="str">
        <f>IFERROR(__xludf.DUMMYFUNCTION("""COMPUTED_VALUE"""),"Zombie Lane")</f>
        <v>Zombie Lane</v>
      </c>
      <c r="B475" s="60"/>
      <c r="C475" s="61" t="str">
        <f>IFERROR(__xludf.DUMMYFUNCTION("""COMPUTED_VALUE"""),"Yes")</f>
        <v>Yes</v>
      </c>
      <c r="D475" s="62" t="str">
        <f>IFERROR(__xludf.DUMMYFUNCTION("""COMPUTED_VALUE"""),"works like charm!")</f>
        <v>works like charm!</v>
      </c>
      <c r="E475" s="61" t="str">
        <f>IFERROR(__xludf.DUMMYFUNCTION("""COMPUTED_VALUE"""),"Greek-Immortal")</f>
        <v>Greek-Immortal</v>
      </c>
      <c r="F475" s="63">
        <f>IFERROR(__xludf.DUMMYFUNCTION("""COMPUTED_VALUE"""),40908.0)</f>
        <v>40908</v>
      </c>
    </row>
    <row r="476">
      <c r="A476" s="59" t="str">
        <f>IFERROR(__xludf.DUMMYFUNCTION("""COMPUTED_VALUE"""),"Dead on Arrival")</f>
        <v>Dead on Arrival</v>
      </c>
      <c r="B476" s="60"/>
      <c r="C476" s="61" t="str">
        <f>IFERROR(__xludf.DUMMYFUNCTION("""COMPUTED_VALUE"""),"Yes")</f>
        <v>Yes</v>
      </c>
      <c r="D476" s="62" t="str">
        <f>IFERROR(__xludf.DUMMYFUNCTION("""COMPUTED_VALUE"""),"Works fine remove ads/give money")</f>
        <v>Works fine remove ads/give money</v>
      </c>
      <c r="E476" s="61" t="str">
        <f>IFERROR(__xludf.DUMMYFUNCTION("""COMPUTED_VALUE"""),"Signe")</f>
        <v>Signe</v>
      </c>
      <c r="F476" s="63">
        <f>IFERROR(__xludf.DUMMYFUNCTION("""COMPUTED_VALUE"""),40907.0)</f>
        <v>40907</v>
      </c>
    </row>
    <row r="477">
      <c r="A477" s="59" t="str">
        <f>IFERROR(__xludf.DUMMYFUNCTION("""COMPUTED_VALUE"""),"Graffiti Can")</f>
        <v>Graffiti Can</v>
      </c>
      <c r="B477" s="60"/>
      <c r="C477" s="61" t="str">
        <f>IFERROR(__xludf.DUMMYFUNCTION("""COMPUTED_VALUE"""),"Yes")</f>
        <v>Yes</v>
      </c>
      <c r="D477" s="62" t="str">
        <f>IFERROR(__xludf.DUMMYFUNCTION("""COMPUTED_VALUE"""),"Unlocks the art pack")</f>
        <v>Unlocks the art pack</v>
      </c>
      <c r="E477" s="61" t="str">
        <f>IFERROR(__xludf.DUMMYFUNCTION("""COMPUTED_VALUE"""),"rV")</f>
        <v>rV</v>
      </c>
      <c r="F477" s="63">
        <f>IFERROR(__xludf.DUMMYFUNCTION("""COMPUTED_VALUE"""),40907.0)</f>
        <v>40907</v>
      </c>
    </row>
    <row r="478">
      <c r="A478" s="59" t="str">
        <f>IFERROR(__xludf.DUMMYFUNCTION("""COMPUTED_VALUE"""),"Mafia Wars (Classic)")</f>
        <v>Mafia Wars (Classic)</v>
      </c>
      <c r="B478" s="60"/>
      <c r="C478" s="61" t="str">
        <f>IFERROR(__xludf.DUMMYFUNCTION("""COMPUTED_VALUE"""),"Yes")</f>
        <v>Yes</v>
      </c>
      <c r="D478" s="62" t="str">
        <f>IFERROR(__xludf.DUMMYFUNCTION("""COMPUTED_VALUE"""),"All in-app purchases work perfectly")</f>
        <v>All in-app purchases work perfectly</v>
      </c>
      <c r="E478" s="61" t="str">
        <f>IFERROR(__xludf.DUMMYFUNCTION("""COMPUTED_VALUE"""),"rV")</f>
        <v>rV</v>
      </c>
      <c r="F478" s="63">
        <f>IFERROR(__xludf.DUMMYFUNCTION("""COMPUTED_VALUE"""),40907.0)</f>
        <v>40907</v>
      </c>
    </row>
    <row r="479">
      <c r="A479" s="59" t="str">
        <f>IFERROR(__xludf.DUMMYFUNCTION("""COMPUTED_VALUE"""),"Pet Pony")</f>
        <v>Pet Pony</v>
      </c>
      <c r="B479" s="60"/>
      <c r="C479" s="61" t="str">
        <f>IFERROR(__xludf.DUMMYFUNCTION("""COMPUTED_VALUE"""),"Yes")</f>
        <v>Yes</v>
      </c>
      <c r="D479" s="62"/>
      <c r="E479" s="61" t="str">
        <f>IFERROR(__xludf.DUMMYFUNCTION("""COMPUTED_VALUE"""),"ADRL")</f>
        <v>ADRL</v>
      </c>
      <c r="F479" s="63">
        <f>IFERROR(__xludf.DUMMYFUNCTION("""COMPUTED_VALUE"""),40907.0)</f>
        <v>40907</v>
      </c>
    </row>
    <row r="480">
      <c r="A480" s="59" t="str">
        <f>IFERROR(__xludf.DUMMYFUNCTION("""COMPUTED_VALUE"""),"Rope'n'fly From Dusk Till Dawn")</f>
        <v>Rope'n'fly From Dusk Till Dawn</v>
      </c>
      <c r="B480" s="60"/>
      <c r="C480" s="61" t="str">
        <f>IFERROR(__xludf.DUMMYFUNCTION("""COMPUTED_VALUE"""),"Yes")</f>
        <v>Yes</v>
      </c>
      <c r="D480" s="62" t="str">
        <f>IFERROR(__xludf.DUMMYFUNCTION("""COMPUTED_VALUE"""),"Unlock all characters and items")</f>
        <v>Unlock all characters and items</v>
      </c>
      <c r="E480" s="61" t="str">
        <f>IFERROR(__xludf.DUMMYFUNCTION("""COMPUTED_VALUE"""),"Prespawn")</f>
        <v>Prespawn</v>
      </c>
      <c r="F480" s="63">
        <f>IFERROR(__xludf.DUMMYFUNCTION("""COMPUTED_VALUE"""),40907.0)</f>
        <v>40907</v>
      </c>
    </row>
    <row r="481">
      <c r="A481" s="59" t="str">
        <f>IFERROR(__xludf.DUMMYFUNCTION("""COMPUTED_VALUE"""),"Warp Plus")</f>
        <v>Warp Plus</v>
      </c>
      <c r="B481" s="60"/>
      <c r="C481" s="61" t="str">
        <f>IFERROR(__xludf.DUMMYFUNCTION("""COMPUTED_VALUE"""),"Yes")</f>
        <v>Yes</v>
      </c>
      <c r="D481" s="62" t="str">
        <f>IFERROR(__xludf.DUMMYFUNCTION("""COMPUTED_VALUE"""),"Works on everything in the in-app store")</f>
        <v>Works on everything in the in-app store</v>
      </c>
      <c r="E481" s="61" t="str">
        <f>IFERROR(__xludf.DUMMYFUNCTION("""COMPUTED_VALUE"""),"Signe")</f>
        <v>Signe</v>
      </c>
      <c r="F481" s="63">
        <f>IFERROR(__xludf.DUMMYFUNCTION("""COMPUTED_VALUE"""),40907.0)</f>
        <v>40907</v>
      </c>
    </row>
    <row r="482">
      <c r="A482" s="59" t="str">
        <f>IFERROR(__xludf.DUMMYFUNCTION("""COMPUTED_VALUE"""),"Audiobooks (blue icon)")</f>
        <v>Audiobooks (blue icon)</v>
      </c>
      <c r="B482" s="60"/>
      <c r="C482" s="61" t="str">
        <f>IFERROR(__xludf.DUMMYFUNCTION("""COMPUTED_VALUE"""),"Yes")</f>
        <v>Yes</v>
      </c>
      <c r="D482" s="62" t="str">
        <f>IFERROR(__xludf.DUMMYFUNCTION("""COMPUTED_VALUE"""),"Just like that.")</f>
        <v>Just like that.</v>
      </c>
      <c r="E482" s="61" t="str">
        <f>IFERROR(__xludf.DUMMYFUNCTION("""COMPUTED_VALUE"""),"theBruce")</f>
        <v>theBruce</v>
      </c>
      <c r="F482" s="63">
        <f>IFERROR(__xludf.DUMMYFUNCTION("""COMPUTED_VALUE"""),40906.0)</f>
        <v>40906</v>
      </c>
    </row>
    <row r="483">
      <c r="A483" s="59" t="str">
        <f>IFERROR(__xludf.DUMMYFUNCTION("""COMPUTED_VALUE"""),"Cut The Rope: Comics")</f>
        <v>Cut The Rope: Comics</v>
      </c>
      <c r="B483" s="60"/>
      <c r="C483" s="61" t="str">
        <f>IFERROR(__xludf.DUMMYFUNCTION("""COMPUTED_VALUE"""),"Yes")</f>
        <v>Yes</v>
      </c>
      <c r="D483" s="62" t="str">
        <f>IFERROR(__xludf.DUMMYFUNCTION("""COMPUTED_VALUE"""),"Works Perfectly")</f>
        <v>Works Perfectly</v>
      </c>
      <c r="E483" s="61" t="str">
        <f>IFERROR(__xludf.DUMMYFUNCTION("""COMPUTED_VALUE"""),"Greek-Immortal")</f>
        <v>Greek-Immortal</v>
      </c>
      <c r="F483" s="63">
        <f>IFERROR(__xludf.DUMMYFUNCTION("""COMPUTED_VALUE"""),40906.0)</f>
        <v>40906</v>
      </c>
    </row>
    <row r="484">
      <c r="A484" s="59" t="str">
        <f>IFERROR(__xludf.DUMMYFUNCTION("""COMPUTED_VALUE"""),"DigSectional")</f>
        <v>DigSectional</v>
      </c>
      <c r="B484" s="60"/>
      <c r="C484" s="61" t="str">
        <f>IFERROR(__xludf.DUMMYFUNCTION("""COMPUTED_VALUE"""),"Yes")</f>
        <v>Yes</v>
      </c>
      <c r="D484" s="62" t="str">
        <f>IFERROR(__xludf.DUMMYFUNCTION("""COMPUTED_VALUE"""),"Synthetic Vision and Unlimited Yearly subscription")</f>
        <v>Synthetic Vision and Unlimited Yearly subscription</v>
      </c>
      <c r="E484" s="61" t="str">
        <f>IFERROR(__xludf.DUMMYFUNCTION("""COMPUTED_VALUE"""),"Atrcap")</f>
        <v>Atrcap</v>
      </c>
      <c r="F484" s="63">
        <f>IFERROR(__xludf.DUMMYFUNCTION("""COMPUTED_VALUE"""),40906.0)</f>
        <v>40906</v>
      </c>
    </row>
    <row r="485">
      <c r="A485" s="59" t="str">
        <f>IFERROR(__xludf.DUMMYFUNCTION("""COMPUTED_VALUE"""),"Flightkit")</f>
        <v>Flightkit</v>
      </c>
      <c r="B485" s="60"/>
      <c r="C485" s="61" t="str">
        <f>IFERROR(__xludf.DUMMYFUNCTION("""COMPUTED_VALUE"""),"Yes")</f>
        <v>Yes</v>
      </c>
      <c r="D485" s="62" t="str">
        <f>IFERROR(__xludf.DUMMYFUNCTION("""COMPUTED_VALUE"""),"Yearly subscription ")</f>
        <v>Yearly subscription </v>
      </c>
      <c r="E485" s="61" t="str">
        <f>IFERROR(__xludf.DUMMYFUNCTION("""COMPUTED_VALUE"""),"Atrcap")</f>
        <v>Atrcap</v>
      </c>
      <c r="F485" s="63">
        <f>IFERROR(__xludf.DUMMYFUNCTION("""COMPUTED_VALUE"""),40906.0)</f>
        <v>40906</v>
      </c>
    </row>
    <row r="486">
      <c r="A486" s="59" t="str">
        <f>IFERROR(__xludf.DUMMYFUNCTION("""COMPUTED_VALUE"""),"Flying Magazine")</f>
        <v>Flying Magazine</v>
      </c>
      <c r="B486" s="60"/>
      <c r="C486" s="61" t="str">
        <f>IFERROR(__xludf.DUMMYFUNCTION("""COMPUTED_VALUE"""),"Yes")</f>
        <v>Yes</v>
      </c>
      <c r="D486" s="62" t="str">
        <f>IFERROR(__xludf.DUMMYFUNCTION("""COMPUTED_VALUE"""),"Magazine purchase ")</f>
        <v>Magazine purchase </v>
      </c>
      <c r="E486" s="61" t="str">
        <f>IFERROR(__xludf.DUMMYFUNCTION("""COMPUTED_VALUE"""),"Atrcap")</f>
        <v>Atrcap</v>
      </c>
      <c r="F486" s="63">
        <f>IFERROR(__xludf.DUMMYFUNCTION("""COMPUTED_VALUE"""),40906.0)</f>
        <v>40906</v>
      </c>
    </row>
    <row r="487">
      <c r="A487" s="59" t="str">
        <f>IFERROR(__xludf.DUMMYFUNCTION("""COMPUTED_VALUE"""),"Hearts Multiplayer HD")</f>
        <v>Hearts Multiplayer HD</v>
      </c>
      <c r="B487" s="60"/>
      <c r="C487" s="61" t="str">
        <f>IFERROR(__xludf.DUMMYFUNCTION("""COMPUTED_VALUE"""),"Yes")</f>
        <v>Yes</v>
      </c>
      <c r="D487" s="62"/>
      <c r="E487" s="61" t="str">
        <f>IFERROR(__xludf.DUMMYFUNCTION("""COMPUTED_VALUE"""),"Moose")</f>
        <v>Moose</v>
      </c>
      <c r="F487" s="63">
        <f>IFERROR(__xludf.DUMMYFUNCTION("""COMPUTED_VALUE"""),40906.0)</f>
        <v>40906</v>
      </c>
    </row>
    <row r="488">
      <c r="A488" s="59" t="str">
        <f>IFERROR(__xludf.DUMMYFUNCTION("""COMPUTED_VALUE"""),"IMDB Triva")</f>
        <v>IMDB Triva</v>
      </c>
      <c r="B488" s="60"/>
      <c r="C488" s="61" t="str">
        <f>IFERROR(__xludf.DUMMYFUNCTION("""COMPUTED_VALUE"""),"Yes")</f>
        <v>Yes</v>
      </c>
      <c r="D488" s="62" t="str">
        <f>IFERROR(__xludf.DUMMYFUNCTION("""COMPUTED_VALUE"""),"Able to purchase new packs")</f>
        <v>Able to purchase new packs</v>
      </c>
      <c r="E488" s="61" t="str">
        <f>IFERROR(__xludf.DUMMYFUNCTION("""COMPUTED_VALUE"""),"anon")</f>
        <v>anon</v>
      </c>
      <c r="F488" s="63">
        <f>IFERROR(__xludf.DUMMYFUNCTION("""COMPUTED_VALUE"""),40906.0)</f>
        <v>40906</v>
      </c>
    </row>
    <row r="489">
      <c r="A489" s="59" t="str">
        <f>IFERROR(__xludf.DUMMYFUNCTION("""COMPUTED_VALUE"""),"Key Aviation publishing")</f>
        <v>Key Aviation publishing</v>
      </c>
      <c r="B489" s="60"/>
      <c r="C489" s="61" t="str">
        <f>IFERROR(__xludf.DUMMYFUNCTION("""COMPUTED_VALUE"""),"Yes")</f>
        <v>Yes</v>
      </c>
      <c r="D489" s="62" t="str">
        <f>IFERROR(__xludf.DUMMYFUNCTION("""COMPUTED_VALUE"""),"Magazine purchase")</f>
        <v>Magazine purchase</v>
      </c>
      <c r="E489" s="61" t="str">
        <f>IFERROR(__xludf.DUMMYFUNCTION("""COMPUTED_VALUE"""),"Atrcap")</f>
        <v>Atrcap</v>
      </c>
      <c r="F489" s="63">
        <f>IFERROR(__xludf.DUMMYFUNCTION("""COMPUTED_VALUE"""),40906.0)</f>
        <v>40906</v>
      </c>
    </row>
    <row r="490">
      <c r="A490" s="59" t="str">
        <f>IFERROR(__xludf.DUMMYFUNCTION("""COMPUTED_VALUE"""),"Manga Rock")</f>
        <v>Manga Rock</v>
      </c>
      <c r="B490" s="60"/>
      <c r="C490" s="61" t="str">
        <f>IFERROR(__xludf.DUMMYFUNCTION("""COMPUTED_VALUE"""),"Yes")</f>
        <v>Yes</v>
      </c>
      <c r="D490" s="62" t="str">
        <f>IFERROR(__xludf.DUMMYFUNCTION("""COMPUTED_VALUE"""),"Free → Unlocked Version")</f>
        <v>Free → Unlocked Version</v>
      </c>
      <c r="E490" s="61" t="str">
        <f>IFERROR(__xludf.DUMMYFUNCTION("""COMPUTED_VALUE"""),"ShinSee")</f>
        <v>ShinSee</v>
      </c>
      <c r="F490" s="63">
        <f>IFERROR(__xludf.DUMMYFUNCTION("""COMPUTED_VALUE"""),40906.0)</f>
        <v>40906</v>
      </c>
    </row>
    <row r="491">
      <c r="A491" s="59" t="str">
        <f>IFERROR(__xludf.DUMMYFUNCTION("""COMPUTED_VALUE"""),"Monster Shooter")</f>
        <v>Monster Shooter</v>
      </c>
      <c r="B491" s="60"/>
      <c r="C491" s="61" t="str">
        <f>IFERROR(__xludf.DUMMYFUNCTION("""COMPUTED_VALUE"""),"Yes")</f>
        <v>Yes</v>
      </c>
      <c r="D491" s="62"/>
      <c r="E491" s="61" t="str">
        <f>IFERROR(__xludf.DUMMYFUNCTION("""COMPUTED_VALUE"""),"TheJuice")</f>
        <v>TheJuice</v>
      </c>
      <c r="F491" s="63">
        <f>IFERROR(__xludf.DUMMYFUNCTION("""COMPUTED_VALUE"""),40906.0)</f>
        <v>40906</v>
      </c>
    </row>
    <row r="492">
      <c r="A492" s="59" t="str">
        <f>IFERROR(__xludf.DUMMYFUNCTION("""COMPUTED_VALUE"""),"Pixlr-o-Matic")</f>
        <v>Pixlr-o-Matic</v>
      </c>
      <c r="B492" s="60"/>
      <c r="C492" s="61" t="str">
        <f>IFERROR(__xludf.DUMMYFUNCTION("""COMPUTED_VALUE"""),"Yes")</f>
        <v>Yes</v>
      </c>
      <c r="D492" s="62" t="str">
        <f>IFERROR(__xludf.DUMMYFUNCTION("""COMPUTED_VALUE"""),"To purchase ALL filters. ")</f>
        <v>To purchase ALL filters. </v>
      </c>
      <c r="E492" s="61"/>
      <c r="F492" s="63">
        <f>IFERROR(__xludf.DUMMYFUNCTION("""COMPUTED_VALUE"""),40906.0)</f>
        <v>40906</v>
      </c>
    </row>
    <row r="493">
      <c r="A493" s="59" t="str">
        <f>IFERROR(__xludf.DUMMYFUNCTION("""COMPUTED_VALUE"""),"Beejive GT")</f>
        <v>Beejive GT</v>
      </c>
      <c r="B493" s="60"/>
      <c r="C493" s="61" t="str">
        <f>IFERROR(__xludf.DUMMYFUNCTION("""COMPUTED_VALUE"""),"Yes")</f>
        <v>Yes</v>
      </c>
      <c r="D493" s="62"/>
      <c r="E493" s="61" t="str">
        <f>IFERROR(__xludf.DUMMYFUNCTION("""COMPUTED_VALUE"""),"lex")</f>
        <v>lex</v>
      </c>
      <c r="F493" s="63">
        <f>IFERROR(__xludf.DUMMYFUNCTION("""COMPUTED_VALUE"""),40905.0)</f>
        <v>40905</v>
      </c>
    </row>
    <row r="494">
      <c r="A494" s="59" t="str">
        <f>IFERROR(__xludf.DUMMYFUNCTION("""COMPUTED_VALUE"""),"Cordy")</f>
        <v>Cordy</v>
      </c>
      <c r="B494" s="60"/>
      <c r="C494" s="61" t="str">
        <f>IFERROR(__xludf.DUMMYFUNCTION("""COMPUTED_VALUE"""),"Yes")</f>
        <v>Yes</v>
      </c>
      <c r="D494" s="62" t="str">
        <f>IFERROR(__xludf.DUMMYFUNCTION("""COMPUTED_VALUE"""),"Unlock Full version + costume packs")</f>
        <v>Unlock Full version + costume packs</v>
      </c>
      <c r="E494" s="61" t="str">
        <f>IFERROR(__xludf.DUMMYFUNCTION("""COMPUTED_VALUE"""),"Guk")</f>
        <v>Guk</v>
      </c>
      <c r="F494" s="63">
        <f>IFERROR(__xludf.DUMMYFUNCTION("""COMPUTED_VALUE"""),40905.0)</f>
        <v>40905</v>
      </c>
    </row>
    <row r="495">
      <c r="A495" s="59" t="str">
        <f>IFERROR(__xludf.DUMMYFUNCTION("""COMPUTED_VALUE"""),"Dark Meadow v. 1.0.2")</f>
        <v>Dark Meadow v. 1.0.2</v>
      </c>
      <c r="B495" s="60" t="str">
        <f>IFERROR(__xludf.DUMMYFUNCTION("""COMPUTED_VALUE"""),"1.0.1")</f>
        <v>1.0.1</v>
      </c>
      <c r="C495" s="61" t="str">
        <f>IFERROR(__xludf.DUMMYFUNCTION("""COMPUTED_VALUE"""),"Yes")</f>
        <v>Yes</v>
      </c>
      <c r="D495" s="62" t="str">
        <f>IFERROR(__xludf.DUMMYFUNCTION("""COMPUTED_VALUE"""),"Guk: It works, but only if you purchased/genuinely own the apps, error occurs because it could not authenticate the ownership of the games.
phatpham: Works perfectly with Dark Meadow v1.0.1 crack")</f>
        <v>Guk: It works, but only if you purchased/genuinely own the apps, error occurs because it could not authenticate the ownership of the games.
phatpham: Works perfectly with Dark Meadow v1.0.1 crack</v>
      </c>
      <c r="E495" s="61" t="str">
        <f>IFERROR(__xludf.DUMMYFUNCTION("""COMPUTED_VALUE"""),"Guk
phatpham")</f>
        <v>Guk
phatpham</v>
      </c>
      <c r="F495" s="63">
        <f>IFERROR(__xludf.DUMMYFUNCTION("""COMPUTED_VALUE"""),40905.0)</f>
        <v>40905</v>
      </c>
    </row>
    <row r="496">
      <c r="A496" s="59" t="str">
        <f>IFERROR(__xludf.DUMMYFUNCTION("""COMPUTED_VALUE"""),"Dino Cap 2")</f>
        <v>Dino Cap 2</v>
      </c>
      <c r="B496" s="60"/>
      <c r="C496" s="61" t="str">
        <f>IFERROR(__xludf.DUMMYFUNCTION("""COMPUTED_VALUE"""),"Yes")</f>
        <v>Yes</v>
      </c>
      <c r="D496" s="62" t="str">
        <f>IFERROR(__xludf.DUMMYFUNCTION("""COMPUTED_VALUE"""),"Works with coin and XXL Clips.")</f>
        <v>Works with coin and XXL Clips.</v>
      </c>
      <c r="E496" s="61" t="str">
        <f>IFERROR(__xludf.DUMMYFUNCTION("""COMPUTED_VALUE"""),"ducksgotswag")</f>
        <v>ducksgotswag</v>
      </c>
      <c r="F496" s="63">
        <f>IFERROR(__xludf.DUMMYFUNCTION("""COMPUTED_VALUE"""),40905.0)</f>
        <v>40905</v>
      </c>
    </row>
    <row r="497">
      <c r="A497" s="59" t="str">
        <f>IFERROR(__xludf.DUMMYFUNCTION("""COMPUTED_VALUE"""),"Diptic")</f>
        <v>Diptic</v>
      </c>
      <c r="B497" s="60"/>
      <c r="C497" s="61" t="str">
        <f>IFERROR(__xludf.DUMMYFUNCTION("""COMPUTED_VALUE"""),"Yes")</f>
        <v>Yes</v>
      </c>
      <c r="D497" s="62"/>
      <c r="E497" s="61" t="str">
        <f>IFERROR(__xludf.DUMMYFUNCTION("""COMPUTED_VALUE"""),"Greek-Immortal")</f>
        <v>Greek-Immortal</v>
      </c>
      <c r="F497" s="63">
        <f>IFERROR(__xludf.DUMMYFUNCTION("""COMPUTED_VALUE"""),40905.0)</f>
        <v>40905</v>
      </c>
    </row>
    <row r="498">
      <c r="A498" s="59" t="str">
        <f>IFERROR(__xludf.DUMMYFUNCTION("""COMPUTED_VALUE"""),"Hipstamatic Disposable")</f>
        <v>Hipstamatic Disposable</v>
      </c>
      <c r="B498" s="60"/>
      <c r="C498" s="61" t="str">
        <f>IFERROR(__xludf.DUMMYFUNCTION("""COMPUTED_VALUE"""),"Yes")</f>
        <v>Yes</v>
      </c>
      <c r="D498" s="62"/>
      <c r="E498" s="61" t="str">
        <f>IFERROR(__xludf.DUMMYFUNCTION("""COMPUTED_VALUE"""),"Guk")</f>
        <v>Guk</v>
      </c>
      <c r="F498" s="63">
        <f>IFERROR(__xludf.DUMMYFUNCTION("""COMPUTED_VALUE"""),40905.0)</f>
        <v>40905</v>
      </c>
    </row>
    <row r="499">
      <c r="A499" s="59" t="str">
        <f>IFERROR(__xludf.DUMMYFUNCTION("""COMPUTED_VALUE"""),"Masterpiece!")</f>
        <v>Masterpiece!</v>
      </c>
      <c r="B499" s="60"/>
      <c r="C499" s="61" t="str">
        <f>IFERROR(__xludf.DUMMYFUNCTION("""COMPUTED_VALUE"""),"Yes")</f>
        <v>Yes</v>
      </c>
      <c r="D499" s="62" t="str">
        <f>IFERROR(__xludf.DUMMYFUNCTION("""COMPUTED_VALUE"""),"Works perfect! just press on a pic and everything will get unlocked!")</f>
        <v>Works perfect! just press on a pic and everything will get unlocked!</v>
      </c>
      <c r="E499" s="61" t="str">
        <f>IFERROR(__xludf.DUMMYFUNCTION("""COMPUTED_VALUE"""),"Greek-Immortal")</f>
        <v>Greek-Immortal</v>
      </c>
      <c r="F499" s="63">
        <f>IFERROR(__xludf.DUMMYFUNCTION("""COMPUTED_VALUE"""),40905.0)</f>
        <v>40905</v>
      </c>
    </row>
    <row r="500">
      <c r="A500" s="59" t="str">
        <f>IFERROR(__xludf.DUMMYFUNCTION("""COMPUTED_VALUE"""),"Photo Wall")</f>
        <v>Photo Wall</v>
      </c>
      <c r="B500" s="60"/>
      <c r="C500" s="61" t="str">
        <f>IFERROR(__xludf.DUMMYFUNCTION("""COMPUTED_VALUE"""),"Yes")</f>
        <v>Yes</v>
      </c>
      <c r="D500" s="62"/>
      <c r="E500" s="61" t="str">
        <f>IFERROR(__xludf.DUMMYFUNCTION("""COMPUTED_VALUE"""),"Greek-Immortal")</f>
        <v>Greek-Immortal</v>
      </c>
      <c r="F500" s="63">
        <f>IFERROR(__xludf.DUMMYFUNCTION("""COMPUTED_VALUE"""),40905.0)</f>
        <v>40905</v>
      </c>
    </row>
    <row r="501">
      <c r="A501" s="59" t="str">
        <f>IFERROR(__xludf.DUMMYFUNCTION("""COMPUTED_VALUE"""),"Reiner Knizia's ClusterMaster")</f>
        <v>Reiner Knizia's ClusterMaster</v>
      </c>
      <c r="B501" s="60"/>
      <c r="C501" s="61" t="str">
        <f>IFERROR(__xludf.DUMMYFUNCTION("""COMPUTED_VALUE"""),"Yes")</f>
        <v>Yes</v>
      </c>
      <c r="D501" s="62"/>
      <c r="E501" s="61" t="str">
        <f>IFERROR(__xludf.DUMMYFUNCTION("""COMPUTED_VALUE"""),"TheJuice")</f>
        <v>TheJuice</v>
      </c>
      <c r="F501" s="63">
        <f>IFERROR(__xludf.DUMMYFUNCTION("""COMPUTED_VALUE"""),40905.0)</f>
        <v>40905</v>
      </c>
    </row>
    <row r="502">
      <c r="A502" s="59" t="str">
        <f>IFERROR(__xludf.DUMMYFUNCTION("""COMPUTED_VALUE"""),"Reiner Knizia's Labyrinth HD Lite")</f>
        <v>Reiner Knizia's Labyrinth HD Lite</v>
      </c>
      <c r="B502" s="60"/>
      <c r="C502" s="61" t="str">
        <f>IFERROR(__xludf.DUMMYFUNCTION("""COMPUTED_VALUE"""),"Yes")</f>
        <v>Yes</v>
      </c>
      <c r="D502" s="62"/>
      <c r="E502" s="61" t="str">
        <f>IFERROR(__xludf.DUMMYFUNCTION("""COMPUTED_VALUE"""),"TheJuice")</f>
        <v>TheJuice</v>
      </c>
      <c r="F502" s="63">
        <f>IFERROR(__xludf.DUMMYFUNCTION("""COMPUTED_VALUE"""),40905.0)</f>
        <v>40905</v>
      </c>
    </row>
    <row r="503">
      <c r="A503" s="59" t="str">
        <f>IFERROR(__xludf.DUMMYFUNCTION("""COMPUTED_VALUE"""),"Sand box!!")</f>
        <v>Sand box!!</v>
      </c>
      <c r="B503" s="60"/>
      <c r="C503" s="61" t="str">
        <f>IFERROR(__xludf.DUMMYFUNCTION("""COMPUTED_VALUE"""),"Yes")</f>
        <v>Yes</v>
      </c>
      <c r="D503" s="62"/>
      <c r="E503" s="61" t="str">
        <f>IFERROR(__xludf.DUMMYFUNCTION("""COMPUTED_VALUE"""),"Guk")</f>
        <v>Guk</v>
      </c>
      <c r="F503" s="63">
        <f>IFERROR(__xludf.DUMMYFUNCTION("""COMPUTED_VALUE"""),40905.0)</f>
        <v>40905</v>
      </c>
    </row>
    <row r="504">
      <c r="A504" s="59" t="str">
        <f>IFERROR(__xludf.DUMMYFUNCTION("""COMPUTED_VALUE"""),"szMahjong
(known as ""麻雀官-跑馬仔"")")</f>
        <v>szMahjong
(known as "麻雀官-跑馬仔")</v>
      </c>
      <c r="B504" s="60"/>
      <c r="C504" s="61" t="str">
        <f>IFERROR(__xludf.DUMMYFUNCTION("""COMPUTED_VALUE"""),"Yes")</f>
        <v>Yes</v>
      </c>
      <c r="D504" s="62"/>
      <c r="E504" s="61" t="str">
        <f>IFERROR(__xludf.DUMMYFUNCTION("""COMPUTED_VALUE"""),"Guk")</f>
        <v>Guk</v>
      </c>
      <c r="F504" s="63">
        <f>IFERROR(__xludf.DUMMYFUNCTION("""COMPUTED_VALUE"""),40905.0)</f>
        <v>40905</v>
      </c>
    </row>
    <row r="505">
      <c r="A505" s="59" t="str">
        <f>IFERROR(__xludf.DUMMYFUNCTION("""COMPUTED_VALUE"""),"UKIYOE Woodcut")</f>
        <v>UKIYOE Woodcut</v>
      </c>
      <c r="B505" s="60"/>
      <c r="C505" s="61" t="str">
        <f>IFERROR(__xludf.DUMMYFUNCTION("""COMPUTED_VALUE"""),"Yes")</f>
        <v>Yes</v>
      </c>
      <c r="D505" s="62"/>
      <c r="E505" s="61" t="str">
        <f>IFERROR(__xludf.DUMMYFUNCTION("""COMPUTED_VALUE"""),"Guk")</f>
        <v>Guk</v>
      </c>
      <c r="F505" s="63">
        <f>IFERROR(__xludf.DUMMYFUNCTION("""COMPUTED_VALUE"""),40905.0)</f>
        <v>40905</v>
      </c>
    </row>
    <row r="506">
      <c r="A506" s="59" t="str">
        <f>IFERROR(__xludf.DUMMYFUNCTION("""COMPUTED_VALUE"""),"Wild Frontier")</f>
        <v>Wild Frontier</v>
      </c>
      <c r="B506" s="60"/>
      <c r="C506" s="61" t="str">
        <f>IFERROR(__xludf.DUMMYFUNCTION("""COMPUTED_VALUE"""),"Yes")</f>
        <v>Yes</v>
      </c>
      <c r="D506" s="62" t="str">
        <f>IFERROR(__xludf.DUMMYFUNCTION("""COMPUTED_VALUE"""),"buy anything need wifi or 3G")</f>
        <v>buy anything need wifi or 3G</v>
      </c>
      <c r="E506" s="61" t="str">
        <f>IFERROR(__xludf.DUMMYFUNCTION("""COMPUTED_VALUE"""),"jerinight, qwerty")</f>
        <v>jerinight, qwerty</v>
      </c>
      <c r="F506" s="63">
        <f>IFERROR(__xludf.DUMMYFUNCTION("""COMPUTED_VALUE"""),40905.0)</f>
        <v>40905</v>
      </c>
    </row>
    <row r="507">
      <c r="A507" s="59" t="str">
        <f>IFERROR(__xludf.DUMMYFUNCTION("""COMPUTED_VALUE"""),"Zombie Life")</f>
        <v>Zombie Life</v>
      </c>
      <c r="B507" s="60"/>
      <c r="C507" s="61" t="str">
        <f>IFERROR(__xludf.DUMMYFUNCTION("""COMPUTED_VALUE"""),"Yes")</f>
        <v>Yes</v>
      </c>
      <c r="D507" s="62" t="str">
        <f>IFERROR(__xludf.DUMMYFUNCTION("""COMPUTED_VALUE"""),"Works perfectly good!!")</f>
        <v>Works perfectly good!!</v>
      </c>
      <c r="E507" s="61" t="str">
        <f>IFERROR(__xludf.DUMMYFUNCTION("""COMPUTED_VALUE"""),"Greek-Immortal")</f>
        <v>Greek-Immortal</v>
      </c>
      <c r="F507" s="63">
        <f>IFERROR(__xludf.DUMMYFUNCTION("""COMPUTED_VALUE"""),40905.0)</f>
        <v>40905</v>
      </c>
    </row>
    <row r="508">
      <c r="A508" s="59" t="str">
        <f>IFERROR(__xludf.DUMMYFUNCTION("""COMPUTED_VALUE"""),"Cooking Dash")</f>
        <v>Cooking Dash</v>
      </c>
      <c r="B508" s="60"/>
      <c r="C508" s="61" t="str">
        <f>IFERROR(__xludf.DUMMYFUNCTION("""COMPUTED_VALUE"""),"Yes")</f>
        <v>Yes</v>
      </c>
      <c r="D508" s="62" t="str">
        <f>IFERROR(__xludf.DUMMYFUNCTION("""COMPUTED_VALUE"""),"Can buy restaurants")</f>
        <v>Can buy restaurants</v>
      </c>
      <c r="E508" s="61" t="str">
        <f>IFERROR(__xludf.DUMMYFUNCTION("""COMPUTED_VALUE"""),"rdtx")</f>
        <v>rdtx</v>
      </c>
      <c r="F508" s="63">
        <f>IFERROR(__xludf.DUMMYFUNCTION("""COMPUTED_VALUE"""),40904.0)</f>
        <v>40904</v>
      </c>
    </row>
    <row r="509">
      <c r="A509" s="59" t="str">
        <f>IFERROR(__xludf.DUMMYFUNCTION("""COMPUTED_VALUE"""),"Gun Builder Club")</f>
        <v>Gun Builder Club</v>
      </c>
      <c r="B509" s="60"/>
      <c r="C509" s="61" t="str">
        <f>IFERROR(__xludf.DUMMYFUNCTION("""COMPUTED_VALUE"""),"Yes")</f>
        <v>Yes</v>
      </c>
      <c r="D509" s="62" t="str">
        <f>IFERROR(__xludf.DUMMYFUNCTION("""COMPUTED_VALUE"""),"Can purchase but crashes when trying to build gun (iPad 1)")</f>
        <v>Can purchase but crashes when trying to build gun (iPad 1)</v>
      </c>
      <c r="E509" s="61" t="str">
        <f>IFERROR(__xludf.DUMMYFUNCTION("""COMPUTED_VALUE"""),"CCY")</f>
        <v>CCY</v>
      </c>
      <c r="F509" s="63">
        <f>IFERROR(__xludf.DUMMYFUNCTION("""COMPUTED_VALUE"""),40904.0)</f>
        <v>40904</v>
      </c>
    </row>
    <row r="510">
      <c r="A510" s="59" t="str">
        <f>IFERROR(__xludf.DUMMYFUNCTION("""COMPUTED_VALUE"""),"Lunacraft")</f>
        <v>Lunacraft</v>
      </c>
      <c r="B510" s="60"/>
      <c r="C510" s="61" t="str">
        <f>IFERROR(__xludf.DUMMYFUNCTION("""COMPUTED_VALUE"""),"Yes")</f>
        <v>Yes</v>
      </c>
      <c r="D510" s="62" t="str">
        <f>IFERROR(__xludf.DUMMYFUNCTION("""COMPUTED_VALUE"""),"Perfectly disables ads/gives recipe list")</f>
        <v>Perfectly disables ads/gives recipe list</v>
      </c>
      <c r="E510" s="61" t="str">
        <f>IFERROR(__xludf.DUMMYFUNCTION("""COMPUTED_VALUE"""),"Sig")</f>
        <v>Sig</v>
      </c>
      <c r="F510" s="63">
        <f>IFERROR(__xludf.DUMMYFUNCTION("""COMPUTED_VALUE"""),40904.0)</f>
        <v>40904</v>
      </c>
    </row>
    <row r="511">
      <c r="A511" s="59" t="str">
        <f>IFERROR(__xludf.DUMMYFUNCTION("""COMPUTED_VALUE"""),"Megaman X")</f>
        <v>Megaman X</v>
      </c>
      <c r="B511" s="60"/>
      <c r="C511" s="61" t="str">
        <f>IFERROR(__xludf.DUMMYFUNCTION("""COMPUTED_VALUE"""),"Yes")</f>
        <v>Yes</v>
      </c>
      <c r="D511" s="62" t="str">
        <f>IFERROR(__xludf.DUMMYFUNCTION("""COMPUTED_VALUE"""),"Works on 3GS but not 4 Edit: Works on iphone 4 with ios 5.0.1")</f>
        <v>Works on 3GS but not 4 Edit: Works on iphone 4 with ios 5.0.1</v>
      </c>
      <c r="E511" s="61" t="str">
        <f>IFERROR(__xludf.DUMMYFUNCTION("""COMPUTED_VALUE"""),"penandlim")</f>
        <v>penandlim</v>
      </c>
      <c r="F511" s="63">
        <f>IFERROR(__xludf.DUMMYFUNCTION("""COMPUTED_VALUE"""),40904.0)</f>
        <v>40904</v>
      </c>
    </row>
    <row r="512">
      <c r="A512" s="59" t="str">
        <f>IFERROR(__xludf.DUMMYFUNCTION("""COMPUTED_VALUE"""),"Miso Music: Plectrum")</f>
        <v>Miso Music: Plectrum</v>
      </c>
      <c r="B512" s="60"/>
      <c r="C512" s="61" t="str">
        <f>IFERROR(__xludf.DUMMYFUNCTION("""COMPUTED_VALUE"""),"Yes")</f>
        <v>Yes</v>
      </c>
      <c r="D512" s="62" t="str">
        <f>IFERROR(__xludf.DUMMYFUNCTION("""COMPUTED_VALUE"""),"Buy guitar (etc) tabs, instruments. Program crashes constantly for presumably unrelated reasons (iOS 4.3x), not worth using")</f>
        <v>Buy guitar (etc) tabs, instruments. Program crashes constantly for presumably unrelated reasons (iOS 4.3x), not worth using</v>
      </c>
      <c r="E512" s="61" t="str">
        <f>IFERROR(__xludf.DUMMYFUNCTION("""COMPUTED_VALUE"""),"TheJuice")</f>
        <v>TheJuice</v>
      </c>
      <c r="F512" s="63">
        <f>IFERROR(__xludf.DUMMYFUNCTION("""COMPUTED_VALUE"""),40904.0)</f>
        <v>40904</v>
      </c>
    </row>
    <row r="513">
      <c r="A513" s="59" t="str">
        <f>IFERROR(__xludf.DUMMYFUNCTION("""COMPUTED_VALUE"""),"Moment Diary")</f>
        <v>Moment Diary</v>
      </c>
      <c r="B513" s="60"/>
      <c r="C513" s="61" t="str">
        <f>IFERROR(__xludf.DUMMYFUNCTION("""COMPUTED_VALUE"""),"Yes")</f>
        <v>Yes</v>
      </c>
      <c r="D513" s="62" t="str">
        <f>IFERROR(__xludf.DUMMYFUNCTION("""COMPUTED_VALUE"""),"Purchase and install ")</f>
        <v>Purchase and install </v>
      </c>
      <c r="E513" s="61" t="str">
        <f>IFERROR(__xludf.DUMMYFUNCTION("""COMPUTED_VALUE"""),"Reaper")</f>
        <v>Reaper</v>
      </c>
      <c r="F513" s="63">
        <f>IFERROR(__xludf.DUMMYFUNCTION("""COMPUTED_VALUE"""),40904.0)</f>
        <v>40904</v>
      </c>
    </row>
    <row r="514">
      <c r="A514" s="59" t="str">
        <f>IFERROR(__xludf.DUMMYFUNCTION("""COMPUTED_VALUE"""),"Playboy")</f>
        <v>Playboy</v>
      </c>
      <c r="B514" s="60"/>
      <c r="C514" s="61" t="str">
        <f>IFERROR(__xludf.DUMMYFUNCTION("""COMPUTED_VALUE"""),"Yes")</f>
        <v>Yes</v>
      </c>
      <c r="D514" s="62" t="str">
        <f>IFERROR(__xludf.DUMMYFUNCTION("""COMPUTED_VALUE"""),"Buying issues works 100%")</f>
        <v>Buying issues works 100%</v>
      </c>
      <c r="E514" s="61" t="str">
        <f>IFERROR(__xludf.DUMMYFUNCTION("""COMPUTED_VALUE"""),"macgregorm")</f>
        <v>macgregorm</v>
      </c>
      <c r="F514" s="63">
        <f>IFERROR(__xludf.DUMMYFUNCTION("""COMPUTED_VALUE"""),40904.0)</f>
        <v>40904</v>
      </c>
    </row>
    <row r="515">
      <c r="A515" s="59" t="str">
        <f>IFERROR(__xludf.DUMMYFUNCTION("""COMPUTED_VALUE"""),"Slam Dunk King")</f>
        <v>Slam Dunk King</v>
      </c>
      <c r="B515" s="60"/>
      <c r="C515" s="61" t="str">
        <f>IFERROR(__xludf.DUMMYFUNCTION("""COMPUTED_VALUE"""),"Yes")</f>
        <v>Yes</v>
      </c>
      <c r="D515" s="62" t="str">
        <f>IFERROR(__xludf.DUMMYFUNCTION("""COMPUTED_VALUE"""),"Works just fine.")</f>
        <v>Works just fine.</v>
      </c>
      <c r="E515" s="61" t="str">
        <f>IFERROR(__xludf.DUMMYFUNCTION("""COMPUTED_VALUE"""),"RealMcKoy")</f>
        <v>RealMcKoy</v>
      </c>
      <c r="F515" s="63">
        <f>IFERROR(__xludf.DUMMYFUNCTION("""COMPUTED_VALUE"""),40904.0)</f>
        <v>40904</v>
      </c>
    </row>
    <row r="516">
      <c r="A516" s="59" t="str">
        <f>IFERROR(__xludf.DUMMYFUNCTION("""COMPUTED_VALUE"""),"Tiny Defense")</f>
        <v>Tiny Defense</v>
      </c>
      <c r="B516" s="60"/>
      <c r="C516" s="61" t="str">
        <f>IFERROR(__xludf.DUMMYFUNCTION("""COMPUTED_VALUE"""),"Yes")</f>
        <v>Yes</v>
      </c>
      <c r="D516" s="62" t="str">
        <f>IFERROR(__xludf.DUMMYFUNCTION("""COMPUTED_VALUE"""),"Buys metal parts (not an option until played 8-10 levels)")</f>
        <v>Buys metal parts (not an option until played 8-10 levels)</v>
      </c>
      <c r="E516" s="61" t="str">
        <f>IFERROR(__xludf.DUMMYFUNCTION("""COMPUTED_VALUE"""),"Moose")</f>
        <v>Moose</v>
      </c>
      <c r="F516" s="63">
        <f>IFERROR(__xludf.DUMMYFUNCTION("""COMPUTED_VALUE"""),40904.0)</f>
        <v>40904</v>
      </c>
    </row>
    <row r="517">
      <c r="A517" s="59" t="str">
        <f>IFERROR(__xludf.DUMMYFUNCTION("""COMPUTED_VALUE"""),"UWO Buzzz")</f>
        <v>UWO Buzzz</v>
      </c>
      <c r="B517" s="60"/>
      <c r="C517" s="61" t="str">
        <f>IFERROR(__xludf.DUMMYFUNCTION("""COMPUTED_VALUE"""),"Yes")</f>
        <v>Yes</v>
      </c>
      <c r="D517" s="62" t="str">
        <f>IFERROR(__xludf.DUMMYFUNCTION("""COMPUTED_VALUE"""),"Can gain LTC Route info")</f>
        <v>Can gain LTC Route info</v>
      </c>
      <c r="E517" s="61" t="str">
        <f>IFERROR(__xludf.DUMMYFUNCTION("""COMPUTED_VALUE"""),"UWO")</f>
        <v>UWO</v>
      </c>
      <c r="F517" s="63">
        <f>IFERROR(__xludf.DUMMYFUNCTION("""COMPUTED_VALUE"""),40904.0)</f>
        <v>40904</v>
      </c>
    </row>
    <row r="518">
      <c r="A518" s="59" t="str">
        <f>IFERROR(__xludf.DUMMYFUNCTION("""COMPUTED_VALUE"""),"Bamboo Paper")</f>
        <v>Bamboo Paper</v>
      </c>
      <c r="B518" s="60"/>
      <c r="C518" s="61" t="str">
        <f>IFERROR(__xludf.DUMMYFUNCTION("""COMPUTED_VALUE"""),"Yes")</f>
        <v>Yes</v>
      </c>
      <c r="D518" s="62" t="str">
        <f>IFERROR(__xludf.DUMMYFUNCTION("""COMPUTED_VALUE"""),"Notebook Pack")</f>
        <v>Notebook Pack</v>
      </c>
      <c r="E518" s="61" t="str">
        <f>IFERROR(__xludf.DUMMYFUNCTION("""COMPUTED_VALUE"""),"Glisern")</f>
        <v>Glisern</v>
      </c>
      <c r="F518" s="63">
        <f>IFERROR(__xludf.DUMMYFUNCTION("""COMPUTED_VALUE"""),40903.0)</f>
        <v>40903</v>
      </c>
    </row>
    <row r="519">
      <c r="A519" s="59" t="str">
        <f>IFERROR(__xludf.DUMMYFUNCTION("""COMPUTED_VALUE"""),"Cut The Rope (series)")</f>
        <v>Cut The Rope (series)</v>
      </c>
      <c r="B519" s="60"/>
      <c r="C519" s="61" t="str">
        <f>IFERROR(__xludf.DUMMYFUNCTION("""COMPUTED_VALUE"""),"Yes")</f>
        <v>Yes</v>
      </c>
      <c r="D519" s="62" t="str">
        <f>IFERROR(__xludf.DUMMYFUNCTION("""COMPUTED_VALUE"""),"Unlock Levels")</f>
        <v>Unlock Levels</v>
      </c>
      <c r="E519" s="61" t="str">
        <f>IFERROR(__xludf.DUMMYFUNCTION("""COMPUTED_VALUE"""),"Nikos44")</f>
        <v>Nikos44</v>
      </c>
      <c r="F519" s="63">
        <f>IFERROR(__xludf.DUMMYFUNCTION("""COMPUTED_VALUE"""),40903.0)</f>
        <v>40903</v>
      </c>
    </row>
    <row r="520">
      <c r="A520" s="59" t="str">
        <f>IFERROR(__xludf.DUMMYFUNCTION("""COMPUTED_VALUE"""),"Dream League Soccer")</f>
        <v>Dream League Soccer</v>
      </c>
      <c r="B520" s="60"/>
      <c r="C520" s="61" t="str">
        <f>IFERROR(__xludf.DUMMYFUNCTION("""COMPUTED_VALUE"""),"Yes")</f>
        <v>Yes</v>
      </c>
      <c r="D520" s="62" t="str">
        <f>IFERROR(__xludf.DUMMYFUNCTION("""COMPUTED_VALUE"""),"Purchasing coins works perfectly. ")</f>
        <v>Purchasing coins works perfectly. </v>
      </c>
      <c r="E520" s="61" t="str">
        <f>IFERROR(__xludf.DUMMYFUNCTION("""COMPUTED_VALUE"""),"YoungStarDC")</f>
        <v>YoungStarDC</v>
      </c>
      <c r="F520" s="63">
        <f>IFERROR(__xludf.DUMMYFUNCTION("""COMPUTED_VALUE"""),40903.0)</f>
        <v>40903</v>
      </c>
    </row>
    <row r="521">
      <c r="A521" s="59" t="str">
        <f>IFERROR(__xludf.DUMMYFUNCTION("""COMPUTED_VALUE"""),"iStunt 2")</f>
        <v>iStunt 2</v>
      </c>
      <c r="B521" s="60"/>
      <c r="C521" s="61" t="str">
        <f>IFERROR(__xludf.DUMMYFUNCTION("""COMPUTED_VALUE"""),"Yes")</f>
        <v>Yes</v>
      </c>
      <c r="D521" s="62" t="str">
        <f>IFERROR(__xludf.DUMMYFUNCTION("""COMPUTED_VALUE"""),"All perfect !")</f>
        <v>All perfect !</v>
      </c>
      <c r="E521" s="61" t="str">
        <f>IFERROR(__xludf.DUMMYFUNCTION("""COMPUTED_VALUE"""),"Nikos")</f>
        <v>Nikos</v>
      </c>
      <c r="F521" s="63">
        <f>IFERROR(__xludf.DUMMYFUNCTION("""COMPUTED_VALUE"""),40903.0)</f>
        <v>40903</v>
      </c>
    </row>
    <row r="522">
      <c r="A522" s="59" t="str">
        <f>IFERROR(__xludf.DUMMYFUNCTION("""COMPUTED_VALUE"""),"iXpenseit")</f>
        <v>iXpenseit</v>
      </c>
      <c r="B522" s="60"/>
      <c r="C522" s="61" t="str">
        <f>IFERROR(__xludf.DUMMYFUNCTION("""COMPUTED_VALUE"""),"Yes")</f>
        <v>Yes</v>
      </c>
      <c r="D522" s="62" t="str">
        <f>IFERROR(__xludf.DUMMYFUNCTION("""COMPUTED_VALUE"""),"PDF Templates")</f>
        <v>PDF Templates</v>
      </c>
      <c r="E522" s="61" t="str">
        <f>IFERROR(__xludf.DUMMYFUNCTION("""COMPUTED_VALUE"""),"Hiran")</f>
        <v>Hiran</v>
      </c>
      <c r="F522" s="63">
        <f>IFERROR(__xludf.DUMMYFUNCTION("""COMPUTED_VALUE"""),40903.0)</f>
        <v>40903</v>
      </c>
    </row>
    <row r="523">
      <c r="A523" s="59" t="str">
        <f>IFERROR(__xludf.DUMMYFUNCTION("""COMPUTED_VALUE"""),"Life for iPad")</f>
        <v>Life for iPad</v>
      </c>
      <c r="B523" s="60"/>
      <c r="C523" s="61" t="str">
        <f>IFERROR(__xludf.DUMMYFUNCTION("""COMPUTED_VALUE"""),"Yes")</f>
        <v>Yes</v>
      </c>
      <c r="D523" s="62"/>
      <c r="E523" s="61" t="str">
        <f>IFERROR(__xludf.DUMMYFUNCTION("""COMPUTED_VALUE"""),"lanouba")</f>
        <v>lanouba</v>
      </c>
      <c r="F523" s="63">
        <f>IFERROR(__xludf.DUMMYFUNCTION("""COMPUTED_VALUE"""),40903.0)</f>
        <v>40903</v>
      </c>
    </row>
    <row r="524">
      <c r="A524" s="59" t="str">
        <f>IFERROR(__xludf.DUMMYFUNCTION("""COMPUTED_VALUE"""),"Photo Share")</f>
        <v>Photo Share</v>
      </c>
      <c r="B524" s="60"/>
      <c r="C524" s="61" t="str">
        <f>IFERROR(__xludf.DUMMYFUNCTION("""COMPUTED_VALUE"""),"Yes")</f>
        <v>Yes</v>
      </c>
      <c r="D524" s="62" t="str">
        <f>IFERROR(__xludf.DUMMYFUNCTION("""COMPUTED_VALUE"""),"Go Pro")</f>
        <v>Go Pro</v>
      </c>
      <c r="E524" s="61" t="str">
        <f>IFERROR(__xludf.DUMMYFUNCTION("""COMPUTED_VALUE"""),"Lightwalker")</f>
        <v>Lightwalker</v>
      </c>
      <c r="F524" s="63">
        <f>IFERROR(__xludf.DUMMYFUNCTION("""COMPUTED_VALUE"""),40903.0)</f>
        <v>40903</v>
      </c>
    </row>
    <row r="525">
      <c r="A525" s="59" t="str">
        <f>IFERROR(__xludf.DUMMYFUNCTION("""COMPUTED_VALUE"""),"Receipts")</f>
        <v>Receipts</v>
      </c>
      <c r="B525" s="60"/>
      <c r="C525" s="61" t="str">
        <f>IFERROR(__xludf.DUMMYFUNCTION("""COMPUTED_VALUE"""),"Yes")</f>
        <v>Yes</v>
      </c>
      <c r="D525" s="62"/>
      <c r="E525" s="61" t="str">
        <f>IFERROR(__xludf.DUMMYFUNCTION("""COMPUTED_VALUE"""),"rctgamer3")</f>
        <v>rctgamer3</v>
      </c>
      <c r="F525" s="63">
        <f>IFERROR(__xludf.DUMMYFUNCTION("""COMPUTED_VALUE"""),40903.0)</f>
        <v>40903</v>
      </c>
    </row>
    <row r="526">
      <c r="A526" s="59" t="str">
        <f>IFERROR(__xludf.DUMMYFUNCTION("""COMPUTED_VALUE"""),"Top Gear Stunt School")</f>
        <v>Top Gear Stunt School</v>
      </c>
      <c r="B526" s="60"/>
      <c r="C526" s="61" t="str">
        <f>IFERROR(__xludf.DUMMYFUNCTION("""COMPUTED_VALUE"""),"Yes")</f>
        <v>Yes</v>
      </c>
      <c r="D526" s="62" t="str">
        <f>IFERROR(__xludf.DUMMYFUNCTION("""COMPUTED_VALUE"""),"
")</f>
        <v>
</v>
      </c>
      <c r="E526" s="61" t="str">
        <f>IFERROR(__xludf.DUMMYFUNCTION("""COMPUTED_VALUE"""),"rctgamer3")</f>
        <v>rctgamer3</v>
      </c>
      <c r="F526" s="63">
        <f>IFERROR(__xludf.DUMMYFUNCTION("""COMPUTED_VALUE"""),40903.0)</f>
        <v>40903</v>
      </c>
    </row>
    <row r="527">
      <c r="A527" s="59" t="str">
        <f>IFERROR(__xludf.DUMMYFUNCTION("""COMPUTED_VALUE"""),"We City")</f>
        <v>We City</v>
      </c>
      <c r="B527" s="60"/>
      <c r="C527" s="61" t="str">
        <f>IFERROR(__xludf.DUMMYFUNCTION("""COMPUTED_VALUE"""),"Yes")</f>
        <v>Yes</v>
      </c>
      <c r="D527" s="62"/>
      <c r="E527" s="61"/>
      <c r="F527" s="63">
        <f>IFERROR(__xludf.DUMMYFUNCTION("""COMPUTED_VALUE"""),40903.0)</f>
        <v>40903</v>
      </c>
    </row>
    <row r="528">
      <c r="A528" s="59" t="str">
        <f>IFERROR(__xludf.DUMMYFUNCTION("""COMPUTED_VALUE"""),"XBMC Constellation")</f>
        <v>XBMC Constellation</v>
      </c>
      <c r="B528" s="60"/>
      <c r="C528" s="61" t="str">
        <f>IFERROR(__xludf.DUMMYFUNCTION("""COMPUTED_VALUE"""),"Yes")</f>
        <v>Yes</v>
      </c>
      <c r="D528" s="62" t="str">
        <f>IFERROR(__xludf.DUMMYFUNCTION("""COMPUTED_VALUE"""),"Go Pro")</f>
        <v>Go Pro</v>
      </c>
      <c r="E528" s="61" t="str">
        <f>IFERROR(__xludf.DUMMYFUNCTION("""COMPUTED_VALUE"""),"Lightwalker")</f>
        <v>Lightwalker</v>
      </c>
      <c r="F528" s="63">
        <f>IFERROR(__xludf.DUMMYFUNCTION("""COMPUTED_VALUE"""),40903.0)</f>
        <v>40903</v>
      </c>
    </row>
    <row r="529">
      <c r="A529" s="59" t="str">
        <f>IFERROR(__xludf.DUMMYFUNCTION("""COMPUTED_VALUE"""),"Zap2It What's On? (TV listings)")</f>
        <v>Zap2It What's On? (TV listings)</v>
      </c>
      <c r="B529" s="60"/>
      <c r="C529" s="61" t="str">
        <f>IFERROR(__xludf.DUMMYFUNCTION("""COMPUTED_VALUE"""),"Yes")</f>
        <v>Yes</v>
      </c>
      <c r="D529" s="62" t="str">
        <f>IFERROR(__xludf.DUMMYFUNCTION("""COMPUTED_VALUE"""),"Make account, tap a remove ad subscription")</f>
        <v>Make account, tap a remove ad subscription</v>
      </c>
      <c r="E529" s="61" t="str">
        <f>IFERROR(__xludf.DUMMYFUNCTION("""COMPUTED_VALUE"""),"Moose")</f>
        <v>Moose</v>
      </c>
      <c r="F529" s="63">
        <f>IFERROR(__xludf.DUMMYFUNCTION("""COMPUTED_VALUE"""),40903.0)</f>
        <v>40903</v>
      </c>
    </row>
    <row r="530">
      <c r="A530" s="59" t="str">
        <f>IFERROR(__xludf.DUMMYFUNCTION("""COMPUTED_VALUE"""),"AngerOfStick")</f>
        <v>AngerOfStick</v>
      </c>
      <c r="B530" s="60"/>
      <c r="C530" s="61" t="str">
        <f>IFERROR(__xludf.DUMMYFUNCTION("""COMPUTED_VALUE"""),"Yes")</f>
        <v>Yes</v>
      </c>
      <c r="D530" s="62" t="str">
        <f>IFERROR(__xludf.DUMMYFUNCTION("""COMPUTED_VALUE"""),"Buy coin")</f>
        <v>Buy coin</v>
      </c>
      <c r="E530" s="61" t="str">
        <f>IFERROR(__xludf.DUMMYFUNCTION("""COMPUTED_VALUE"""),"phatpham")</f>
        <v>phatpham</v>
      </c>
      <c r="F530" s="63">
        <f>IFERROR(__xludf.DUMMYFUNCTION("""COMPUTED_VALUE"""),40902.0)</f>
        <v>40902</v>
      </c>
    </row>
    <row r="531">
      <c r="A531" s="59" t="str">
        <f>IFERROR(__xludf.DUMMYFUNCTION("""COMPUTED_VALUE"""),"AngerOfStick-Friend")</f>
        <v>AngerOfStick-Friend</v>
      </c>
      <c r="B531" s="60"/>
      <c r="C531" s="61" t="str">
        <f>IFERROR(__xludf.DUMMYFUNCTION("""COMPUTED_VALUE"""),"Yes")</f>
        <v>Yes</v>
      </c>
      <c r="D531" s="62"/>
      <c r="E531" s="61" t="str">
        <f>IFERROR(__xludf.DUMMYFUNCTION("""COMPUTED_VALUE"""),"phatpham")</f>
        <v>phatpham</v>
      </c>
      <c r="F531" s="63">
        <f>IFERROR(__xludf.DUMMYFUNCTION("""COMPUTED_VALUE"""),40902.0)</f>
        <v>40902</v>
      </c>
    </row>
    <row r="532">
      <c r="A532" s="59" t="str">
        <f>IFERROR(__xludf.DUMMYFUNCTION("""COMPUTED_VALUE"""),"AngerOfStick2: Jump Jump")</f>
        <v>AngerOfStick2: Jump Jump</v>
      </c>
      <c r="B532" s="60"/>
      <c r="C532" s="61" t="str">
        <f>IFERROR(__xludf.DUMMYFUNCTION("""COMPUTED_VALUE"""),"Yes")</f>
        <v>Yes</v>
      </c>
      <c r="D532" s="62"/>
      <c r="E532" s="61" t="str">
        <f>IFERROR(__xludf.DUMMYFUNCTION("""COMPUTED_VALUE"""),"phatpham")</f>
        <v>phatpham</v>
      </c>
      <c r="F532" s="63">
        <f>IFERROR(__xludf.DUMMYFUNCTION("""COMPUTED_VALUE"""),40902.0)</f>
        <v>40902</v>
      </c>
    </row>
    <row r="533">
      <c r="A533" s="59" t="str">
        <f>IFERROR(__xludf.DUMMYFUNCTION("""COMPUTED_VALUE"""),"Call of Mini: Double Shot")</f>
        <v>Call of Mini: Double Shot</v>
      </c>
      <c r="B533" s="60"/>
      <c r="C533" s="61" t="str">
        <f>IFERROR(__xludf.DUMMYFUNCTION("""COMPUTED_VALUE"""),"Yes")</f>
        <v>Yes</v>
      </c>
      <c r="D533" s="62" t="str">
        <f>IFERROR(__xludf.DUMMYFUNCTION("""COMPUTED_VALUE"""),"Buy coin and unlock weapon")</f>
        <v>Buy coin and unlock weapon</v>
      </c>
      <c r="E533" s="61" t="str">
        <f>IFERROR(__xludf.DUMMYFUNCTION("""COMPUTED_VALUE"""),"phatpham")</f>
        <v>phatpham</v>
      </c>
      <c r="F533" s="63">
        <f>IFERROR(__xludf.DUMMYFUNCTION("""COMPUTED_VALUE"""),40902.0)</f>
        <v>40902</v>
      </c>
    </row>
    <row r="534">
      <c r="A534" s="59" t="str">
        <f>IFERROR(__xludf.DUMMYFUNCTION("""COMPUTED_VALUE"""),"Cooking Mama")</f>
        <v>Cooking Mama</v>
      </c>
      <c r="B534" s="60"/>
      <c r="C534" s="61" t="str">
        <f>IFERROR(__xludf.DUMMYFUNCTION("""COMPUTED_VALUE"""),"Yes")</f>
        <v>Yes</v>
      </c>
      <c r="D534" s="62" t="str">
        <f>IFERROR(__xludf.DUMMYFUNCTION("""COMPUTED_VALUE"""),"Unlock restaurants")</f>
        <v>Unlock restaurants</v>
      </c>
      <c r="E534" s="61" t="str">
        <f>IFERROR(__xludf.DUMMYFUNCTION("""COMPUTED_VALUE"""),"phatpham")</f>
        <v>phatpham</v>
      </c>
      <c r="F534" s="63">
        <f>IFERROR(__xludf.DUMMYFUNCTION("""COMPUTED_VALUE"""),40902.0)</f>
        <v>40902</v>
      </c>
    </row>
    <row r="535">
      <c r="A535" s="59" t="str">
        <f>IFERROR(__xludf.DUMMYFUNCTION("""COMPUTED_VALUE"""),"Frame Magic")</f>
        <v>Frame Magic</v>
      </c>
      <c r="B535" s="60"/>
      <c r="C535" s="61" t="str">
        <f>IFERROR(__xludf.DUMMYFUNCTION("""COMPUTED_VALUE"""),"Yes")</f>
        <v>Yes</v>
      </c>
      <c r="D535" s="62"/>
      <c r="E535" s="61" t="str">
        <f>IFERROR(__xludf.DUMMYFUNCTION("""COMPUTED_VALUE"""),"Lightwalker")</f>
        <v>Lightwalker</v>
      </c>
      <c r="F535" s="63">
        <f>IFERROR(__xludf.DUMMYFUNCTION("""COMPUTED_VALUE"""),40902.0)</f>
        <v>40902</v>
      </c>
    </row>
    <row r="536">
      <c r="A536" s="59" t="str">
        <f>IFERROR(__xludf.DUMMYFUNCTION("""COMPUTED_VALUE"""),"Heavy Mach: Defense (Also Assault, Battle)")</f>
        <v>Heavy Mach: Defense (Also Assault, Battle)</v>
      </c>
      <c r="B536" s="60"/>
      <c r="C536" s="61" t="str">
        <f>IFERROR(__xludf.DUMMYFUNCTION("""COMPUTED_VALUE"""),"Yes")</f>
        <v>Yes</v>
      </c>
      <c r="D536" s="62" t="str">
        <f>IFERROR(__xludf.DUMMYFUNCTION("""COMPUTED_VALUE"""),"Can buy CR")</f>
        <v>Can buy CR</v>
      </c>
      <c r="E536" s="61" t="str">
        <f>IFERROR(__xludf.DUMMYFUNCTION("""COMPUTED_VALUE"""),"PKK, phatpham")</f>
        <v>PKK, phatpham</v>
      </c>
      <c r="F536" s="63">
        <f>IFERROR(__xludf.DUMMYFUNCTION("""COMPUTED_VALUE"""),40902.0)</f>
        <v>40902</v>
      </c>
    </row>
    <row r="537">
      <c r="A537" s="59" t="str">
        <f>IFERROR(__xludf.DUMMYFUNCTION("""COMPUTED_VALUE"""),"Paranormal Agency")</f>
        <v>Paranormal Agency</v>
      </c>
      <c r="B537" s="60"/>
      <c r="C537" s="61" t="str">
        <f>IFERROR(__xludf.DUMMYFUNCTION("""COMPUTED_VALUE"""),"Yes")</f>
        <v>Yes</v>
      </c>
      <c r="D537" s="62" t="str">
        <f>IFERROR(__xludf.DUMMYFUNCTION("""COMPUTED_VALUE"""),"Free ---&gt; Full")</f>
        <v>Free ---&gt; Full</v>
      </c>
      <c r="E537" s="61" t="str">
        <f>IFERROR(__xludf.DUMMYFUNCTION("""COMPUTED_VALUE"""),"phatpham")</f>
        <v>phatpham</v>
      </c>
      <c r="F537" s="63">
        <f>IFERROR(__xludf.DUMMYFUNCTION("""COMPUTED_VALUE"""),40902.0)</f>
        <v>40902</v>
      </c>
    </row>
    <row r="538">
      <c r="A538" s="59" t="str">
        <f>IFERROR(__xludf.DUMMYFUNCTION("""COMPUTED_VALUE"""),"Strike Knight")</f>
        <v>Strike Knight</v>
      </c>
      <c r="B538" s="60"/>
      <c r="C538" s="61" t="str">
        <f>IFERROR(__xludf.DUMMYFUNCTION("""COMPUTED_VALUE"""),"Yes")</f>
        <v>Yes</v>
      </c>
      <c r="D538" s="62" t="str">
        <f>IFERROR(__xludf.DUMMYFUNCTION("""COMPUTED_VALUE"""),"Ad remove")</f>
        <v>Ad remove</v>
      </c>
      <c r="E538" s="61" t="str">
        <f>IFERROR(__xludf.DUMMYFUNCTION("""COMPUTED_VALUE"""),"phatpham")</f>
        <v>phatpham</v>
      </c>
      <c r="F538" s="63">
        <f>IFERROR(__xludf.DUMMYFUNCTION("""COMPUTED_VALUE"""),40902.0)</f>
        <v>40902</v>
      </c>
    </row>
    <row r="539">
      <c r="A539" s="59" t="str">
        <f>IFERROR(__xludf.DUMMYFUNCTION("""COMPUTED_VALUE"""),"Tap  Fish Season")</f>
        <v>Tap  Fish Season</v>
      </c>
      <c r="B539" s="60"/>
      <c r="C539" s="61" t="str">
        <f>IFERROR(__xludf.DUMMYFUNCTION("""COMPUTED_VALUE"""),"Yes")</f>
        <v>Yes</v>
      </c>
      <c r="D539" s="62"/>
      <c r="E539" s="61" t="str">
        <f>IFERROR(__xludf.DUMMYFUNCTION("""COMPUTED_VALUE"""),"phatpham")</f>
        <v>phatpham</v>
      </c>
      <c r="F539" s="63">
        <f>IFERROR(__xludf.DUMMYFUNCTION("""COMPUTED_VALUE"""),40902.0)</f>
        <v>40902</v>
      </c>
    </row>
    <row r="540">
      <c r="A540" s="59" t="str">
        <f>IFERROR(__xludf.DUMMYFUNCTION("""COMPUTED_VALUE"""),"TextNow")</f>
        <v>TextNow</v>
      </c>
      <c r="B540" s="60"/>
      <c r="C540" s="61" t="str">
        <f>IFERROR(__xludf.DUMMYFUNCTION("""COMPUTED_VALUE"""),"Yes")</f>
        <v>Yes</v>
      </c>
      <c r="D540" s="62" t="str">
        <f>IFERROR(__xludf.DUMMYFUNCTION("""COMPUTED_VALUE"""),"Remove ads, buy credits and sound packs. Resets occasionally. Just re-purchase.")</f>
        <v>Remove ads, buy credits and sound packs. Resets occasionally. Just re-purchase.</v>
      </c>
      <c r="E540" s="61" t="str">
        <f>IFERROR(__xludf.DUMMYFUNCTION("""COMPUTED_VALUE"""),"BruiserBrody")</f>
        <v>BruiserBrody</v>
      </c>
      <c r="F540" s="63">
        <f>IFERROR(__xludf.DUMMYFUNCTION("""COMPUTED_VALUE"""),40902.0)</f>
        <v>40902</v>
      </c>
    </row>
    <row r="541">
      <c r="A541" s="59" t="str">
        <f>IFERROR(__xludf.DUMMYFUNCTION("""COMPUTED_VALUE"""),"All Games from Glu Games Inc. ")</f>
        <v>All Games from Glu Games Inc. </v>
      </c>
      <c r="B541" s="60"/>
      <c r="C541" s="61" t="str">
        <f>IFERROR(__xludf.DUMMYFUNCTION("""COMPUTED_VALUE"""),"Yes")</f>
        <v>Yes</v>
      </c>
      <c r="D541" s="62"/>
      <c r="E541" s="61"/>
      <c r="F541" s="63">
        <f>IFERROR(__xludf.DUMMYFUNCTION("""COMPUTED_VALUE"""),40901.0)</f>
        <v>40901</v>
      </c>
    </row>
    <row r="542">
      <c r="A542" s="59" t="str">
        <f>IFERROR(__xludf.DUMMYFUNCTION("""COMPUTED_VALUE"""),"Angry Gran")</f>
        <v>Angry Gran</v>
      </c>
      <c r="B542" s="60"/>
      <c r="C542" s="61" t="str">
        <f>IFERROR(__xludf.DUMMYFUNCTION("""COMPUTED_VALUE"""),"Yes")</f>
        <v>Yes</v>
      </c>
      <c r="D542" s="62"/>
      <c r="E542" s="61" t="str">
        <f>IFERROR(__xludf.DUMMYFUNCTION("""COMPUTED_VALUE"""),"Z1nC")</f>
        <v>Z1nC</v>
      </c>
      <c r="F542" s="63">
        <f>IFERROR(__xludf.DUMMYFUNCTION("""COMPUTED_VALUE"""),40901.0)</f>
        <v>40901</v>
      </c>
    </row>
    <row r="543">
      <c r="A543" s="59" t="str">
        <f>IFERROR(__xludf.DUMMYFUNCTION("""COMPUTED_VALUE"""),"Battle Bear Zombies!")</f>
        <v>Battle Bear Zombies!</v>
      </c>
      <c r="B543" s="60"/>
      <c r="C543" s="61" t="str">
        <f>IFERROR(__xludf.DUMMYFUNCTION("""COMPUTED_VALUE"""),"Yes")</f>
        <v>Yes</v>
      </c>
      <c r="D543" s="62" t="str">
        <f>IFERROR(__xludf.DUMMYFUNCTION("""COMPUTED_VALUE"""),"Ad removal")</f>
        <v>Ad removal</v>
      </c>
      <c r="E543" s="61" t="str">
        <f>IFERROR(__xludf.DUMMYFUNCTION("""COMPUTED_VALUE"""),"phatpham")</f>
        <v>phatpham</v>
      </c>
      <c r="F543" s="63">
        <f>IFERROR(__xludf.DUMMYFUNCTION("""COMPUTED_VALUE"""),40901.0)</f>
        <v>40901</v>
      </c>
    </row>
    <row r="544">
      <c r="A544" s="59" t="str">
        <f>IFERROR(__xludf.DUMMYFUNCTION("""COMPUTED_VALUE"""),"Congas")</f>
        <v>Congas</v>
      </c>
      <c r="B544" s="60"/>
      <c r="C544" s="61" t="str">
        <f>IFERROR(__xludf.DUMMYFUNCTION("""COMPUTED_VALUE"""),"Yes")</f>
        <v>Yes</v>
      </c>
      <c r="D544" s="62" t="str">
        <f>IFERROR(__xludf.DUMMYFUNCTION("""COMPUTED_VALUE"""),"Ad remove")</f>
        <v>Ad remove</v>
      </c>
      <c r="E544" s="61" t="str">
        <f>IFERROR(__xludf.DUMMYFUNCTION("""COMPUTED_VALUE"""),"Moose")</f>
        <v>Moose</v>
      </c>
      <c r="F544" s="63">
        <f>IFERROR(__xludf.DUMMYFUNCTION("""COMPUTED_VALUE"""),40901.0)</f>
        <v>40901</v>
      </c>
    </row>
    <row r="545">
      <c r="A545" s="59" t="str">
        <f>IFERROR(__xludf.DUMMYFUNCTION("""COMPUTED_VALUE"""),"Demon Hunter (Both Full &amp; Ad-Free) V1.0.5 and v1.0.2")</f>
        <v>Demon Hunter (Both Full &amp; Ad-Free) V1.0.5 and v1.0.2</v>
      </c>
      <c r="B545" s="60"/>
      <c r="C545" s="61" t="str">
        <f>IFERROR(__xludf.DUMMYFUNCTION("""COMPUTED_VALUE"""),"Yes")</f>
        <v>Yes</v>
      </c>
      <c r="D545" s="62" t="str">
        <f>IFERROR(__xludf.DUMMYFUNCTION("""COMPUTED_VALUE"""),"Everything works well")</f>
        <v>Everything works well</v>
      </c>
      <c r="E545" s="61" t="str">
        <f>IFERROR(__xludf.DUMMYFUNCTION("""COMPUTED_VALUE"""),"phatpham")</f>
        <v>phatpham</v>
      </c>
      <c r="F545" s="63">
        <f>IFERROR(__xludf.DUMMYFUNCTION("""COMPUTED_VALUE"""),40901.0)</f>
        <v>40901</v>
      </c>
    </row>
    <row r="546">
      <c r="A546" s="59" t="str">
        <f>IFERROR(__xludf.DUMMYFUNCTION("""COMPUTED_VALUE"""),"Infinity Blade")</f>
        <v>Infinity Blade</v>
      </c>
      <c r="B546" s="60"/>
      <c r="C546" s="61" t="str">
        <f>IFERROR(__xludf.DUMMYFUNCTION("""COMPUTED_VALUE"""),"Yes")</f>
        <v>Yes</v>
      </c>
      <c r="D546" s="62" t="str">
        <f>IFERROR(__xludf.DUMMYFUNCTION("""COMPUTED_VALUE"""),"Reported working.")</f>
        <v>Reported working.</v>
      </c>
      <c r="E546" s="61" t="str">
        <f>IFERROR(__xludf.DUMMYFUNCTION("""COMPUTED_VALUE"""),"Z1nC, userinit69")</f>
        <v>Z1nC, userinit69</v>
      </c>
      <c r="F546" s="63">
        <f>IFERROR(__xludf.DUMMYFUNCTION("""COMPUTED_VALUE"""),40901.0)</f>
        <v>40901</v>
      </c>
    </row>
    <row r="547">
      <c r="A547" s="59" t="str">
        <f>IFERROR(__xludf.DUMMYFUNCTION("""COMPUTED_VALUE"""),"Jack of All Tribes")</f>
        <v>Jack of All Tribes</v>
      </c>
      <c r="B547" s="60"/>
      <c r="C547" s="61" t="str">
        <f>IFERROR(__xludf.DUMMYFUNCTION("""COMPUTED_VALUE"""),"Yes")</f>
        <v>Yes</v>
      </c>
      <c r="D547" s="62" t="str">
        <f>IFERROR(__xludf.DUMMYFUNCTION("""COMPUTED_VALUE"""),"Free → Full")</f>
        <v>Free → Full</v>
      </c>
      <c r="E547" s="61" t="str">
        <f>IFERROR(__xludf.DUMMYFUNCTION("""COMPUTED_VALUE"""),"phatpham")</f>
        <v>phatpham</v>
      </c>
      <c r="F547" s="63">
        <f>IFERROR(__xludf.DUMMYFUNCTION("""COMPUTED_VALUE"""),40901.0)</f>
        <v>40901</v>
      </c>
    </row>
    <row r="548">
      <c r="A548" s="59" t="str">
        <f>IFERROR(__xludf.DUMMYFUNCTION("""COMPUTED_VALUE"""),"Jack of All Tribes HD")</f>
        <v>Jack of All Tribes HD</v>
      </c>
      <c r="B548" s="60"/>
      <c r="C548" s="61" t="str">
        <f>IFERROR(__xludf.DUMMYFUNCTION("""COMPUTED_VALUE"""),"Yes")</f>
        <v>Yes</v>
      </c>
      <c r="D548" s="62" t="str">
        <f>IFERROR(__xludf.DUMMYFUNCTION("""COMPUTED_VALUE"""),"Free → Full")</f>
        <v>Free → Full</v>
      </c>
      <c r="E548" s="61" t="str">
        <f>IFERROR(__xludf.DUMMYFUNCTION("""COMPUTED_VALUE"""),"Glisern")</f>
        <v>Glisern</v>
      </c>
      <c r="F548" s="63">
        <f>IFERROR(__xludf.DUMMYFUNCTION("""COMPUTED_VALUE"""),40901.0)</f>
        <v>40901</v>
      </c>
    </row>
    <row r="549">
      <c r="A549" s="59" t="str">
        <f>IFERROR(__xludf.DUMMYFUNCTION("""COMPUTED_VALUE"""),"Rise of Heroes / HD")</f>
        <v>Rise of Heroes / HD</v>
      </c>
      <c r="B549" s="60"/>
      <c r="C549" s="61" t="str">
        <f>IFERROR(__xludf.DUMMYFUNCTION("""COMPUTED_VALUE"""),"Yes")</f>
        <v>Yes</v>
      </c>
      <c r="D549" s="62" t="str">
        <f>IFERROR(__xludf.DUMMYFUNCTION("""COMPUTED_VALUE"""),"Buy everything")</f>
        <v>Buy everything</v>
      </c>
      <c r="E549" s="61" t="str">
        <f>IFERROR(__xludf.DUMMYFUNCTION("""COMPUTED_VALUE"""),"phatpham")</f>
        <v>phatpham</v>
      </c>
      <c r="F549" s="63">
        <f>IFERROR(__xludf.DUMMYFUNCTION("""COMPUTED_VALUE"""),40901.0)</f>
        <v>40901</v>
      </c>
    </row>
    <row r="550">
      <c r="A550" s="59" t="str">
        <f>IFERROR(__xludf.DUMMYFUNCTION("""COMPUTED_VALUE"""),"Stickwars 2")</f>
        <v>Stickwars 2</v>
      </c>
      <c r="B550" s="60"/>
      <c r="C550" s="61" t="str">
        <f>IFERROR(__xludf.DUMMYFUNCTION("""COMPUTED_VALUE"""),"Yes")</f>
        <v>Yes</v>
      </c>
      <c r="D550" s="62" t="str">
        <f>IFERROR(__xludf.DUMMYFUNCTION("""COMPUTED_VALUE"""),"Works well")</f>
        <v>Works well</v>
      </c>
      <c r="E550" s="61" t="str">
        <f>IFERROR(__xludf.DUMMYFUNCTION("""COMPUTED_VALUE"""),"phatpham")</f>
        <v>phatpham</v>
      </c>
      <c r="F550" s="63">
        <f>IFERROR(__xludf.DUMMYFUNCTION("""COMPUTED_VALUE"""),40901.0)</f>
        <v>40901</v>
      </c>
    </row>
    <row r="551">
      <c r="A551" s="59" t="str">
        <f>IFERROR(__xludf.DUMMYFUNCTION("""COMPUTED_VALUE"""),"Supermarket Mania 2")</f>
        <v>Supermarket Mania 2</v>
      </c>
      <c r="B551" s="60"/>
      <c r="C551" s="61" t="str">
        <f>IFERROR(__xludf.DUMMYFUNCTION("""COMPUTED_VALUE"""),"Yes")</f>
        <v>Yes</v>
      </c>
      <c r="D551" s="62" t="str">
        <f>IFERROR(__xludf.DUMMYFUNCTION("""COMPUTED_VALUE"""),"Free → Full")</f>
        <v>Free → Full</v>
      </c>
      <c r="E551" s="61" t="str">
        <f>IFERROR(__xludf.DUMMYFUNCTION("""COMPUTED_VALUE"""),"phatpham")</f>
        <v>phatpham</v>
      </c>
      <c r="F551" s="63">
        <f>IFERROR(__xludf.DUMMYFUNCTION("""COMPUTED_VALUE"""),40901.0)</f>
        <v>40901</v>
      </c>
    </row>
    <row r="552">
      <c r="A552" s="59" t="str">
        <f>IFERROR(__xludf.DUMMYFUNCTION("""COMPUTED_VALUE"""),"Youda Survivor")</f>
        <v>Youda Survivor</v>
      </c>
      <c r="B552" s="60"/>
      <c r="C552" s="61" t="str">
        <f>IFERROR(__xludf.DUMMYFUNCTION("""COMPUTED_VALUE"""),"Yes")</f>
        <v>Yes</v>
      </c>
      <c r="D552" s="62" t="str">
        <f>IFERROR(__xludf.DUMMYFUNCTION("""COMPUTED_VALUE"""),"Free →  Full")</f>
        <v>Free →  Full</v>
      </c>
      <c r="E552" s="61" t="str">
        <f>IFERROR(__xludf.DUMMYFUNCTION("""COMPUTED_VALUE"""),"phatpham")</f>
        <v>phatpham</v>
      </c>
      <c r="F552" s="63">
        <f>IFERROR(__xludf.DUMMYFUNCTION("""COMPUTED_VALUE"""),40901.0)</f>
        <v>40901</v>
      </c>
    </row>
    <row r="553">
      <c r="A553" s="59" t="str">
        <f>IFERROR(__xludf.DUMMYFUNCTION("""COMPUTED_VALUE"""),"A Knights Dawn")</f>
        <v>A Knights Dawn</v>
      </c>
      <c r="B553" s="60"/>
      <c r="C553" s="61" t="str">
        <f>IFERROR(__xludf.DUMMYFUNCTION("""COMPUTED_VALUE"""),"Yes")</f>
        <v>Yes</v>
      </c>
      <c r="D553" s="62"/>
      <c r="E553" s="61" t="str">
        <f>IFERROR(__xludf.DUMMYFUNCTION("""COMPUTED_VALUE"""),"phatpham")</f>
        <v>phatpham</v>
      </c>
      <c r="F553" s="63">
        <f>IFERROR(__xludf.DUMMYFUNCTION("""COMPUTED_VALUE"""),40900.0)</f>
        <v>40900</v>
      </c>
    </row>
    <row r="554">
      <c r="A554" s="59" t="str">
        <f>IFERROR(__xludf.DUMMYFUNCTION("""COMPUTED_VALUE"""),"Age of Shit")</f>
        <v>Age of Shit</v>
      </c>
      <c r="B554" s="60"/>
      <c r="C554" s="61" t="str">
        <f>IFERROR(__xludf.DUMMYFUNCTION("""COMPUTED_VALUE"""),"Yes")</f>
        <v>Yes</v>
      </c>
      <c r="D554" s="62"/>
      <c r="E554" s="61" t="str">
        <f>IFERROR(__xludf.DUMMYFUNCTION("""COMPUTED_VALUE"""),"phatpham")</f>
        <v>phatpham</v>
      </c>
      <c r="F554" s="63">
        <f>IFERROR(__xludf.DUMMYFUNCTION("""COMPUTED_VALUE"""),40900.0)</f>
        <v>40900</v>
      </c>
    </row>
    <row r="555">
      <c r="A555" s="59" t="str">
        <f>IFERROR(__xludf.DUMMYFUNCTION("""COMPUTED_VALUE"""),"Deer Hunter 3D")</f>
        <v>Deer Hunter 3D</v>
      </c>
      <c r="B555" s="60"/>
      <c r="C555" s="61" t="str">
        <f>IFERROR(__xludf.DUMMYFUNCTION("""COMPUTED_VALUE"""),"Yes")</f>
        <v>Yes</v>
      </c>
      <c r="D555" s="62"/>
      <c r="E555" s="61" t="str">
        <f>IFERROR(__xludf.DUMMYFUNCTION("""COMPUTED_VALUE"""),"phatpham")</f>
        <v>phatpham</v>
      </c>
      <c r="F555" s="63">
        <f>IFERROR(__xludf.DUMMYFUNCTION("""COMPUTED_VALUE"""),40900.0)</f>
        <v>40900</v>
      </c>
    </row>
    <row r="556">
      <c r="A556" s="59" t="str">
        <f>IFERROR(__xludf.DUMMYFUNCTION("""COMPUTED_VALUE"""),"Deer Hunter Challenge")</f>
        <v>Deer Hunter Challenge</v>
      </c>
      <c r="B556" s="60"/>
      <c r="C556" s="61" t="str">
        <f>IFERROR(__xludf.DUMMYFUNCTION("""COMPUTED_VALUE"""),"Yes")</f>
        <v>Yes</v>
      </c>
      <c r="D556" s="62" t="str">
        <f>IFERROR(__xludf.DUMMYFUNCTION("""COMPUTED_VALUE"""),"Requires log into Game Center")</f>
        <v>Requires log into Game Center</v>
      </c>
      <c r="E556" s="61" t="str">
        <f>IFERROR(__xludf.DUMMYFUNCTION("""COMPUTED_VALUE"""),"phatpham")</f>
        <v>phatpham</v>
      </c>
      <c r="F556" s="63">
        <f>IFERROR(__xludf.DUMMYFUNCTION("""COMPUTED_VALUE"""),40900.0)</f>
        <v>40900</v>
      </c>
    </row>
    <row r="557">
      <c r="A557" s="59" t="str">
        <f>IFERROR(__xludf.DUMMYFUNCTION("""COMPUTED_VALUE"""),"Katamari AMORE")</f>
        <v>Katamari AMORE</v>
      </c>
      <c r="B557" s="60"/>
      <c r="C557" s="61" t="str">
        <f>IFERROR(__xludf.DUMMYFUNCTION("""COMPUTED_VALUE"""),"Yes")</f>
        <v>Yes</v>
      </c>
      <c r="D557" s="62" t="str">
        <f>IFERROR(__xludf.DUMMYFUNCTION("""COMPUTED_VALUE"""),"Works, validate iTunes password and iAP will be purchased (removed cc please)")</f>
        <v>Works, validate iTunes password and iAP will be purchased (removed cc please)</v>
      </c>
      <c r="E557" s="61" t="str">
        <f>IFERROR(__xludf.DUMMYFUNCTION("""COMPUTED_VALUE"""),"Guk")</f>
        <v>Guk</v>
      </c>
      <c r="F557" s="63">
        <f>IFERROR(__xludf.DUMMYFUNCTION("""COMPUTED_VALUE"""),40900.0)</f>
        <v>40900</v>
      </c>
    </row>
    <row r="558">
      <c r="A558" s="59" t="str">
        <f>IFERROR(__xludf.DUMMYFUNCTION("""COMPUTED_VALUE"""),"Mad Skills Motocross")</f>
        <v>Mad Skills Motocross</v>
      </c>
      <c r="B558" s="60"/>
      <c r="C558" s="61" t="str">
        <f>IFERROR(__xludf.DUMMYFUNCTION("""COMPUTED_VALUE"""),"Yes")</f>
        <v>Yes</v>
      </c>
      <c r="D558" s="62"/>
      <c r="E558" s="61" t="str">
        <f>IFERROR(__xludf.DUMMYFUNCTION("""COMPUTED_VALUE"""),"Cmahoney")</f>
        <v>Cmahoney</v>
      </c>
      <c r="F558" s="63">
        <f>IFERROR(__xludf.DUMMYFUNCTION("""COMPUTED_VALUE"""),40900.0)</f>
        <v>40900</v>
      </c>
    </row>
    <row r="559">
      <c r="A559" s="59" t="str">
        <f>IFERROR(__xludf.DUMMYFUNCTION("""COMPUTED_VALUE"""),"Mafia Rush")</f>
        <v>Mafia Rush</v>
      </c>
      <c r="B559" s="60"/>
      <c r="C559" s="61" t="str">
        <f>IFERROR(__xludf.DUMMYFUNCTION("""COMPUTED_VALUE"""),"Yes")</f>
        <v>Yes</v>
      </c>
      <c r="D559" s="62" t="str">
        <f>IFERROR(__xludf.DUMMYFUNCTION("""COMPUTED_VALUE"""),"Buy XP, coins")</f>
        <v>Buy XP, coins</v>
      </c>
      <c r="E559" s="61" t="str">
        <f>IFERROR(__xludf.DUMMYFUNCTION("""COMPUTED_VALUE"""),"Bull Moose")</f>
        <v>Bull Moose</v>
      </c>
      <c r="F559" s="63">
        <f>IFERROR(__xludf.DUMMYFUNCTION("""COMPUTED_VALUE"""),40900.0)</f>
        <v>40900</v>
      </c>
    </row>
    <row r="560">
      <c r="A560" s="59" t="str">
        <f>IFERROR(__xludf.DUMMYFUNCTION("""COMPUTED_VALUE"""),"Plants vs Zombies")</f>
        <v>Plants vs Zombies</v>
      </c>
      <c r="B560" s="60"/>
      <c r="C560" s="61" t="str">
        <f>IFERROR(__xludf.DUMMYFUNCTION("""COMPUTED_VALUE"""),"Yes")</f>
        <v>Yes</v>
      </c>
      <c r="D560" s="62" t="str">
        <f>IFERROR(__xludf.DUMMYFUNCTION("""COMPUTED_VALUE"""),"Able to buy credits")</f>
        <v>Able to buy credits</v>
      </c>
      <c r="E560" s="61" t="str">
        <f>IFERROR(__xludf.DUMMYFUNCTION("""COMPUTED_VALUE"""),"AXL")</f>
        <v>AXL</v>
      </c>
      <c r="F560" s="63">
        <f>IFERROR(__xludf.DUMMYFUNCTION("""COMPUTED_VALUE"""),40900.0)</f>
        <v>40900</v>
      </c>
    </row>
    <row r="561">
      <c r="A561" s="59" t="str">
        <f>IFERROR(__xludf.DUMMYFUNCTION("""COMPUTED_VALUE"""),"Stardom: The A List")</f>
        <v>Stardom: The A List</v>
      </c>
      <c r="B561" s="60"/>
      <c r="C561" s="61" t="str">
        <f>IFERROR(__xludf.DUMMYFUNCTION("""COMPUTED_VALUE"""),"Yes")</f>
        <v>Yes</v>
      </c>
      <c r="D561" s="62" t="str">
        <f>IFERROR(__xludf.DUMMYFUNCTION("""COMPUTED_VALUE"""),"Everything is OK")</f>
        <v>Everything is OK</v>
      </c>
      <c r="E561" s="61" t="str">
        <f>IFERROR(__xludf.DUMMYFUNCTION("""COMPUTED_VALUE"""),"phatpham")</f>
        <v>phatpham</v>
      </c>
      <c r="F561" s="63">
        <f>IFERROR(__xludf.DUMMYFUNCTION("""COMPUTED_VALUE"""),40900.0)</f>
        <v>40900</v>
      </c>
    </row>
    <row r="562">
      <c r="A562" s="59" t="str">
        <f>IFERROR(__xludf.DUMMYFUNCTION("""COMPUTED_VALUE"""),"Super KO Boxing 2")</f>
        <v>Super KO Boxing 2</v>
      </c>
      <c r="B562" s="60"/>
      <c r="C562" s="61" t="str">
        <f>IFERROR(__xludf.DUMMYFUNCTION("""COMPUTED_VALUE"""),"Yes")</f>
        <v>Yes</v>
      </c>
      <c r="D562" s="62"/>
      <c r="E562" s="61" t="str">
        <f>IFERROR(__xludf.DUMMYFUNCTION("""COMPUTED_VALUE"""),"phatpham")</f>
        <v>phatpham</v>
      </c>
      <c r="F562" s="63">
        <f>IFERROR(__xludf.DUMMYFUNCTION("""COMPUTED_VALUE"""),40900.0)</f>
        <v>40900</v>
      </c>
    </row>
    <row r="563">
      <c r="A563" s="59" t="str">
        <f>IFERROR(__xludf.DUMMYFUNCTION("""COMPUTED_VALUE"""),"Tabletop")</f>
        <v>Tabletop</v>
      </c>
      <c r="B563" s="60"/>
      <c r="C563" s="61" t="str">
        <f>IFERROR(__xludf.DUMMYFUNCTION("""COMPUTED_VALUE"""),"Yes")</f>
        <v>Yes</v>
      </c>
      <c r="D563" s="62" t="str">
        <f>IFERROR(__xludf.DUMMYFUNCTION("""COMPUTED_VALUE"""),"Store menu does not work, but just drag store items onto grid, then touch ""Buy""!")</f>
        <v>Store menu does not work, but just drag store items onto grid, then touch "Buy"!</v>
      </c>
      <c r="E563" s="61" t="str">
        <f>IFERROR(__xludf.DUMMYFUNCTION("""COMPUTED_VALUE"""),"Bull Moose")</f>
        <v>Bull Moose</v>
      </c>
      <c r="F563" s="63">
        <f>IFERROR(__xludf.DUMMYFUNCTION("""COMPUTED_VALUE"""),40900.0)</f>
        <v>40900</v>
      </c>
    </row>
    <row r="564">
      <c r="A564" s="59" t="str">
        <f>IFERROR(__xludf.DUMMYFUNCTION("""COMPUTED_VALUE"""),"9MM")</f>
        <v>9MM</v>
      </c>
      <c r="B564" s="60"/>
      <c r="C564" s="61" t="str">
        <f>IFERROR(__xludf.DUMMYFUNCTION("""COMPUTED_VALUE"""),"Yes")</f>
        <v>Yes</v>
      </c>
      <c r="D564" s="62"/>
      <c r="E564" s="61" t="str">
        <f>IFERROR(__xludf.DUMMYFUNCTION("""COMPUTED_VALUE"""),"phatpham")</f>
        <v>phatpham</v>
      </c>
      <c r="F564" s="63">
        <f>IFERROR(__xludf.DUMMYFUNCTION("""COMPUTED_VALUE"""),40899.0)</f>
        <v>40899</v>
      </c>
    </row>
    <row r="565">
      <c r="A565" s="59" t="str">
        <f>IFERROR(__xludf.DUMMYFUNCTION("""COMPUTED_VALUE"""),"Blockwick")</f>
        <v>Blockwick</v>
      </c>
      <c r="B565" s="60"/>
      <c r="C565" s="61" t="str">
        <f>IFERROR(__xludf.DUMMYFUNCTION("""COMPUTED_VALUE"""),"Yes")</f>
        <v>Yes</v>
      </c>
      <c r="D565" s="62" t="str">
        <f>IFERROR(__xludf.DUMMYFUNCTION("""COMPUTED_VALUE"""),"Can buy every pack")</f>
        <v>Can buy every pack</v>
      </c>
      <c r="E565" s="61"/>
      <c r="F565" s="63">
        <f>IFERROR(__xludf.DUMMYFUNCTION("""COMPUTED_VALUE"""),40899.0)</f>
        <v>40899</v>
      </c>
    </row>
    <row r="566">
      <c r="A566" s="59" t="str">
        <f>IFERROR(__xludf.DUMMYFUNCTION("""COMPUTED_VALUE"""),"Fast five the movie: Official Game")</f>
        <v>Fast five the movie: Official Game</v>
      </c>
      <c r="B566" s="60"/>
      <c r="C566" s="61" t="str">
        <f>IFERROR(__xludf.DUMMYFUNCTION("""COMPUTED_VALUE"""),"Yes")</f>
        <v>Yes</v>
      </c>
      <c r="D566" s="62"/>
      <c r="E566" s="61" t="str">
        <f>IFERROR(__xludf.DUMMYFUNCTION("""COMPUTED_VALUE"""),"phatpham")</f>
        <v>phatpham</v>
      </c>
      <c r="F566" s="63">
        <f>IFERROR(__xludf.DUMMYFUNCTION("""COMPUTED_VALUE"""),40899.0)</f>
        <v>40899</v>
      </c>
    </row>
    <row r="567">
      <c r="A567" s="59" t="str">
        <f>IFERROR(__xludf.DUMMYFUNCTION("""COMPUTED_VALUE"""),"FlickStackr")</f>
        <v>FlickStackr</v>
      </c>
      <c r="B567" s="60"/>
      <c r="C567" s="61" t="str">
        <f>IFERROR(__xludf.DUMMYFUNCTION("""COMPUTED_VALUE"""),"Yes")</f>
        <v>Yes</v>
      </c>
      <c r="D567" s="62"/>
      <c r="E567" s="61" t="str">
        <f>IFERROR(__xludf.DUMMYFUNCTION("""COMPUTED_VALUE"""),"Bull Moose")</f>
        <v>Bull Moose</v>
      </c>
      <c r="F567" s="63">
        <f>IFERROR(__xludf.DUMMYFUNCTION("""COMPUTED_VALUE"""),40899.0)</f>
        <v>40899</v>
      </c>
    </row>
    <row r="568">
      <c r="A568" s="59" t="str">
        <f>IFERROR(__xludf.DUMMYFUNCTION("""COMPUTED_VALUE"""),"Glee Karaoke")</f>
        <v>Glee Karaoke</v>
      </c>
      <c r="B568" s="60"/>
      <c r="C568" s="61" t="str">
        <f>IFERROR(__xludf.DUMMYFUNCTION("""COMPUTED_VALUE"""),"Yes")</f>
        <v>Yes</v>
      </c>
      <c r="D568" s="62"/>
      <c r="E568" s="61" t="str">
        <f>IFERROR(__xludf.DUMMYFUNCTION("""COMPUTED_VALUE"""),"fss003124")</f>
        <v>fss003124</v>
      </c>
      <c r="F568" s="63">
        <f>IFERROR(__xludf.DUMMYFUNCTION("""COMPUTED_VALUE"""),40899.0)</f>
        <v>40899</v>
      </c>
    </row>
    <row r="569">
      <c r="A569" s="59" t="str">
        <f>IFERROR(__xludf.DUMMYFUNCTION("""COMPUTED_VALUE"""),"Jane's Hotel: Family Hero")</f>
        <v>Jane's Hotel: Family Hero</v>
      </c>
      <c r="B569" s="60"/>
      <c r="C569" s="61" t="str">
        <f>IFERROR(__xludf.DUMMYFUNCTION("""COMPUTED_VALUE"""),"Yes")</f>
        <v>Yes</v>
      </c>
      <c r="D569" s="62" t="str">
        <f>IFERROR(__xludf.DUMMYFUNCTION("""COMPUTED_VALUE"""),"Free → Full")</f>
        <v>Free → Full</v>
      </c>
      <c r="E569" s="61" t="str">
        <f>IFERROR(__xludf.DUMMYFUNCTION("""COMPUTED_VALUE"""),"phatpham")</f>
        <v>phatpham</v>
      </c>
      <c r="F569" s="63">
        <f>IFERROR(__xludf.DUMMYFUNCTION("""COMPUTED_VALUE"""),40899.0)</f>
        <v>40899</v>
      </c>
    </row>
    <row r="570">
      <c r="A570" s="59" t="str">
        <f>IFERROR(__xludf.DUMMYFUNCTION("""COMPUTED_VALUE"""),"Kaptain Brawe: A Brawe New World")</f>
        <v>Kaptain Brawe: A Brawe New World</v>
      </c>
      <c r="B570" s="60"/>
      <c r="C570" s="61" t="str">
        <f>IFERROR(__xludf.DUMMYFUNCTION("""COMPUTED_VALUE"""),"Yes")</f>
        <v>Yes</v>
      </c>
      <c r="D570" s="62" t="str">
        <f>IFERROR(__xludf.DUMMYFUNCTION("""COMPUTED_VALUE"""),"Free → Full")</f>
        <v>Free → Full</v>
      </c>
      <c r="E570" s="61" t="str">
        <f>IFERROR(__xludf.DUMMYFUNCTION("""COMPUTED_VALUE"""),"phatpham")</f>
        <v>phatpham</v>
      </c>
      <c r="F570" s="63">
        <f>IFERROR(__xludf.DUMMYFUNCTION("""COMPUTED_VALUE"""),40899.0)</f>
        <v>40899</v>
      </c>
    </row>
    <row r="571">
      <c r="A571" s="59" t="str">
        <f>IFERROR(__xludf.DUMMYFUNCTION("""COMPUTED_VALUE"""),"Super Junior Shake")</f>
        <v>Super Junior Shake</v>
      </c>
      <c r="B571" s="60"/>
      <c r="C571" s="61" t="str">
        <f>IFERROR(__xludf.DUMMYFUNCTION("""COMPUTED_VALUE"""),"Yes")</f>
        <v>Yes</v>
      </c>
      <c r="D571" s="62"/>
      <c r="E571" s="61"/>
      <c r="F571" s="63">
        <f>IFERROR(__xludf.DUMMYFUNCTION("""COMPUTED_VALUE"""),40899.0)</f>
        <v>40899</v>
      </c>
    </row>
    <row r="572">
      <c r="A572" s="59" t="str">
        <f>IFERROR(__xludf.DUMMYFUNCTION("""COMPUTED_VALUE"""),"Tap Fish 2")</f>
        <v>Tap Fish 2</v>
      </c>
      <c r="B572" s="60"/>
      <c r="C572" s="61" t="str">
        <f>IFERROR(__xludf.DUMMYFUNCTION("""COMPUTED_VALUE"""),"Yes")</f>
        <v>Yes</v>
      </c>
      <c r="D572" s="62"/>
      <c r="E572" s="61" t="str">
        <f>IFERROR(__xludf.DUMMYFUNCTION("""COMPUTED_VALUE"""),"Thef")</f>
        <v>Thef</v>
      </c>
      <c r="F572" s="63">
        <f>IFERROR(__xludf.DUMMYFUNCTION("""COMPUTED_VALUE"""),40899.0)</f>
        <v>40899</v>
      </c>
    </row>
    <row r="573">
      <c r="A573" s="59" t="str">
        <f>IFERROR(__xludf.DUMMYFUNCTION("""COMPUTED_VALUE"""),"The Impossible Test CHRISTMAS")</f>
        <v>The Impossible Test CHRISTMAS</v>
      </c>
      <c r="B573" s="60"/>
      <c r="C573" s="61" t="str">
        <f>IFERROR(__xludf.DUMMYFUNCTION("""COMPUTED_VALUE"""),"Yes")</f>
        <v>Yes</v>
      </c>
      <c r="D573" s="62" t="str">
        <f>IFERROR(__xludf.DUMMYFUNCTION("""COMPUTED_VALUE"""),"Can purchase coins on the spot, for ad-free, it will load forever but once I restart the app, the ads are gone.")</f>
        <v>Can purchase coins on the spot, for ad-free, it will load forever but once I restart the app, the ads are gone.</v>
      </c>
      <c r="E573" s="61" t="str">
        <f>IFERROR(__xludf.DUMMYFUNCTION("""COMPUTED_VALUE"""),"Z1nC")</f>
        <v>Z1nC</v>
      </c>
      <c r="F573" s="63">
        <f>IFERROR(__xludf.DUMMYFUNCTION("""COMPUTED_VALUE"""),40899.0)</f>
        <v>40899</v>
      </c>
    </row>
    <row r="574">
      <c r="A574" s="59" t="str">
        <f>IFERROR(__xludf.DUMMYFUNCTION("""COMPUTED_VALUE"""),"Archies Comics")</f>
        <v>Archies Comics</v>
      </c>
      <c r="B574" s="60"/>
      <c r="C574" s="61" t="str">
        <f>IFERROR(__xludf.DUMMYFUNCTION("""COMPUTED_VALUE"""),"Yes")</f>
        <v>Yes</v>
      </c>
      <c r="D574" s="62" t="str">
        <f>IFERROR(__xludf.DUMMYFUNCTION("""COMPUTED_VALUE"""),"Takes a little while to initialize karma, but it works")</f>
        <v>Takes a little while to initialize karma, but it works</v>
      </c>
      <c r="E574" s="61" t="str">
        <f>IFERROR(__xludf.DUMMYFUNCTION("""COMPUTED_VALUE"""),"phatpham")</f>
        <v>phatpham</v>
      </c>
      <c r="F574" s="63">
        <f>IFERROR(__xludf.DUMMYFUNCTION("""COMPUTED_VALUE"""),40898.0)</f>
        <v>40898</v>
      </c>
    </row>
    <row r="575">
      <c r="A575" s="59" t="str">
        <f>IFERROR(__xludf.DUMMYFUNCTION("""COMPUTED_VALUE"""),"Assassin's Creed Rearmed")</f>
        <v>Assassin's Creed Rearmed</v>
      </c>
      <c r="B575" s="60"/>
      <c r="C575" s="61" t="str">
        <f>IFERROR(__xludf.DUMMYFUNCTION("""COMPUTED_VALUE"""),"Yes")</f>
        <v>Yes</v>
      </c>
      <c r="D575" s="62"/>
      <c r="E575" s="61" t="str">
        <f>IFERROR(__xludf.DUMMYFUNCTION("""COMPUTED_VALUE"""),"phatpham")</f>
        <v>phatpham</v>
      </c>
      <c r="F575" s="63">
        <f>IFERROR(__xludf.DUMMYFUNCTION("""COMPUTED_VALUE"""),40898.0)</f>
        <v>40898</v>
      </c>
    </row>
    <row r="576">
      <c r="A576" s="59" t="str">
        <f>IFERROR(__xludf.DUMMYFUNCTION("""COMPUTED_VALUE"""),"BREAKOUT")</f>
        <v>BREAKOUT</v>
      </c>
      <c r="B576" s="60"/>
      <c r="C576" s="61" t="str">
        <f>IFERROR(__xludf.DUMMYFUNCTION("""COMPUTED_VALUE"""),"Yes")</f>
        <v>Yes</v>
      </c>
      <c r="D576" s="62" t="str">
        <f>IFERROR(__xludf.DUMMYFUNCTION("""COMPUTED_VALUE"""),"Purchase additional levels")</f>
        <v>Purchase additional levels</v>
      </c>
      <c r="E576" s="61" t="str">
        <f>IFERROR(__xludf.DUMMYFUNCTION("""COMPUTED_VALUE"""),"Duces")</f>
        <v>Duces</v>
      </c>
      <c r="F576" s="63">
        <f>IFERROR(__xludf.DUMMYFUNCTION("""COMPUTED_VALUE"""),40898.0)</f>
        <v>40898</v>
      </c>
    </row>
    <row r="577">
      <c r="A577" s="59" t="str">
        <f>IFERROR(__xludf.DUMMYFUNCTION("""COMPUTED_VALUE"""),"Deep Deep Dungeon")</f>
        <v>Deep Deep Dungeon</v>
      </c>
      <c r="B577" s="60"/>
      <c r="C577" s="61" t="str">
        <f>IFERROR(__xludf.DUMMYFUNCTION("""COMPUTED_VALUE"""),"Yes")</f>
        <v>Yes</v>
      </c>
      <c r="D577" s="62" t="str">
        <f>IFERROR(__xludf.DUMMYFUNCTION("""COMPUTED_VALUE"""),"Buy all the gold you want to upgrade your weapons and armor!")</f>
        <v>Buy all the gold you want to upgrade your weapons and armor!</v>
      </c>
      <c r="E577" s="61"/>
      <c r="F577" s="63">
        <f>IFERROR(__xludf.DUMMYFUNCTION("""COMPUTED_VALUE"""),40898.0)</f>
        <v>40898</v>
      </c>
    </row>
    <row r="578">
      <c r="A578" s="59" t="str">
        <f>IFERROR(__xludf.DUMMYFUNCTION("""COMPUTED_VALUE"""),"Legendary")</f>
        <v>Legendary</v>
      </c>
      <c r="B578" s="60"/>
      <c r="C578" s="61" t="str">
        <f>IFERROR(__xludf.DUMMYFUNCTION("""COMPUTED_VALUE"""),"Yes")</f>
        <v>Yes</v>
      </c>
      <c r="D578" s="62" t="str">
        <f>IFERROR(__xludf.DUMMYFUNCTION("""COMPUTED_VALUE"""),"Buy Gems")</f>
        <v>Buy Gems</v>
      </c>
      <c r="E578" s="61" t="str">
        <f>IFERROR(__xludf.DUMMYFUNCTION("""COMPUTED_VALUE"""),"phatpham")</f>
        <v>phatpham</v>
      </c>
      <c r="F578" s="63">
        <f>IFERROR(__xludf.DUMMYFUNCTION("""COMPUTED_VALUE"""),40898.0)</f>
        <v>40898</v>
      </c>
    </row>
    <row r="579">
      <c r="A579" s="59" t="str">
        <f>IFERROR(__xludf.DUMMYFUNCTION("""COMPUTED_VALUE"""),"Lightning")</f>
        <v>Lightning</v>
      </c>
      <c r="B579" s="60"/>
      <c r="C579" s="61" t="str">
        <f>IFERROR(__xludf.DUMMYFUNCTION("""COMPUTED_VALUE"""),"Yes")</f>
        <v>Yes</v>
      </c>
      <c r="D579" s="62" t="str">
        <f>IFERROR(__xludf.DUMMYFUNCTION("""COMPUTED_VALUE"""),"Working well with latest version")</f>
        <v>Working well with latest version</v>
      </c>
      <c r="E579" s="61" t="str">
        <f>IFERROR(__xludf.DUMMYFUNCTION("""COMPUTED_VALUE"""),"ShuShiz")</f>
        <v>ShuShiz</v>
      </c>
      <c r="F579" s="63">
        <f>IFERROR(__xludf.DUMMYFUNCTION("""COMPUTED_VALUE"""),40898.0)</f>
        <v>40898</v>
      </c>
    </row>
    <row r="580">
      <c r="A580" s="59" t="str">
        <f>IFERROR(__xludf.DUMMYFUNCTION("""COMPUTED_VALUE"""),"Mancala FS5")</f>
        <v>Mancala FS5</v>
      </c>
      <c r="B580" s="60"/>
      <c r="C580" s="61" t="str">
        <f>IFERROR(__xludf.DUMMYFUNCTION("""COMPUTED_VALUE"""),"Yes")</f>
        <v>Yes</v>
      </c>
      <c r="D580" s="62" t="str">
        <f>IFERROR(__xludf.DUMMYFUNCTION("""COMPUTED_VALUE"""),"Purchase Credits")</f>
        <v>Purchase Credits</v>
      </c>
      <c r="E580" s="61" t="str">
        <f>IFERROR(__xludf.DUMMYFUNCTION("""COMPUTED_VALUE"""),"Duces")</f>
        <v>Duces</v>
      </c>
      <c r="F580" s="63">
        <f>IFERROR(__xludf.DUMMYFUNCTION("""COMPUTED_VALUE"""),40898.0)</f>
        <v>40898</v>
      </c>
    </row>
    <row r="581">
      <c r="A581" s="59" t="str">
        <f>IFERROR(__xludf.DUMMYFUNCTION("""COMPUTED_VALUE"""),"Mask of Ninja: Last Hero")</f>
        <v>Mask of Ninja: Last Hero</v>
      </c>
      <c r="B581" s="60"/>
      <c r="C581" s="61" t="str">
        <f>IFERROR(__xludf.DUMMYFUNCTION("""COMPUTED_VALUE"""),"Yes")</f>
        <v>Yes</v>
      </c>
      <c r="D581" s="62" t="str">
        <f>IFERROR(__xludf.DUMMYFUNCTION("""COMPUTED_VALUE"""),"Buy soul")</f>
        <v>Buy soul</v>
      </c>
      <c r="E581" s="61" t="str">
        <f>IFERROR(__xludf.DUMMYFUNCTION("""COMPUTED_VALUE"""),"phatpham")</f>
        <v>phatpham</v>
      </c>
      <c r="F581" s="63">
        <f>IFERROR(__xludf.DUMMYFUNCTION("""COMPUTED_VALUE"""),40898.0)</f>
        <v>40898</v>
      </c>
    </row>
    <row r="582">
      <c r="A582" s="59" t="str">
        <f>IFERROR(__xludf.DUMMYFUNCTION("""COMPUTED_VALUE"""),"RunRunRiot")</f>
        <v>RunRunRiot</v>
      </c>
      <c r="B582" s="60"/>
      <c r="C582" s="61" t="str">
        <f>IFERROR(__xludf.DUMMYFUNCTION("""COMPUTED_VALUE"""),"Yes")</f>
        <v>Yes</v>
      </c>
      <c r="D582" s="62" t="str">
        <f>IFERROR(__xludf.DUMMYFUNCTION("""COMPUTED_VALUE"""),"Works great")</f>
        <v>Works great</v>
      </c>
      <c r="E582" s="61" t="str">
        <f>IFERROR(__xludf.DUMMYFUNCTION("""COMPUTED_VALUE"""),"Duces")</f>
        <v>Duces</v>
      </c>
      <c r="F582" s="63">
        <f>IFERROR(__xludf.DUMMYFUNCTION("""COMPUTED_VALUE"""),40898.0)</f>
        <v>40898</v>
      </c>
    </row>
    <row r="583">
      <c r="A583" s="59" t="str">
        <f>IFERROR(__xludf.DUMMYFUNCTION("""COMPUTED_VALUE"""),"SwankoLab")</f>
        <v>SwankoLab</v>
      </c>
      <c r="B583" s="60"/>
      <c r="C583" s="61" t="str">
        <f>IFERROR(__xludf.DUMMYFUNCTION("""COMPUTED_VALUE"""),"Yes")</f>
        <v>Yes</v>
      </c>
      <c r="D583" s="62" t="str">
        <f>IFERROR(__xludf.DUMMYFUNCTION("""COMPUTED_VALUE"""),"Purchase Uncle Stu's Photo Emporium")</f>
        <v>Purchase Uncle Stu's Photo Emporium</v>
      </c>
      <c r="E583" s="61" t="str">
        <f>IFERROR(__xludf.DUMMYFUNCTION("""COMPUTED_VALUE"""),"Nandoche")</f>
        <v>Nandoche</v>
      </c>
      <c r="F583" s="63">
        <f>IFERROR(__xludf.DUMMYFUNCTION("""COMPUTED_VALUE"""),40898.0)</f>
        <v>40898</v>
      </c>
    </row>
    <row r="584">
      <c r="A584" s="59" t="str">
        <f>IFERROR(__xludf.DUMMYFUNCTION("""COMPUTED_VALUE"""),"Ultimate Guitar Tabs (2.0.0)")</f>
        <v>Ultimate Guitar Tabs (2.0.0)</v>
      </c>
      <c r="B584" s="60"/>
      <c r="C584" s="61" t="str">
        <f>IFERROR(__xludf.DUMMYFUNCTION("""COMPUTED_VALUE"""),"Yes")</f>
        <v>Yes</v>
      </c>
      <c r="D584" s="62" t="str">
        <f>IFERROR(__xludf.DUMMYFUNCTION("""COMPUTED_VALUE"""),"Ensure Metadata turned on")</f>
        <v>Ensure Metadata turned on</v>
      </c>
      <c r="E584" s="61" t="str">
        <f>IFERROR(__xludf.DUMMYFUNCTION("""COMPUTED_VALUE"""),"Bull Moose")</f>
        <v>Bull Moose</v>
      </c>
      <c r="F584" s="63">
        <f>IFERROR(__xludf.DUMMYFUNCTION("""COMPUTED_VALUE"""),40898.0)</f>
        <v>40898</v>
      </c>
    </row>
    <row r="585">
      <c r="A585" s="59" t="str">
        <f>IFERROR(__xludf.DUMMYFUNCTION("""COMPUTED_VALUE"""),"Zombie Sweeper")</f>
        <v>Zombie Sweeper</v>
      </c>
      <c r="B585" s="60"/>
      <c r="C585" s="61" t="str">
        <f>IFERROR(__xludf.DUMMYFUNCTION("""COMPUTED_VALUE"""),"Yes")</f>
        <v>Yes</v>
      </c>
      <c r="D585" s="62" t="str">
        <f>IFERROR(__xludf.DUMMYFUNCTION("""COMPUTED_VALUE"""),"Purchase Gems")</f>
        <v>Purchase Gems</v>
      </c>
      <c r="E585" s="61" t="str">
        <f>IFERROR(__xludf.DUMMYFUNCTION("""COMPUTED_VALUE"""),"noache")</f>
        <v>noache</v>
      </c>
      <c r="F585" s="63">
        <f>IFERROR(__xludf.DUMMYFUNCTION("""COMPUTED_VALUE"""),40898.0)</f>
        <v>40898</v>
      </c>
    </row>
    <row r="586">
      <c r="A586" s="59" t="str">
        <f>IFERROR(__xludf.DUMMYFUNCTION("""COMPUTED_VALUE"""),"Aqueduct")</f>
        <v>Aqueduct</v>
      </c>
      <c r="B586" s="60"/>
      <c r="C586" s="61" t="str">
        <f>IFERROR(__xludf.DUMMYFUNCTION("""COMPUTED_VALUE"""),"Yes")</f>
        <v>Yes</v>
      </c>
      <c r="D586" s="62" t="str">
        <f>IFERROR(__xludf.DUMMYFUNCTION("""COMPUTED_VALUE"""),"Ensure Metadata turned on")</f>
        <v>Ensure Metadata turned on</v>
      </c>
      <c r="E586" s="61" t="str">
        <f>IFERROR(__xludf.DUMMYFUNCTION("""COMPUTED_VALUE"""),"Bull Moose")</f>
        <v>Bull Moose</v>
      </c>
      <c r="F586" s="63">
        <f>IFERROR(__xludf.DUMMYFUNCTION("""COMPUTED_VALUE"""),40897.0)</f>
        <v>40897</v>
      </c>
    </row>
    <row r="587">
      <c r="A587" s="59" t="str">
        <f>IFERROR(__xludf.DUMMYFUNCTION("""COMPUTED_VALUE"""),"Bloons TD 4")</f>
        <v>Bloons TD 4</v>
      </c>
      <c r="B587" s="60"/>
      <c r="C587" s="61" t="str">
        <f>IFERROR(__xludf.DUMMYFUNCTION("""COMPUTED_VALUE"""),"Yes")</f>
        <v>Yes</v>
      </c>
      <c r="D587" s="62" t="str">
        <f>IFERROR(__xludf.DUMMYFUNCTION("""COMPUTED_VALUE"""),"It unlocks all the upgrades")</f>
        <v>It unlocks all the upgrades</v>
      </c>
      <c r="E587" s="61" t="str">
        <f>IFERROR(__xludf.DUMMYFUNCTION("""COMPUTED_VALUE"""),"Modreducks")</f>
        <v>Modreducks</v>
      </c>
      <c r="F587" s="63">
        <f>IFERROR(__xludf.DUMMYFUNCTION("""COMPUTED_VALUE"""),40897.0)</f>
        <v>40897</v>
      </c>
    </row>
    <row r="588">
      <c r="A588" s="59" t="str">
        <f>IFERROR(__xludf.DUMMYFUNCTION("""COMPUTED_VALUE"""),"Carcassonne")</f>
        <v>Carcassonne</v>
      </c>
      <c r="B588" s="60"/>
      <c r="C588" s="61" t="str">
        <f>IFERROR(__xludf.DUMMYFUNCTION("""COMPUTED_VALUE"""),"Yes")</f>
        <v>Yes</v>
      </c>
      <c r="D588" s="62" t="str">
        <f>IFERROR(__xludf.DUMMYFUNCTION("""COMPUTED_VALUE"""),"Works for River and Inns and Cathedrals Purchases")</f>
        <v>Works for River and Inns and Cathedrals Purchases</v>
      </c>
      <c r="E588" s="61" t="str">
        <f>IFERROR(__xludf.DUMMYFUNCTION("""COMPUTED_VALUE"""),"f3int")</f>
        <v>f3int</v>
      </c>
      <c r="F588" s="63">
        <f>IFERROR(__xludf.DUMMYFUNCTION("""COMPUTED_VALUE"""),40897.0)</f>
        <v>40897</v>
      </c>
    </row>
    <row r="589">
      <c r="A589" s="59" t="str">
        <f>IFERROR(__xludf.DUMMYFUNCTION("""COMPUTED_VALUE"""),"Defenders chronicles")</f>
        <v>Defenders chronicles</v>
      </c>
      <c r="B589" s="60"/>
      <c r="C589" s="61" t="str">
        <f>IFERROR(__xludf.DUMMYFUNCTION("""COMPUTED_VALUE"""),"Yes")</f>
        <v>Yes</v>
      </c>
      <c r="D589" s="62" t="str">
        <f>IFERROR(__xludf.DUMMYFUNCTION("""COMPUTED_VALUE"""),"All")</f>
        <v>All</v>
      </c>
      <c r="E589" s="61" t="str">
        <f>IFERROR(__xludf.DUMMYFUNCTION("""COMPUTED_VALUE"""),"sergjjj")</f>
        <v>sergjjj</v>
      </c>
      <c r="F589" s="63">
        <f>IFERROR(__xludf.DUMMYFUNCTION("""COMPUTED_VALUE"""),40897.0)</f>
        <v>40897</v>
      </c>
    </row>
    <row r="590">
      <c r="A590" s="59" t="str">
        <f>IFERROR(__xludf.DUMMYFUNCTION("""COMPUTED_VALUE"""),"FS5 Touch Hockey 2")</f>
        <v>FS5 Touch Hockey 2</v>
      </c>
      <c r="B590" s="60"/>
      <c r="C590" s="61" t="str">
        <f>IFERROR(__xludf.DUMMYFUNCTION("""COMPUTED_VALUE"""),"Yes")</f>
        <v>Yes</v>
      </c>
      <c r="D590" s="62" t="str">
        <f>IFERROR(__xludf.DUMMYFUNCTION("""COMPUTED_VALUE"""),"Can unlock full game and purchase coins.")</f>
        <v>Can unlock full game and purchase coins.</v>
      </c>
      <c r="E590" s="61" t="str">
        <f>IFERROR(__xludf.DUMMYFUNCTION("""COMPUTED_VALUE"""),"The Immortal")</f>
        <v>The Immortal</v>
      </c>
      <c r="F590" s="63">
        <f>IFERROR(__xludf.DUMMYFUNCTION("""COMPUTED_VALUE"""),40897.0)</f>
        <v>40897</v>
      </c>
    </row>
    <row r="591">
      <c r="A591" s="59" t="str">
        <f>IFERROR(__xludf.DUMMYFUNCTION("""COMPUTED_VALUE"""),"Mystery Manor")</f>
        <v>Mystery Manor</v>
      </c>
      <c r="B591" s="60"/>
      <c r="C591" s="61" t="str">
        <f>IFERROR(__xludf.DUMMYFUNCTION("""COMPUTED_VALUE"""),"Yes")</f>
        <v>Yes</v>
      </c>
      <c r="D591" s="62" t="str">
        <f>IFERROR(__xludf.DUMMYFUNCTION("""COMPUTED_VALUE"""),"Every item+currency are purchasable")</f>
        <v>Every item+currency are purchasable</v>
      </c>
      <c r="E591" s="61" t="str">
        <f>IFERROR(__xludf.DUMMYFUNCTION("""COMPUTED_VALUE"""),"Guk")</f>
        <v>Guk</v>
      </c>
      <c r="F591" s="63">
        <f>IFERROR(__xludf.DUMMYFUNCTION("""COMPUTED_VALUE"""),40897.0)</f>
        <v>40897</v>
      </c>
    </row>
    <row r="592">
      <c r="A592" s="59" t="str">
        <f>IFERROR(__xludf.DUMMYFUNCTION("""COMPUTED_VALUE"""),"Navigon")</f>
        <v>Navigon</v>
      </c>
      <c r="B592" s="60"/>
      <c r="C592" s="61" t="str">
        <f>IFERROR(__xludf.DUMMYFUNCTION("""COMPUTED_VALUE"""),"Yes")</f>
        <v>Yes</v>
      </c>
      <c r="D592" s="62" t="str">
        <f>IFERROR(__xludf.DUMMYFUNCTION("""COMPUTED_VALUE"""),"Only work with old version")</f>
        <v>Only work with old version</v>
      </c>
      <c r="E592" s="61"/>
      <c r="F592" s="63">
        <f>IFERROR(__xludf.DUMMYFUNCTION("""COMPUTED_VALUE"""),40897.0)</f>
        <v>40897</v>
      </c>
    </row>
    <row r="593">
      <c r="A593" s="59" t="str">
        <f>IFERROR(__xludf.DUMMYFUNCTION("""COMPUTED_VALUE"""),"Reflec Beat Plus")</f>
        <v>Reflec Beat Plus</v>
      </c>
      <c r="B593" s="60"/>
      <c r="C593" s="61" t="str">
        <f>IFERROR(__xludf.DUMMYFUNCTION("""COMPUTED_VALUE"""),"Yes")</f>
        <v>Yes</v>
      </c>
      <c r="D593" s="62" t="str">
        <f>IFERROR(__xludf.DUMMYFUNCTION("""COMPUTED_VALUE"""),"Able to purchase additional song packs")</f>
        <v>Able to purchase additional song packs</v>
      </c>
      <c r="E593" s="61" t="str">
        <f>IFERROR(__xludf.DUMMYFUNCTION("""COMPUTED_VALUE"""),"kahox")</f>
        <v>kahox</v>
      </c>
      <c r="F593" s="63">
        <f>IFERROR(__xludf.DUMMYFUNCTION("""COMPUTED_VALUE"""),40897.0)</f>
        <v>40897</v>
      </c>
    </row>
    <row r="594">
      <c r="A594" s="59" t="str">
        <f>IFERROR(__xludf.DUMMYFUNCTION("""COMPUTED_VALUE"""),"Rock Vegas")</f>
        <v>Rock Vegas</v>
      </c>
      <c r="B594" s="60"/>
      <c r="C594" s="61" t="str">
        <f>IFERROR(__xludf.DUMMYFUNCTION("""COMPUTED_VALUE"""),"Yes")</f>
        <v>Yes</v>
      </c>
      <c r="D594" s="62" t="str">
        <f>IFERROR(__xludf.DUMMYFUNCTION("""COMPUTED_VALUE"""),"All works")</f>
        <v>All works</v>
      </c>
      <c r="E594" s="61" t="str">
        <f>IFERROR(__xludf.DUMMYFUNCTION("""COMPUTED_VALUE"""),"Guk")</f>
        <v>Guk</v>
      </c>
      <c r="F594" s="63">
        <f>IFERROR(__xludf.DUMMYFUNCTION("""COMPUTED_VALUE"""),40897.0)</f>
        <v>40897</v>
      </c>
    </row>
    <row r="595">
      <c r="A595" s="59" t="str">
        <f>IFERROR(__xludf.DUMMYFUNCTION("""COMPUTED_VALUE"""),"World Cup Table Tennis™")</f>
        <v>World Cup Table Tennis™</v>
      </c>
      <c r="B595" s="60"/>
      <c r="C595" s="61" t="str">
        <f>IFERROR(__xludf.DUMMYFUNCTION("""COMPUTED_VALUE"""),"Yes")</f>
        <v>Yes</v>
      </c>
      <c r="D595" s="62" t="str">
        <f>IFERROR(__xludf.DUMMYFUNCTION("""COMPUTED_VALUE"""),"Can buy from shop")</f>
        <v>Can buy from shop</v>
      </c>
      <c r="E595" s="61" t="str">
        <f>IFERROR(__xludf.DUMMYFUNCTION("""COMPUTED_VALUE"""),"The Immortal")</f>
        <v>The Immortal</v>
      </c>
      <c r="F595" s="63">
        <f>IFERROR(__xludf.DUMMYFUNCTION("""COMPUTED_VALUE"""),40897.0)</f>
        <v>40897</v>
      </c>
    </row>
    <row r="596">
      <c r="A596" s="59" t="str">
        <f>IFERROR(__xludf.DUMMYFUNCTION("""COMPUTED_VALUE"""),"Boss Battles")</f>
        <v>Boss Battles</v>
      </c>
      <c r="B596" s="60"/>
      <c r="C596" s="61" t="str">
        <f>IFERROR(__xludf.DUMMYFUNCTION("""COMPUTED_VALUE"""),"Yes")</f>
        <v>Yes</v>
      </c>
      <c r="D596" s="62" t="str">
        <f>IFERROR(__xludf.DUMMYFUNCTION("""COMPUTED_VALUE"""),"Able to buy gems.")</f>
        <v>Able to buy gems.</v>
      </c>
      <c r="E596" s="61" t="str">
        <f>IFERROR(__xludf.DUMMYFUNCTION("""COMPUTED_VALUE"""),"Aarian")</f>
        <v>Aarian</v>
      </c>
      <c r="F596" s="63">
        <f>IFERROR(__xludf.DUMMYFUNCTION("""COMPUTED_VALUE"""),40896.0)</f>
        <v>40896</v>
      </c>
    </row>
    <row r="597">
      <c r="A597" s="59" t="str">
        <f>IFERROR(__xludf.DUMMYFUNCTION("""COMPUTED_VALUE"""),"CineCam")</f>
        <v>CineCam</v>
      </c>
      <c r="B597" s="60"/>
      <c r="C597" s="61" t="str">
        <f>IFERROR(__xludf.DUMMYFUNCTION("""COMPUTED_VALUE"""),"Yes")</f>
        <v>Yes</v>
      </c>
      <c r="D597" s="62" t="str">
        <f>IFERROR(__xludf.DUMMYFUNCTION("""COMPUTED_VALUE"""),"Able to buy credits and spend them in packages.")</f>
        <v>Able to buy credits and spend them in packages.</v>
      </c>
      <c r="E597" s="61" t="str">
        <f>IFERROR(__xludf.DUMMYFUNCTION("""COMPUTED_VALUE"""),"Aarian")</f>
        <v>Aarian</v>
      </c>
      <c r="F597" s="63">
        <f>IFERROR(__xludf.DUMMYFUNCTION("""COMPUTED_VALUE"""),40896.0)</f>
        <v>40896</v>
      </c>
    </row>
    <row r="598">
      <c r="A598" s="59" t="str">
        <f>IFERROR(__xludf.DUMMYFUNCTION("""COMPUTED_VALUE"""),"Democracy(Демократия)")</f>
        <v>Democracy(Демократия)</v>
      </c>
      <c r="B598" s="60"/>
      <c r="C598" s="61" t="str">
        <f>IFERROR(__xludf.DUMMYFUNCTION("""COMPUTED_VALUE"""),"Yes")</f>
        <v>Yes</v>
      </c>
      <c r="D598" s="62"/>
      <c r="E598" s="61" t="str">
        <f>IFERROR(__xludf.DUMMYFUNCTION("""COMPUTED_VALUE"""),"Twen")</f>
        <v>Twen</v>
      </c>
      <c r="F598" s="63">
        <f>IFERROR(__xludf.DUMMYFUNCTION("""COMPUTED_VALUE"""),40896.0)</f>
        <v>40896</v>
      </c>
    </row>
    <row r="599">
      <c r="A599" s="59" t="str">
        <f>IFERROR(__xludf.DUMMYFUNCTION("""COMPUTED_VALUE"""),"Frontline Commando")</f>
        <v>Frontline Commando</v>
      </c>
      <c r="B599" s="60"/>
      <c r="C599" s="61" t="str">
        <f>IFERROR(__xludf.DUMMYFUNCTION("""COMPUTED_VALUE"""),"Yes")</f>
        <v>Yes</v>
      </c>
      <c r="D599" s="62"/>
      <c r="E599" s="61" t="str">
        <f>IFERROR(__xludf.DUMMYFUNCTION("""COMPUTED_VALUE"""),"ThePreserver")</f>
        <v>ThePreserver</v>
      </c>
      <c r="F599" s="63">
        <f>IFERROR(__xludf.DUMMYFUNCTION("""COMPUTED_VALUE"""),40896.0)</f>
        <v>40896</v>
      </c>
    </row>
    <row r="600">
      <c r="A600" s="59" t="str">
        <f>IFERROR(__xludf.DUMMYFUNCTION("""COMPUTED_VALUE"""),"Ghost &amp; Goblins")</f>
        <v>Ghost &amp; Goblins</v>
      </c>
      <c r="B600" s="60"/>
      <c r="C600" s="61" t="str">
        <f>IFERROR(__xludf.DUMMYFUNCTION("""COMPUTED_VALUE"""),"Yes")</f>
        <v>Yes</v>
      </c>
      <c r="D600" s="62" t="str">
        <f>IFERROR(__xludf.DUMMYFUNCTION("""COMPUTED_VALUE"""),"Able to buy powerups.")</f>
        <v>Able to buy powerups.</v>
      </c>
      <c r="E600" s="61" t="str">
        <f>IFERROR(__xludf.DUMMYFUNCTION("""COMPUTED_VALUE"""),"Aarian")</f>
        <v>Aarian</v>
      </c>
      <c r="F600" s="63">
        <f>IFERROR(__xludf.DUMMYFUNCTION("""COMPUTED_VALUE"""),40896.0)</f>
        <v>40896</v>
      </c>
    </row>
    <row r="601">
      <c r="A601" s="59" t="str">
        <f>IFERROR(__xludf.DUMMYFUNCTION("""COMPUTED_VALUE"""),"PS Express -- second dupe!!")</f>
        <v>PS Express -- second dupe!!</v>
      </c>
      <c r="B601" s="60"/>
      <c r="C601" s="61" t="str">
        <f>IFERROR(__xludf.DUMMYFUNCTION("""COMPUTED_VALUE"""),"Yes")</f>
        <v>Yes</v>
      </c>
      <c r="D601" s="62" t="str">
        <f>IFERROR(__xludf.DUMMYFUNCTION("""COMPUTED_VALUE"""),"Able to buy packages")</f>
        <v>Able to buy packages</v>
      </c>
      <c r="E601" s="61" t="str">
        <f>IFERROR(__xludf.DUMMYFUNCTION("""COMPUTED_VALUE"""),"Aarian")</f>
        <v>Aarian</v>
      </c>
      <c r="F601" s="63">
        <f>IFERROR(__xludf.DUMMYFUNCTION("""COMPUTED_VALUE"""),40896.0)</f>
        <v>40896</v>
      </c>
    </row>
    <row r="602">
      <c r="A602" s="59" t="str">
        <f>IFERROR(__xludf.DUMMYFUNCTION("""COMPUTED_VALUE"""),"Ragnarok Violet")</f>
        <v>Ragnarok Violet</v>
      </c>
      <c r="B602" s="60"/>
      <c r="C602" s="61" t="str">
        <f>IFERROR(__xludf.DUMMYFUNCTION("""COMPUTED_VALUE"""),"Yes")</f>
        <v>Yes</v>
      </c>
      <c r="D602" s="62" t="str">
        <f>IFERROR(__xludf.DUMMYFUNCTION("""COMPUTED_VALUE"""),"Able to buy from the shop.")</f>
        <v>Able to buy from the shop.</v>
      </c>
      <c r="E602" s="61" t="str">
        <f>IFERROR(__xludf.DUMMYFUNCTION("""COMPUTED_VALUE"""),"Aarian")</f>
        <v>Aarian</v>
      </c>
      <c r="F602" s="63">
        <f>IFERROR(__xludf.DUMMYFUNCTION("""COMPUTED_VALUE"""),40896.0)</f>
        <v>40896</v>
      </c>
    </row>
    <row r="603">
      <c r="A603" s="59" t="str">
        <f>IFERROR(__xludf.DUMMYFUNCTION("""COMPUTED_VALUE"""),"Talking Tom")</f>
        <v>Talking Tom</v>
      </c>
      <c r="B603" s="60"/>
      <c r="C603" s="61" t="str">
        <f>IFERROR(__xludf.DUMMYFUNCTION("""COMPUTED_VALUE"""),"Yes")</f>
        <v>Yes</v>
      </c>
      <c r="D603" s="62" t="str">
        <f>IFERROR(__xludf.DUMMYFUNCTION("""COMPUTED_VALUE"""),"Takes a while, but you can acquire the extra animations.")</f>
        <v>Takes a while, but you can acquire the extra animations.</v>
      </c>
      <c r="E603" s="61" t="str">
        <f>IFERROR(__xludf.DUMMYFUNCTION("""COMPUTED_VALUE"""),"Aarian")</f>
        <v>Aarian</v>
      </c>
      <c r="F603" s="63">
        <f>IFERROR(__xludf.DUMMYFUNCTION("""COMPUTED_VALUE"""),40896.0)</f>
        <v>40896</v>
      </c>
    </row>
    <row r="604">
      <c r="A604" s="59" t="str">
        <f>IFERROR(__xludf.DUMMYFUNCTION("""COMPUTED_VALUE"""),"Air Harp")</f>
        <v>Air Harp</v>
      </c>
      <c r="B604" s="60"/>
      <c r="C604" s="61" t="str">
        <f>IFERROR(__xludf.DUMMYFUNCTION("""COMPUTED_VALUE"""),"Yes")</f>
        <v>Yes</v>
      </c>
      <c r="D604" s="62"/>
      <c r="E604" s="61" t="str">
        <f>IFERROR(__xludf.DUMMYFUNCTION("""COMPUTED_VALUE"""),"Bull Moose")</f>
        <v>Bull Moose</v>
      </c>
      <c r="F604" s="63">
        <f>IFERROR(__xludf.DUMMYFUNCTION("""COMPUTED_VALUE"""),40895.0)</f>
        <v>40895</v>
      </c>
    </row>
    <row r="605">
      <c r="A605" s="59" t="str">
        <f>IFERROR(__xludf.DUMMYFUNCTION("""COMPUTED_VALUE"""),"Magic Fiddle")</f>
        <v>Magic Fiddle</v>
      </c>
      <c r="B605" s="60"/>
      <c r="C605" s="61" t="str">
        <f>IFERROR(__xludf.DUMMYFUNCTION("""COMPUTED_VALUE"""),"Yes")</f>
        <v>Yes</v>
      </c>
      <c r="D605" s="62"/>
      <c r="E605" s="61" t="str">
        <f>IFERROR(__xludf.DUMMYFUNCTION("""COMPUTED_VALUE"""),"Bull Moose")</f>
        <v>Bull Moose</v>
      </c>
      <c r="F605" s="63">
        <f>IFERROR(__xludf.DUMMYFUNCTION("""COMPUTED_VALUE"""),40895.0)</f>
        <v>40895</v>
      </c>
    </row>
    <row r="606">
      <c r="A606" s="59" t="str">
        <f>IFERROR(__xludf.DUMMYFUNCTION("""COMPUTED_VALUE"""),"Bloons 2")</f>
        <v>Bloons 2</v>
      </c>
      <c r="B606" s="60"/>
      <c r="C606" s="61" t="str">
        <f>IFERROR(__xludf.DUMMYFUNCTION("""COMPUTED_VALUE"""),"Yes")</f>
        <v>Yes</v>
      </c>
      <c r="D606" s="62" t="str">
        <f>IFERROR(__xludf.DUMMYFUNCTION("""COMPUTED_VALUE"""),"Able to purchase infinite solutions + skips")</f>
        <v>Able to purchase infinite solutions + skips</v>
      </c>
      <c r="E606" s="61" t="str">
        <f>IFERROR(__xludf.DUMMYFUNCTION("""COMPUTED_VALUE"""),"ThePreserver")</f>
        <v>ThePreserver</v>
      </c>
      <c r="F606" s="63">
        <f>IFERROR(__xludf.DUMMYFUNCTION("""COMPUTED_VALUE"""),40894.0)</f>
        <v>40894</v>
      </c>
    </row>
    <row r="607">
      <c r="A607" s="59" t="str">
        <f>IFERROR(__xludf.DUMMYFUNCTION("""COMPUTED_VALUE"""),"Boinga")</f>
        <v>Boinga</v>
      </c>
      <c r="B607" s="60"/>
      <c r="C607" s="61" t="str">
        <f>IFERROR(__xludf.DUMMYFUNCTION("""COMPUTED_VALUE"""),"Yes")</f>
        <v>Yes</v>
      </c>
      <c r="D607" s="62" t="str">
        <f>IFERROR(__xludf.DUMMYFUNCTION("""COMPUTED_VALUE"""),"purchase credits")</f>
        <v>purchase credits</v>
      </c>
      <c r="E607" s="61" t="str">
        <f>IFERROR(__xludf.DUMMYFUNCTION("""COMPUTED_VALUE"""),"ZaizenK")</f>
        <v>ZaizenK</v>
      </c>
      <c r="F607" s="63">
        <f>IFERROR(__xludf.DUMMYFUNCTION("""COMPUTED_VALUE"""),40894.0)</f>
        <v>40894</v>
      </c>
    </row>
    <row r="608">
      <c r="A608" s="59" t="str">
        <f>IFERROR(__xludf.DUMMYFUNCTION("""COMPUTED_VALUE"""),"CamWow")</f>
        <v>CamWow</v>
      </c>
      <c r="B608" s="60"/>
      <c r="C608" s="61" t="str">
        <f>IFERROR(__xludf.DUMMYFUNCTION("""COMPUTED_VALUE"""),"Yes")</f>
        <v>Yes</v>
      </c>
      <c r="D608" s="62" t="str">
        <f>IFERROR(__xludf.DUMMYFUNCTION("""COMPUTED_VALUE"""),"Removes watermark")</f>
        <v>Removes watermark</v>
      </c>
      <c r="E608" s="61" t="str">
        <f>IFERROR(__xludf.DUMMYFUNCTION("""COMPUTED_VALUE"""),"jpalharini")</f>
        <v>jpalharini</v>
      </c>
      <c r="F608" s="63">
        <f>IFERROR(__xludf.DUMMYFUNCTION("""COMPUTED_VALUE"""),40894.0)</f>
        <v>40894</v>
      </c>
    </row>
    <row r="609">
      <c r="A609" s="59" t="str">
        <f>IFERROR(__xludf.DUMMYFUNCTION("""COMPUTED_VALUE"""),"Jetpack Joyride")</f>
        <v>Jetpack Joyride</v>
      </c>
      <c r="B609" s="60"/>
      <c r="C609" s="61" t="str">
        <f>IFERROR(__xludf.DUMMYFUNCTION("""COMPUTED_VALUE"""),"Yes")</f>
        <v>Yes</v>
      </c>
      <c r="D609" s="62" t="str">
        <f>IFERROR(__xludf.DUMMYFUNCTION("""COMPUTED_VALUE"""),"Before install , look in setting of Installous : NOT  ""Remove Metadata""")</f>
        <v>Before install , look in setting of Installous : NOT  "Remove Metadata"</v>
      </c>
      <c r="E609" s="61" t="str">
        <f>IFERROR(__xludf.DUMMYFUNCTION("""COMPUTED_VALUE"""),"kolky")</f>
        <v>kolky</v>
      </c>
      <c r="F609" s="63">
        <f>IFERROR(__xludf.DUMMYFUNCTION("""COMPUTED_VALUE"""),40894.0)</f>
        <v>40894</v>
      </c>
    </row>
    <row r="610">
      <c r="A610" s="59" t="str">
        <f>IFERROR(__xludf.DUMMYFUNCTION("""COMPUTED_VALUE"""),"Pinball HD Collection")</f>
        <v>Pinball HD Collection</v>
      </c>
      <c r="B610" s="60"/>
      <c r="C610" s="61" t="str">
        <f>IFERROR(__xludf.DUMMYFUNCTION("""COMPUTED_VALUE"""),"Yes")</f>
        <v>Yes</v>
      </c>
      <c r="D610" s="62" t="str">
        <f>IFERROR(__xludf.DUMMYFUNCTION("""COMPUTED_VALUE"""),"All tables unlocked")</f>
        <v>All tables unlocked</v>
      </c>
      <c r="E610" s="61" t="str">
        <f>IFERROR(__xludf.DUMMYFUNCTION("""COMPUTED_VALUE"""),"ThePreserver")</f>
        <v>ThePreserver</v>
      </c>
      <c r="F610" s="63">
        <f>IFERROR(__xludf.DUMMYFUNCTION("""COMPUTED_VALUE"""),40894.0)</f>
        <v>40894</v>
      </c>
    </row>
    <row r="611">
      <c r="A611" s="59" t="str">
        <f>IFERROR(__xludf.DUMMYFUNCTION("""COMPUTED_VALUE"""),"Trenches 2")</f>
        <v>Trenches 2</v>
      </c>
      <c r="B611" s="60"/>
      <c r="C611" s="61" t="str">
        <f>IFERROR(__xludf.DUMMYFUNCTION("""COMPUTED_VALUE"""),"Yes")</f>
        <v>Yes</v>
      </c>
      <c r="D611" s="62" t="str">
        <f>IFERROR(__xludf.DUMMYFUNCTION("""COMPUTED_VALUE"""),"Can purchase perks (very quick too)")</f>
        <v>Can purchase perks (very quick too)</v>
      </c>
      <c r="E611" s="61" t="str">
        <f>IFERROR(__xludf.DUMMYFUNCTION("""COMPUTED_VALUE"""),"PKK")</f>
        <v>PKK</v>
      </c>
      <c r="F611" s="63">
        <f>IFERROR(__xludf.DUMMYFUNCTION("""COMPUTED_VALUE"""),40894.0)</f>
        <v>40894</v>
      </c>
    </row>
    <row r="612">
      <c r="A612" s="59" t="str">
        <f>IFERROR(__xludf.DUMMYFUNCTION("""COMPUTED_VALUE"""),"Harbor Master")</f>
        <v>Harbor Master</v>
      </c>
      <c r="B612" s="60"/>
      <c r="C612" s="61" t="str">
        <f>IFERROR(__xludf.DUMMYFUNCTION("""COMPUTED_VALUE"""),"Yes")</f>
        <v>Yes</v>
      </c>
      <c r="D612" s="62" t="str">
        <f>IFERROR(__xludf.DUMMYFUNCTION("""COMPUTED_VALUE"""),"all maps and rewinds work")</f>
        <v>all maps and rewinds work</v>
      </c>
      <c r="E612" s="61" t="str">
        <f>IFERROR(__xludf.DUMMYFUNCTION("""COMPUTED_VALUE"""),"ZaizenK")</f>
        <v>ZaizenK</v>
      </c>
      <c r="F612" s="63">
        <f>IFERROR(__xludf.DUMMYFUNCTION("""COMPUTED_VALUE"""),40893.0)</f>
        <v>40893</v>
      </c>
    </row>
    <row r="613">
      <c r="A613" s="59" t="str">
        <f>IFERROR(__xludf.DUMMYFUNCTION("""COMPUTED_VALUE"""),"World Cup Table Tennis HD Free")</f>
        <v>World Cup Table Tennis HD Free</v>
      </c>
      <c r="B613" s="60"/>
      <c r="C613" s="61" t="str">
        <f>IFERROR(__xludf.DUMMYFUNCTION("""COMPUTED_VALUE"""),"Yes")</f>
        <v>Yes</v>
      </c>
      <c r="D613" s="62" t="str">
        <f>IFERROR(__xludf.DUMMYFUNCTION("""COMPUTED_VALUE"""),"Free →  Full, buying credits")</f>
        <v>Free →  Full, buying credits</v>
      </c>
      <c r="E613" s="61"/>
      <c r="F613" s="63">
        <f>IFERROR(__xludf.DUMMYFUNCTION("""COMPUTED_VALUE"""),40893.0)</f>
        <v>40893</v>
      </c>
    </row>
    <row r="614">
      <c r="A614" s="59" t="str">
        <f>IFERROR(__xludf.DUMMYFUNCTION("""COMPUTED_VALUE"""),"Dead Space HD")</f>
        <v>Dead Space HD</v>
      </c>
      <c r="B614" s="60"/>
      <c r="C614" s="61" t="str">
        <f>IFERROR(__xludf.DUMMYFUNCTION("""COMPUTED_VALUE"""),"Yes")</f>
        <v>Yes</v>
      </c>
      <c r="D614" s="62" t="str">
        <f>IFERROR(__xludf.DUMMYFUNCTION("""COMPUTED_VALUE"""),"Turn off 'Remove Metadata' in Installous settings if using cracked version.")</f>
        <v>Turn off 'Remove Metadata' in Installous settings if using cracked version.</v>
      </c>
      <c r="E614" s="61" t="str">
        <f>IFERROR(__xludf.DUMMYFUNCTION("""COMPUTED_VALUE"""),"ThePreserver")</f>
        <v>ThePreserver</v>
      </c>
      <c r="F614" s="63">
        <f>IFERROR(__xludf.DUMMYFUNCTION("""COMPUTED_VALUE"""),40892.0)</f>
        <v>40892</v>
      </c>
    </row>
    <row r="615">
      <c r="A615" s="59" t="str">
        <f>IFERROR(__xludf.DUMMYFUNCTION("""COMPUTED_VALUE"""),"Duel: Blade and Magic")</f>
        <v>Duel: Blade and Magic</v>
      </c>
      <c r="B615" s="60"/>
      <c r="C615" s="61" t="str">
        <f>IFERROR(__xludf.DUMMYFUNCTION("""COMPUTED_VALUE"""),"Yes")</f>
        <v>Yes</v>
      </c>
      <c r="D615" s="62" t="str">
        <f>IFERROR(__xludf.DUMMYFUNCTION("""COMPUTED_VALUE"""),"Can open pandora's box ")</f>
        <v>Can open pandora's box </v>
      </c>
      <c r="E615" s="61" t="str">
        <f>IFERROR(__xludf.DUMMYFUNCTION("""COMPUTED_VALUE"""),"baothai")</f>
        <v>baothai</v>
      </c>
      <c r="F615" s="63">
        <f>IFERROR(__xludf.DUMMYFUNCTION("""COMPUTED_VALUE"""),40892.0)</f>
        <v>40892</v>
      </c>
    </row>
    <row r="616">
      <c r="A616" s="59" t="str">
        <f>IFERROR(__xludf.DUMMYFUNCTION("""COMPUTED_VALUE"""),"Dumpert")</f>
        <v>Dumpert</v>
      </c>
      <c r="B616" s="60"/>
      <c r="C616" s="61" t="str">
        <f>IFERROR(__xludf.DUMMYFUNCTION("""COMPUTED_VALUE"""),"Yes")</f>
        <v>Yes</v>
      </c>
      <c r="D616" s="62" t="str">
        <f>IFERROR(__xludf.DUMMYFUNCTION("""COMPUTED_VALUE"""),"Read comment for awesome &gt;")</f>
        <v>Read comment for awesome &gt;</v>
      </c>
      <c r="E616" s="61" t="str">
        <f>IFERROR(__xludf.DUMMYFUNCTION("""COMPUTED_VALUE"""),"rctgamer3")</f>
        <v>rctgamer3</v>
      </c>
      <c r="F616" s="63">
        <f>IFERROR(__xludf.DUMMYFUNCTION("""COMPUTED_VALUE"""),40892.0)</f>
        <v>40892</v>
      </c>
    </row>
    <row r="617">
      <c r="A617" s="59" t="str">
        <f>IFERROR(__xludf.DUMMYFUNCTION("""COMPUTED_VALUE"""),"EasyMeasure")</f>
        <v>EasyMeasure</v>
      </c>
      <c r="B617" s="60"/>
      <c r="C617" s="61" t="str">
        <f>IFERROR(__xludf.DUMMYFUNCTION("""COMPUTED_VALUE"""),"Yes")</f>
        <v>Yes</v>
      </c>
      <c r="D617" s="62"/>
      <c r="E617" s="61" t="str">
        <f>IFERROR(__xludf.DUMMYFUNCTION("""COMPUTED_VALUE"""),"Maloon")</f>
        <v>Maloon</v>
      </c>
      <c r="F617" s="63">
        <f>IFERROR(__xludf.DUMMYFUNCTION("""COMPUTED_VALUE"""),40892.0)</f>
        <v>40892</v>
      </c>
    </row>
    <row r="618">
      <c r="A618" s="59" t="str">
        <f>IFERROR(__xludf.DUMMYFUNCTION("""COMPUTED_VALUE"""),"Rock Band")</f>
        <v>Rock Band</v>
      </c>
      <c r="B618" s="60"/>
      <c r="C618" s="61" t="str">
        <f>IFERROR(__xludf.DUMMYFUNCTION("""COMPUTED_VALUE"""),"Yes")</f>
        <v>Yes</v>
      </c>
      <c r="D618" s="62" t="str">
        <f>IFERROR(__xludf.DUMMYFUNCTION("""COMPUTED_VALUE"""),"Works on all songs")</f>
        <v>Works on all songs</v>
      </c>
      <c r="E618" s="61" t="str">
        <f>IFERROR(__xludf.DUMMYFUNCTION("""COMPUTED_VALUE"""),"Jinxhackwear")</f>
        <v>Jinxhackwear</v>
      </c>
      <c r="F618" s="63">
        <f>IFERROR(__xludf.DUMMYFUNCTION("""COMPUTED_VALUE"""),40892.0)</f>
        <v>40892</v>
      </c>
    </row>
    <row r="619">
      <c r="A619" s="59" t="str">
        <f>IFERROR(__xludf.DUMMYFUNCTION("""COMPUTED_VALUE"""),"Smurfs' Village")</f>
        <v>Smurfs' Village</v>
      </c>
      <c r="B619" s="60"/>
      <c r="C619" s="61" t="str">
        <f>IFERROR(__xludf.DUMMYFUNCTION("""COMPUTED_VALUE"""),"Yes")</f>
        <v>Yes</v>
      </c>
      <c r="D619" s="62"/>
      <c r="E619" s="61" t="str">
        <f>IFERROR(__xludf.DUMMYFUNCTION("""COMPUTED_VALUE"""),"rctgamer3")</f>
        <v>rctgamer3</v>
      </c>
      <c r="F619" s="63">
        <f>IFERROR(__xludf.DUMMYFUNCTION("""COMPUTED_VALUE"""),40892.0)</f>
        <v>40892</v>
      </c>
    </row>
    <row r="620">
      <c r="A620" s="59" t="str">
        <f>IFERROR(__xludf.DUMMYFUNCTION("""COMPUTED_VALUE"""),"Snooker Club")</f>
        <v>Snooker Club</v>
      </c>
      <c r="B620" s="60"/>
      <c r="C620" s="61" t="str">
        <f>IFERROR(__xludf.DUMMYFUNCTION("""COMPUTED_VALUE"""),"Yes")</f>
        <v>Yes</v>
      </c>
      <c r="D620" s="62" t="str">
        <f>IFERROR(__xludf.DUMMYFUNCTION("""COMPUTED_VALUE"""),"Unlock all characters")</f>
        <v>Unlock all characters</v>
      </c>
      <c r="E620" s="61" t="str">
        <f>IFERROR(__xludf.DUMMYFUNCTION("""COMPUTED_VALUE"""),"Sergio")</f>
        <v>Sergio</v>
      </c>
      <c r="F620" s="63">
        <f>IFERROR(__xludf.DUMMYFUNCTION("""COMPUTED_VALUE"""),40892.0)</f>
        <v>40892</v>
      </c>
    </row>
    <row r="621">
      <c r="A621" s="59" t="str">
        <f>IFERROR(__xludf.DUMMYFUNCTION("""COMPUTED_VALUE"""),"Super Stickman Golf")</f>
        <v>Super Stickman Golf</v>
      </c>
      <c r="B621" s="60"/>
      <c r="C621" s="61" t="str">
        <f>IFERROR(__xludf.DUMMYFUNCTION("""COMPUTED_VALUE"""),"Yes")</f>
        <v>Yes</v>
      </c>
      <c r="D621" s="62" t="str">
        <f>IFERROR(__xludf.DUMMYFUNCTION("""COMPUTED_VALUE"""),"Unlock all courses")</f>
        <v>Unlock all courses</v>
      </c>
      <c r="E621" s="61" t="str">
        <f>IFERROR(__xludf.DUMMYFUNCTION("""COMPUTED_VALUE"""),"Sergio")</f>
        <v>Sergio</v>
      </c>
      <c r="F621" s="63">
        <f>IFERROR(__xludf.DUMMYFUNCTION("""COMPUTED_VALUE"""),40892.0)</f>
        <v>40892</v>
      </c>
    </row>
    <row r="622">
      <c r="A622" s="59" t="str">
        <f>IFERROR(__xludf.DUMMYFUNCTION("""COMPUTED_VALUE"""),"Tesla Wars")</f>
        <v>Tesla Wars</v>
      </c>
      <c r="B622" s="60"/>
      <c r="C622" s="61" t="str">
        <f>IFERROR(__xludf.DUMMYFUNCTION("""COMPUTED_VALUE"""),"Yes")</f>
        <v>Yes</v>
      </c>
      <c r="D622" s="62" t="str">
        <f>IFERROR(__xludf.DUMMYFUNCTION("""COMPUTED_VALUE"""),"Get money")</f>
        <v>Get money</v>
      </c>
      <c r="E622" s="61" t="str">
        <f>IFERROR(__xludf.DUMMYFUNCTION("""COMPUTED_VALUE"""),"Sergio")</f>
        <v>Sergio</v>
      </c>
      <c r="F622" s="63">
        <f>IFERROR(__xludf.DUMMYFUNCTION("""COMPUTED_VALUE"""),40892.0)</f>
        <v>40892</v>
      </c>
    </row>
    <row r="623">
      <c r="A623" s="59" t="str">
        <f>IFERROR(__xludf.DUMMYFUNCTION("""COMPUTED_VALUE"""),"Zombie Highway")</f>
        <v>Zombie Highway</v>
      </c>
      <c r="B623" s="60"/>
      <c r="C623" s="61" t="str">
        <f>IFERROR(__xludf.DUMMYFUNCTION("""COMPUTED_VALUE"""),"Yes")</f>
        <v>Yes</v>
      </c>
      <c r="D623" s="62" t="str">
        <f>IFERROR(__xludf.DUMMYFUNCTION("""COMPUTED_VALUE"""),"Gun Shop")</f>
        <v>Gun Shop</v>
      </c>
      <c r="E623" s="61"/>
      <c r="F623" s="63">
        <f>IFERROR(__xludf.DUMMYFUNCTION("""COMPUTED_VALUE"""),40892.0)</f>
        <v>40892</v>
      </c>
    </row>
    <row r="624">
      <c r="A624" s="59" t="str">
        <f>IFERROR(__xludf.DUMMYFUNCTION("""COMPUTED_VALUE"""),"4Towers Onslaught: Combo TD")</f>
        <v>4Towers Onslaught: Combo TD</v>
      </c>
      <c r="B624" s="60"/>
      <c r="C624" s="61" t="str">
        <f>IFERROR(__xludf.DUMMYFUNCTION("""COMPUTED_VALUE"""),"Yes")</f>
        <v>Yes</v>
      </c>
      <c r="D624" s="62"/>
      <c r="E624" s="61" t="str">
        <f>IFERROR(__xludf.DUMMYFUNCTION("""COMPUTED_VALUE"""),"zema1989")</f>
        <v>zema1989</v>
      </c>
      <c r="F624" s="63">
        <f>IFERROR(__xludf.DUMMYFUNCTION("""COMPUTED_VALUE"""),40891.0)</f>
        <v>40891</v>
      </c>
    </row>
    <row r="625">
      <c r="A625" s="59" t="str">
        <f>IFERROR(__xludf.DUMMYFUNCTION("""COMPUTED_VALUE"""),"Advena")</f>
        <v>Advena</v>
      </c>
      <c r="B625" s="60"/>
      <c r="C625" s="61" t="str">
        <f>IFERROR(__xludf.DUMMYFUNCTION("""COMPUTED_VALUE"""),"Yes")</f>
        <v>Yes</v>
      </c>
      <c r="D625" s="62" t="str">
        <f>IFERROR(__xludf.DUMMYFUNCTION("""COMPUTED_VALUE"""),"Must buy game currency while connected to net. Will take a while, After a while of loading close cash shop and reopen and you will have the points.")</f>
        <v>Must buy game currency while connected to net. Will take a while, After a while of loading close cash shop and reopen and you will have the points.</v>
      </c>
      <c r="E625" s="61" t="str">
        <f>IFERROR(__xludf.DUMMYFUNCTION("""COMPUTED_VALUE"""),"NelsonS")</f>
        <v>NelsonS</v>
      </c>
      <c r="F625" s="63">
        <f>IFERROR(__xludf.DUMMYFUNCTION("""COMPUTED_VALUE"""),40891.0)</f>
        <v>40891</v>
      </c>
    </row>
    <row r="626">
      <c r="A626" s="59" t="str">
        <f>IFERROR(__xludf.DUMMYFUNCTION("""COMPUTED_VALUE"""),"Appzila (Series)")</f>
        <v>Appzila (Series)</v>
      </c>
      <c r="B626" s="60"/>
      <c r="C626" s="61" t="str">
        <f>IFERROR(__xludf.DUMMYFUNCTION("""COMPUTED_VALUE"""),"Yes")</f>
        <v>Yes</v>
      </c>
      <c r="D626" s="62" t="str">
        <f>IFERROR(__xludf.DUMMYFUNCTION("""COMPUTED_VALUE"""),"Works with everything")</f>
        <v>Works with everything</v>
      </c>
      <c r="E626" s="61" t="str">
        <f>IFERROR(__xludf.DUMMYFUNCTION("""COMPUTED_VALUE"""),"^eNeRGy^")</f>
        <v>^eNeRGy^</v>
      </c>
      <c r="F626" s="63">
        <f>IFERROR(__xludf.DUMMYFUNCTION("""COMPUTED_VALUE"""),40891.0)</f>
        <v>40891</v>
      </c>
    </row>
    <row r="627">
      <c r="A627" s="59" t="str">
        <f>IFERROR(__xludf.DUMMYFUNCTION("""COMPUTED_VALUE"""),"Fantasy Defense")</f>
        <v>Fantasy Defense</v>
      </c>
      <c r="B627" s="60"/>
      <c r="C627" s="61" t="str">
        <f>IFERROR(__xludf.DUMMYFUNCTION("""COMPUTED_VALUE"""),"Yes")</f>
        <v>Yes</v>
      </c>
      <c r="D627" s="62" t="str">
        <f>IFERROR(__xludf.DUMMYFUNCTION("""COMPUTED_VALUE"""),"Works Great")</f>
        <v>Works Great</v>
      </c>
      <c r="E627" s="61" t="str">
        <f>IFERROR(__xludf.DUMMYFUNCTION("""COMPUTED_VALUE"""),"Stryder")</f>
        <v>Stryder</v>
      </c>
      <c r="F627" s="63">
        <f>IFERROR(__xludf.DUMMYFUNCTION("""COMPUTED_VALUE"""),40891.0)</f>
        <v>40891</v>
      </c>
    </row>
    <row r="628">
      <c r="A628" s="59" t="str">
        <f>IFERROR(__xludf.DUMMYFUNCTION("""COMPUTED_VALUE"""),"KungFu Warrior
")</f>
        <v>KungFu Warrior
</v>
      </c>
      <c r="B628" s="60"/>
      <c r="C628" s="61" t="str">
        <f>IFERROR(__xludf.DUMMYFUNCTION("""COMPUTED_VALUE"""),"Yes")</f>
        <v>Yes</v>
      </c>
      <c r="D628" s="62"/>
      <c r="E628" s="61" t="str">
        <f>IFERROR(__xludf.DUMMYFUNCTION("""COMPUTED_VALUE"""),"Z1nC")</f>
        <v>Z1nC</v>
      </c>
      <c r="F628" s="63">
        <f>IFERROR(__xludf.DUMMYFUNCTION("""COMPUTED_VALUE"""),40891.0)</f>
        <v>40891</v>
      </c>
    </row>
    <row r="629">
      <c r="A629" s="59" t="str">
        <f>IFERROR(__xludf.DUMMYFUNCTION("""COMPUTED_VALUE"""),"NinJump Deluxe")</f>
        <v>NinJump Deluxe</v>
      </c>
      <c r="B629" s="60"/>
      <c r="C629" s="61" t="str">
        <f>IFERROR(__xludf.DUMMYFUNCTION("""COMPUTED_VALUE"""),"Yes")</f>
        <v>Yes</v>
      </c>
      <c r="D629" s="62"/>
      <c r="E629" s="61" t="str">
        <f>IFERROR(__xludf.DUMMYFUNCTION("""COMPUTED_VALUE"""),"Z1nC")</f>
        <v>Z1nC</v>
      </c>
      <c r="F629" s="63">
        <f>IFERROR(__xludf.DUMMYFUNCTION("""COMPUTED_VALUE"""),40891.0)</f>
        <v>40891</v>
      </c>
    </row>
    <row r="630">
      <c r="A630" s="59" t="str">
        <f>IFERROR(__xludf.DUMMYFUNCTION("""COMPUTED_VALUE"""),"Nyan Cat: Lost in Space
")</f>
        <v>Nyan Cat: Lost in Space
</v>
      </c>
      <c r="B630" s="60"/>
      <c r="C630" s="61" t="str">
        <f>IFERROR(__xludf.DUMMYFUNCTION("""COMPUTED_VALUE"""),"Yes")</f>
        <v>Yes</v>
      </c>
      <c r="D630" s="62" t="str">
        <f>IFERROR(__xludf.DUMMYFUNCTION("""COMPUTED_VALUE"""),"Everything works.")</f>
        <v>Everything works.</v>
      </c>
      <c r="E630" s="61" t="str">
        <f>IFERROR(__xludf.DUMMYFUNCTION("""COMPUTED_VALUE"""),"58book")</f>
        <v>58book</v>
      </c>
      <c r="F630" s="63">
        <f>IFERROR(__xludf.DUMMYFUNCTION("""COMPUTED_VALUE"""),40891.0)</f>
        <v>40891</v>
      </c>
    </row>
    <row r="631">
      <c r="A631" s="59" t="str">
        <f>IFERROR(__xludf.DUMMYFUNCTION("""COMPUTED_VALUE"""),"Pickpawcket")</f>
        <v>Pickpawcket</v>
      </c>
      <c r="B631" s="60"/>
      <c r="C631" s="61" t="str">
        <f>IFERROR(__xludf.DUMMYFUNCTION("""COMPUTED_VALUE"""),"Yes")</f>
        <v>Yes</v>
      </c>
      <c r="D631" s="62"/>
      <c r="E631" s="61" t="str">
        <f>IFERROR(__xludf.DUMMYFUNCTION("""COMPUTED_VALUE"""),"Z1nC")</f>
        <v>Z1nC</v>
      </c>
      <c r="F631" s="63">
        <f>IFERROR(__xludf.DUMMYFUNCTION("""COMPUTED_VALUE"""),40891.0)</f>
        <v>40891</v>
      </c>
    </row>
    <row r="632">
      <c r="A632" s="59" t="str">
        <f>IFERROR(__xludf.DUMMYFUNCTION("""COMPUTED_VALUE"""),"Pinball HUB")</f>
        <v>Pinball HUB</v>
      </c>
      <c r="B632" s="60"/>
      <c r="C632" s="61" t="str">
        <f>IFERROR(__xludf.DUMMYFUNCTION("""COMPUTED_VALUE"""),"Yes")</f>
        <v>Yes</v>
      </c>
      <c r="D632" s="62" t="str">
        <f>IFERROR(__xludf.DUMMYFUNCTION("""COMPUTED_VALUE"""),"To purchase Slayer table you need to change in Installous/Setings/Remove metadata to off")</f>
        <v>To purchase Slayer table you need to change in Installous/Setings/Remove metadata to off</v>
      </c>
      <c r="E632" s="61" t="str">
        <f>IFERROR(__xludf.DUMMYFUNCTION("""COMPUTED_VALUE"""),"^eNeRGy^")</f>
        <v>^eNeRGy^</v>
      </c>
      <c r="F632" s="63">
        <f>IFERROR(__xludf.DUMMYFUNCTION("""COMPUTED_VALUE"""),40891.0)</f>
        <v>40891</v>
      </c>
    </row>
    <row r="633">
      <c r="A633" s="59" t="str">
        <f>IFERROR(__xludf.DUMMYFUNCTION("""COMPUTED_VALUE"""),"Qui veut gagner des millions? (series)")</f>
        <v>Qui veut gagner des millions? (series)</v>
      </c>
      <c r="B633" s="60"/>
      <c r="C633" s="61" t="str">
        <f>IFERROR(__xludf.DUMMYFUNCTION("""COMPUTED_VALUE"""),"Yes")</f>
        <v>Yes</v>
      </c>
      <c r="D633" s="62" t="str">
        <f>IFERROR(__xludf.DUMMYFUNCTION("""COMPUTED_VALUE"""),"Buy new questions free")</f>
        <v>Buy new questions free</v>
      </c>
      <c r="E633" s="61" t="str">
        <f>IFERROR(__xludf.DUMMYFUNCTION("""COMPUTED_VALUE"""),"micorp")</f>
        <v>micorp</v>
      </c>
      <c r="F633" s="63">
        <f>IFERROR(__xludf.DUMMYFUNCTION("""COMPUTED_VALUE"""),40891.0)</f>
        <v>40891</v>
      </c>
    </row>
    <row r="634">
      <c r="A634" s="59" t="str">
        <f>IFERROR(__xludf.DUMMYFUNCTION("""COMPUTED_VALUE"""),"The Buddy")</f>
        <v>The Buddy</v>
      </c>
      <c r="B634" s="60"/>
      <c r="C634" s="61" t="str">
        <f>IFERROR(__xludf.DUMMYFUNCTION("""COMPUTED_VALUE"""),"Yes")</f>
        <v>Yes</v>
      </c>
      <c r="D634" s="62" t="str">
        <f>IFERROR(__xludf.DUMMYFUNCTION("""COMPUTED_VALUE"""),"Works Perfectly")</f>
        <v>Works Perfectly</v>
      </c>
      <c r="E634" s="61" t="str">
        <f>IFERROR(__xludf.DUMMYFUNCTION("""COMPUTED_VALUE"""),"koasterkid")</f>
        <v>koasterkid</v>
      </c>
      <c r="F634" s="63">
        <f>IFERROR(__xludf.DUMMYFUNCTION("""COMPUTED_VALUE"""),40891.0)</f>
        <v>40891</v>
      </c>
    </row>
    <row r="635">
      <c r="A635" s="59" t="str">
        <f>IFERROR(__xludf.DUMMYFUNCTION("""COMPUTED_VALUE"""),"Trivial Pusuit")</f>
        <v>Trivial Pusuit</v>
      </c>
      <c r="B635" s="60"/>
      <c r="C635" s="61" t="str">
        <f>IFERROR(__xludf.DUMMYFUNCTION("""COMPUTED_VALUE"""),"Yes")</f>
        <v>Yes</v>
      </c>
      <c r="D635" s="62" t="str">
        <f>IFERROR(__xludf.DUMMYFUNCTION("""COMPUTED_VALUE"""),"Free additional questions!")</f>
        <v>Free additional questions!</v>
      </c>
      <c r="E635" s="61" t="str">
        <f>IFERROR(__xludf.DUMMYFUNCTION("""COMPUTED_VALUE"""),"micorp")</f>
        <v>micorp</v>
      </c>
      <c r="F635" s="63">
        <f>IFERROR(__xludf.DUMMYFUNCTION("""COMPUTED_VALUE"""),40891.0)</f>
        <v>40891</v>
      </c>
    </row>
    <row r="636">
      <c r="A636" s="59" t="str">
        <f>IFERROR(__xludf.DUMMYFUNCTION("""COMPUTED_VALUE"""),"123D Sculpt")</f>
        <v>123D Sculpt</v>
      </c>
      <c r="B636" s="60"/>
      <c r="C636" s="61" t="str">
        <f>IFERROR(__xludf.DUMMYFUNCTION("""COMPUTED_VALUE"""),"Yes")</f>
        <v>Yes</v>
      </c>
      <c r="D636" s="62"/>
      <c r="E636" s="61" t="str">
        <f>IFERROR(__xludf.DUMMYFUNCTION("""COMPUTED_VALUE"""),"ThePreserver")</f>
        <v>ThePreserver</v>
      </c>
      <c r="F636" s="63">
        <f>IFERROR(__xludf.DUMMYFUNCTION("""COMPUTED_VALUE"""),40890.0)</f>
        <v>40890</v>
      </c>
    </row>
    <row r="637">
      <c r="A637" s="59" t="str">
        <f>IFERROR(__xludf.DUMMYFUNCTION("""COMPUTED_VALUE"""),"Atari's Greatest Hits")</f>
        <v>Atari's Greatest Hits</v>
      </c>
      <c r="B637" s="60"/>
      <c r="C637" s="61" t="str">
        <f>IFERROR(__xludf.DUMMYFUNCTION("""COMPUTED_VALUE"""),"Yes")</f>
        <v>Yes</v>
      </c>
      <c r="D637" s="62" t="str">
        <f>IFERROR(__xludf.DUMMYFUNCTION("""COMPUTED_VALUE"""),"Purchase all 100+ games")</f>
        <v>Purchase all 100+ games</v>
      </c>
      <c r="E637" s="61" t="str">
        <f>IFERROR(__xludf.DUMMYFUNCTION("""COMPUTED_VALUE"""),"ThePreserver")</f>
        <v>ThePreserver</v>
      </c>
      <c r="F637" s="63">
        <f>IFERROR(__xludf.DUMMYFUNCTION("""COMPUTED_VALUE"""),40890.0)</f>
        <v>40890</v>
      </c>
    </row>
    <row r="638">
      <c r="A638" s="59" t="str">
        <f>IFERROR(__xludf.DUMMYFUNCTION("""COMPUTED_VALUE"""),"Coin Frenzy HD")</f>
        <v>Coin Frenzy HD</v>
      </c>
      <c r="B638" s="60"/>
      <c r="C638" s="61" t="str">
        <f>IFERROR(__xludf.DUMMYFUNCTION("""COMPUTED_VALUE"""),"Yes")</f>
        <v>Yes</v>
      </c>
      <c r="D638" s="62" t="str">
        <f>IFERROR(__xludf.DUMMYFUNCTION("""COMPUTED_VALUE"""),"Buying 2,000 coins actually gives you 6,000 coins")</f>
        <v>Buying 2,000 coins actually gives you 6,000 coins</v>
      </c>
      <c r="E638" s="61" t="str">
        <f>IFERROR(__xludf.DUMMYFUNCTION("""COMPUTED_VALUE"""),"ThePreserver")</f>
        <v>ThePreserver</v>
      </c>
      <c r="F638" s="63">
        <f>IFERROR(__xludf.DUMMYFUNCTION("""COMPUTED_VALUE"""),40890.0)</f>
        <v>40890</v>
      </c>
    </row>
    <row r="639">
      <c r="A639" s="59" t="str">
        <f>IFERROR(__xludf.DUMMYFUNCTION("""COMPUTED_VALUE"""),"Fortress Under Siege")</f>
        <v>Fortress Under Siege</v>
      </c>
      <c r="B639" s="60"/>
      <c r="C639" s="61" t="str">
        <f>IFERROR(__xludf.DUMMYFUNCTION("""COMPUTED_VALUE"""),"Yes")</f>
        <v>Yes</v>
      </c>
      <c r="D639" s="62" t="str">
        <f>IFERROR(__xludf.DUMMYFUNCTION("""COMPUTED_VALUE"""),"Can purchase gold")</f>
        <v>Can purchase gold</v>
      </c>
      <c r="E639" s="61" t="str">
        <f>IFERROR(__xludf.DUMMYFUNCTION("""COMPUTED_VALUE"""),"PKK")</f>
        <v>PKK</v>
      </c>
      <c r="F639" s="63">
        <f>IFERROR(__xludf.DUMMYFUNCTION("""COMPUTED_VALUE"""),40890.0)</f>
        <v>40890</v>
      </c>
    </row>
    <row r="640">
      <c r="A640" s="59" t="str">
        <f>IFERROR(__xludf.DUMMYFUNCTION("""COMPUTED_VALUE"""),"Gutterball: Golden Pin Bowling HD")</f>
        <v>Gutterball: Golden Pin Bowling HD</v>
      </c>
      <c r="B640" s="60"/>
      <c r="C640" s="61" t="str">
        <f>IFERROR(__xludf.DUMMYFUNCTION("""COMPUTED_VALUE"""),"Yes")</f>
        <v>Yes</v>
      </c>
      <c r="D640" s="62" t="str">
        <f>IFERROR(__xludf.DUMMYFUNCTION("""COMPUTED_VALUE"""),"+25,000 GP, all additional bowling balls, and stages unlocked")</f>
        <v>+25,000 GP, all additional bowling balls, and stages unlocked</v>
      </c>
      <c r="E640" s="61" t="str">
        <f>IFERROR(__xludf.DUMMYFUNCTION("""COMPUTED_VALUE"""),"ThePreserver")</f>
        <v>ThePreserver</v>
      </c>
      <c r="F640" s="63">
        <f>IFERROR(__xludf.DUMMYFUNCTION("""COMPUTED_VALUE"""),40890.0)</f>
        <v>40890</v>
      </c>
    </row>
    <row r="641">
      <c r="A641" s="59" t="str">
        <f>IFERROR(__xludf.DUMMYFUNCTION("""COMPUTED_VALUE"""),"iAssociate 2")</f>
        <v>iAssociate 2</v>
      </c>
      <c r="B641" s="60"/>
      <c r="C641" s="61" t="str">
        <f>IFERROR(__xludf.DUMMYFUNCTION("""COMPUTED_VALUE"""),"Yes")</f>
        <v>Yes</v>
      </c>
      <c r="D641" s="62"/>
      <c r="E641" s="61"/>
      <c r="F641" s="63">
        <f>IFERROR(__xludf.DUMMYFUNCTION("""COMPUTED_VALUE"""),40890.0)</f>
        <v>40890</v>
      </c>
    </row>
    <row r="642">
      <c r="A642" s="59" t="str">
        <f>IFERROR(__xludf.DUMMYFUNCTION("""COMPUTED_VALUE"""),"iKamasutra (series)")</f>
        <v>iKamasutra (series)</v>
      </c>
      <c r="B642" s="60"/>
      <c r="C642" s="61" t="str">
        <f>IFERROR(__xludf.DUMMYFUNCTION("""COMPUTED_VALUE"""),"Yes")</f>
        <v>Yes</v>
      </c>
      <c r="D642" s="62" t="str">
        <f>IFERROR(__xludf.DUMMYFUNCTION("""COMPUTED_VALUE"""),"All positions and challenges unlocked")</f>
        <v>All positions and challenges unlocked</v>
      </c>
      <c r="E642" s="61" t="str">
        <f>IFERROR(__xludf.DUMMYFUNCTION("""COMPUTED_VALUE"""),"ThePreserver")</f>
        <v>ThePreserver</v>
      </c>
      <c r="F642" s="63">
        <f>IFERROR(__xludf.DUMMYFUNCTION("""COMPUTED_VALUE"""),40890.0)</f>
        <v>40890</v>
      </c>
    </row>
    <row r="643">
      <c r="A643" s="59" t="str">
        <f>IFERROR(__xludf.DUMMYFUNCTION("""COMPUTED_VALUE"""),"Let Me Out")</f>
        <v>Let Me Out</v>
      </c>
      <c r="B643" s="60"/>
      <c r="C643" s="61" t="str">
        <f>IFERROR(__xludf.DUMMYFUNCTION("""COMPUTED_VALUE"""),"Yes")</f>
        <v>Yes</v>
      </c>
      <c r="D643" s="62" t="str">
        <f>IFERROR(__xludf.DUMMYFUNCTION("""COMPUTED_VALUE"""),"Turn off 'Remove Metadata' in Installous settings if using cracked version.")</f>
        <v>Turn off 'Remove Metadata' in Installous settings if using cracked version.</v>
      </c>
      <c r="E643" s="61" t="str">
        <f>IFERROR(__xludf.DUMMYFUNCTION("""COMPUTED_VALUE"""),"ThePreserver")</f>
        <v>ThePreserver</v>
      </c>
      <c r="F643" s="63">
        <f>IFERROR(__xludf.DUMMYFUNCTION("""COMPUTED_VALUE"""),40890.0)</f>
        <v>40890</v>
      </c>
    </row>
    <row r="644">
      <c r="A644" s="59" t="str">
        <f>IFERROR(__xludf.DUMMYFUNCTION("""COMPUTED_VALUE"""),"Microsoft OneNote for iPad")</f>
        <v>Microsoft OneNote for iPad</v>
      </c>
      <c r="B644" s="60"/>
      <c r="C644" s="61" t="str">
        <f>IFERROR(__xludf.DUMMYFUNCTION("""COMPUTED_VALUE"""),"Yes")</f>
        <v>Yes</v>
      </c>
      <c r="D644" s="62" t="str">
        <f>IFERROR(__xludf.DUMMYFUNCTION("""COMPUTED_VALUE"""),"""You can now edit and create notes""")</f>
        <v>"You can now edit and create notes"</v>
      </c>
      <c r="E644" s="61" t="str">
        <f>IFERROR(__xludf.DUMMYFUNCTION("""COMPUTED_VALUE"""),"ThePreserver")</f>
        <v>ThePreserver</v>
      </c>
      <c r="F644" s="63">
        <f>IFERROR(__xludf.DUMMYFUNCTION("""COMPUTED_VALUE"""),40890.0)</f>
        <v>40890</v>
      </c>
    </row>
    <row r="645">
      <c r="A645" s="59" t="str">
        <f>IFERROR(__xludf.DUMMYFUNCTION("""COMPUTED_VALUE"""),"SoundHound")</f>
        <v>SoundHound</v>
      </c>
      <c r="B645" s="60"/>
      <c r="C645" s="61" t="str">
        <f>IFERROR(__xludf.DUMMYFUNCTION("""COMPUTED_VALUE"""),"Yes")</f>
        <v>Yes</v>
      </c>
      <c r="D645" s="62"/>
      <c r="E645" s="61" t="str">
        <f>IFERROR(__xludf.DUMMYFUNCTION("""COMPUTED_VALUE"""),"ThePreserver")</f>
        <v>ThePreserver</v>
      </c>
      <c r="F645" s="63">
        <f>IFERROR(__xludf.DUMMYFUNCTION("""COMPUTED_VALUE"""),40890.0)</f>
        <v>40890</v>
      </c>
    </row>
    <row r="646">
      <c r="A646" s="59" t="str">
        <f>IFERROR(__xludf.DUMMYFUNCTION("""COMPUTED_VALUE"""),"Coin vs Zombies")</f>
        <v>Coin vs Zombies</v>
      </c>
      <c r="B646" s="60"/>
      <c r="C646" s="61" t="str">
        <f>IFERROR(__xludf.DUMMYFUNCTION("""COMPUTED_VALUE"""),"Yes")</f>
        <v>Yes</v>
      </c>
      <c r="D646" s="62" t="str">
        <f>IFERROR(__xludf.DUMMYFUNCTION("""COMPUTED_VALUE"""),"Works on iAP crackers v0.5-1")</f>
        <v>Works on iAP crackers v0.5-1</v>
      </c>
      <c r="E646" s="61" t="str">
        <f>IFERROR(__xludf.DUMMYFUNCTION("""COMPUTED_VALUE"""),"Guk")</f>
        <v>Guk</v>
      </c>
      <c r="F646" s="63">
        <f>IFERROR(__xludf.DUMMYFUNCTION("""COMPUTED_VALUE"""),40889.0)</f>
        <v>40889</v>
      </c>
    </row>
    <row r="647">
      <c r="A647" s="59" t="str">
        <f>IFERROR(__xludf.DUMMYFUNCTION("""COMPUTED_VALUE"""),"iCookbook")</f>
        <v>iCookbook</v>
      </c>
      <c r="B647" s="60"/>
      <c r="C647" s="61" t="str">
        <f>IFERROR(__xludf.DUMMYFUNCTION("""COMPUTED_VALUE"""),"Yes")</f>
        <v>Yes</v>
      </c>
      <c r="D647" s="62"/>
      <c r="E647" s="61" t="str">
        <f>IFERROR(__xludf.DUMMYFUNCTION("""COMPUTED_VALUE"""),"Guk")</f>
        <v>Guk</v>
      </c>
      <c r="F647" s="63">
        <f>IFERROR(__xludf.DUMMYFUNCTION("""COMPUTED_VALUE"""),40889.0)</f>
        <v>40889</v>
      </c>
    </row>
    <row r="648">
      <c r="A648" s="59" t="str">
        <f>IFERROR(__xludf.DUMMYFUNCTION("""COMPUTED_VALUE"""),"Burn the Rope &amp; Burn the Rope World")</f>
        <v>Burn the Rope &amp; Burn the Rope World</v>
      </c>
      <c r="B648" s="60"/>
      <c r="C648" s="61" t="str">
        <f>IFERROR(__xludf.DUMMYFUNCTION("""COMPUTED_VALUE"""),"Yes")</f>
        <v>Yes</v>
      </c>
      <c r="D648" s="62"/>
      <c r="E648" s="61" t="str">
        <f>IFERROR(__xludf.DUMMYFUNCTION("""COMPUTED_VALUE"""),"playboy6006")</f>
        <v>playboy6006</v>
      </c>
      <c r="F648" s="63">
        <f>IFERROR(__xludf.DUMMYFUNCTION("""COMPUTED_VALUE"""),40888.0)</f>
        <v>40888</v>
      </c>
    </row>
    <row r="649">
      <c r="A649" s="59" t="str">
        <f>IFERROR(__xludf.DUMMYFUNCTION("""COMPUTED_VALUE"""),"Cliff Diver")</f>
        <v>Cliff Diver</v>
      </c>
      <c r="B649" s="60"/>
      <c r="C649" s="61" t="str">
        <f>IFERROR(__xludf.DUMMYFUNCTION("""COMPUTED_VALUE"""),"Yes")</f>
        <v>Yes</v>
      </c>
      <c r="D649" s="62" t="str">
        <f>IFERROR(__xludf.DUMMYFUNCTION("""COMPUTED_VALUE"""),"Buy more coins")</f>
        <v>Buy more coins</v>
      </c>
      <c r="E649" s="61" t="str">
        <f>IFERROR(__xludf.DUMMYFUNCTION("""COMPUTED_VALUE"""),"Jaaaaaaaaaam")</f>
        <v>Jaaaaaaaaaam</v>
      </c>
      <c r="F649" s="63">
        <f>IFERROR(__xludf.DUMMYFUNCTION("""COMPUTED_VALUE"""),40888.0)</f>
        <v>40888</v>
      </c>
    </row>
    <row r="650">
      <c r="A650" s="59" t="str">
        <f>IFERROR(__xludf.DUMMYFUNCTION("""COMPUTED_VALUE"""),"Contract Killer Zombie")</f>
        <v>Contract Killer Zombie</v>
      </c>
      <c r="B650" s="60"/>
      <c r="C650" s="61" t="str">
        <f>IFERROR(__xludf.DUMMYFUNCTION("""COMPUTED_VALUE"""),"Yes")</f>
        <v>Yes</v>
      </c>
      <c r="D650" s="62" t="str">
        <f>IFERROR(__xludf.DUMMYFUNCTION("""COMPUTED_VALUE"""),"Purchased weapons, grenades, money and gold.")</f>
        <v>Purchased weapons, grenades, money and gold.</v>
      </c>
      <c r="E650" s="61" t="str">
        <f>IFERROR(__xludf.DUMMYFUNCTION("""COMPUTED_VALUE"""),"Maloon")</f>
        <v>Maloon</v>
      </c>
      <c r="F650" s="63">
        <f>IFERROR(__xludf.DUMMYFUNCTION("""COMPUTED_VALUE"""),40888.0)</f>
        <v>40888</v>
      </c>
    </row>
    <row r="651">
      <c r="A651" s="59" t="str">
        <f>IFERROR(__xludf.DUMMYFUNCTION("""COMPUTED_VALUE"""),"Home Design 3D for iPad")</f>
        <v>Home Design 3D for iPad</v>
      </c>
      <c r="B651" s="60"/>
      <c r="C651" s="61" t="str">
        <f>IFERROR(__xludf.DUMMYFUNCTION("""COMPUTED_VALUE"""),"Yes")</f>
        <v>Yes</v>
      </c>
      <c r="D651" s="62"/>
      <c r="E651" s="61" t="str">
        <f>IFERROR(__xludf.DUMMYFUNCTION("""COMPUTED_VALUE"""),"Maloon")</f>
        <v>Maloon</v>
      </c>
      <c r="F651" s="63">
        <f>IFERROR(__xludf.DUMMYFUNCTION("""COMPUTED_VALUE"""),40888.0)</f>
        <v>40888</v>
      </c>
    </row>
    <row r="652">
      <c r="A652" s="59" t="str">
        <f>IFERROR(__xludf.DUMMYFUNCTION("""COMPUTED_VALUE"""),"Mega Jump")</f>
        <v>Mega Jump</v>
      </c>
      <c r="B652" s="60"/>
      <c r="C652" s="61" t="str">
        <f>IFERROR(__xludf.DUMMYFUNCTION("""COMPUTED_VALUE"""),"Yes")</f>
        <v>Yes</v>
      </c>
      <c r="D652" s="62" t="str">
        <f>IFERROR(__xludf.DUMMYFUNCTION("""COMPUTED_VALUE"""),"Everything works perfectly.")</f>
        <v>Everything works perfectly.</v>
      </c>
      <c r="E652" s="61" t="str">
        <f>IFERROR(__xludf.DUMMYFUNCTION("""COMPUTED_VALUE"""),"HellRiderX")</f>
        <v>HellRiderX</v>
      </c>
      <c r="F652" s="63">
        <f>IFERROR(__xludf.DUMMYFUNCTION("""COMPUTED_VALUE"""),40888.0)</f>
        <v>40888</v>
      </c>
    </row>
    <row r="653">
      <c r="A653" s="59" t="str">
        <f>IFERROR(__xludf.DUMMYFUNCTION("""COMPUTED_VALUE"""),"Monster Island")</f>
        <v>Monster Island</v>
      </c>
      <c r="B653" s="60"/>
      <c r="C653" s="61" t="str">
        <f>IFERROR(__xludf.DUMMYFUNCTION("""COMPUTED_VALUE"""),"Yes")</f>
        <v>Yes</v>
      </c>
      <c r="D653" s="62" t="str">
        <f>IFERROR(__xludf.DUMMYFUNCTION("""COMPUTED_VALUE"""),"Can purchase all in store")</f>
        <v>Can purchase all in store</v>
      </c>
      <c r="E653" s="61" t="str">
        <f>IFERROR(__xludf.DUMMYFUNCTION("""COMPUTED_VALUE"""),"playboy6006")</f>
        <v>playboy6006</v>
      </c>
      <c r="F653" s="63">
        <f>IFERROR(__xludf.DUMMYFUNCTION("""COMPUTED_VALUE"""),40888.0)</f>
        <v>40888</v>
      </c>
    </row>
    <row r="654">
      <c r="A654" s="59" t="str">
        <f>IFERROR(__xludf.DUMMYFUNCTION("""COMPUTED_VALUE"""),"Mouse Maze")</f>
        <v>Mouse Maze</v>
      </c>
      <c r="B654" s="60"/>
      <c r="C654" s="61" t="str">
        <f>IFERROR(__xludf.DUMMYFUNCTION("""COMPUTED_VALUE"""),"Yes")</f>
        <v>Yes</v>
      </c>
      <c r="D654" s="62" t="str">
        <f>IFERROR(__xludf.DUMMYFUNCTION("""COMPUTED_VALUE"""),"Unlock all")</f>
        <v>Unlock all</v>
      </c>
      <c r="E654" s="61" t="str">
        <f>IFERROR(__xludf.DUMMYFUNCTION("""COMPUTED_VALUE"""),"playboy6006 &amp;
Beffwee")</f>
        <v>playboy6006 &amp;
Beffwee</v>
      </c>
      <c r="F654" s="63">
        <f>IFERROR(__xludf.DUMMYFUNCTION("""COMPUTED_VALUE"""),40888.0)</f>
        <v>40888</v>
      </c>
    </row>
    <row r="655">
      <c r="A655" s="59" t="str">
        <f>IFERROR(__xludf.DUMMYFUNCTION("""COMPUTED_VALUE"""),"SushiChop")</f>
        <v>SushiChop</v>
      </c>
      <c r="B655" s="60"/>
      <c r="C655" s="61" t="str">
        <f>IFERROR(__xludf.DUMMYFUNCTION("""COMPUTED_VALUE"""),"Yes")</f>
        <v>Yes</v>
      </c>
      <c r="D655" s="62" t="str">
        <f>IFERROR(__xludf.DUMMYFUNCTION("""COMPUTED_VALUE"""),"Purchase everything in store")</f>
        <v>Purchase everything in store</v>
      </c>
      <c r="E655" s="61" t="str">
        <f>IFERROR(__xludf.DUMMYFUNCTION("""COMPUTED_VALUE"""),"playboy6006")</f>
        <v>playboy6006</v>
      </c>
      <c r="F655" s="63">
        <f>IFERROR(__xludf.DUMMYFUNCTION("""COMPUTED_VALUE"""),40888.0)</f>
        <v>40888</v>
      </c>
    </row>
    <row r="656">
      <c r="A656" s="59" t="str">
        <f>IFERROR(__xludf.DUMMYFUNCTION("""COMPUTED_VALUE"""),"Babel Rising")</f>
        <v>Babel Rising</v>
      </c>
      <c r="B656" s="60"/>
      <c r="C656" s="61" t="str">
        <f>IFERROR(__xludf.DUMMYFUNCTION("""COMPUTED_VALUE"""),"Yes")</f>
        <v>Yes</v>
      </c>
      <c r="D656" s="62" t="str">
        <f>IFERROR(__xludf.DUMMYFUNCTION("""COMPUTED_VALUE"""),"Unlock all modes")</f>
        <v>Unlock all modes</v>
      </c>
      <c r="E656" s="61" t="str">
        <f>IFERROR(__xludf.DUMMYFUNCTION("""COMPUTED_VALUE"""),"playboy6006")</f>
        <v>playboy6006</v>
      </c>
      <c r="F656" s="63">
        <f>IFERROR(__xludf.DUMMYFUNCTION("""COMPUTED_VALUE"""),40887.0)</f>
        <v>40887</v>
      </c>
    </row>
    <row r="657">
      <c r="A657" s="59" t="str">
        <f>IFERROR(__xludf.DUMMYFUNCTION("""COMPUTED_VALUE"""),"Crimson: Steam Pirates")</f>
        <v>Crimson: Steam Pirates</v>
      </c>
      <c r="B657" s="60"/>
      <c r="C657" s="61" t="str">
        <f>IFERROR(__xludf.DUMMYFUNCTION("""COMPUTED_VALUE"""),"Yes")</f>
        <v>Yes</v>
      </c>
      <c r="D657" s="62"/>
      <c r="E657" s="61" t="str">
        <f>IFERROR(__xludf.DUMMYFUNCTION("""COMPUTED_VALUE"""),"Guk")</f>
        <v>Guk</v>
      </c>
      <c r="F657" s="63">
        <f>IFERROR(__xludf.DUMMYFUNCTION("""COMPUTED_VALUE"""),40887.0)</f>
        <v>40887</v>
      </c>
    </row>
    <row r="658">
      <c r="A658" s="59" t="str">
        <f>IFERROR(__xludf.DUMMYFUNCTION("""COMPUTED_VALUE"""),"Hotel Dash")</f>
        <v>Hotel Dash</v>
      </c>
      <c r="B658" s="60"/>
      <c r="C658" s="61" t="str">
        <f>IFERROR(__xludf.DUMMYFUNCTION("""COMPUTED_VALUE"""),"Yes")</f>
        <v>Yes</v>
      </c>
      <c r="D658" s="62" t="str">
        <f>IFERROR(__xludf.DUMMYFUNCTION("""COMPUTED_VALUE"""),"Buy everything")</f>
        <v>Buy everything</v>
      </c>
      <c r="E658" s="61" t="str">
        <f>IFERROR(__xludf.DUMMYFUNCTION("""COMPUTED_VALUE"""),"Dex")</f>
        <v>Dex</v>
      </c>
      <c r="F658" s="63">
        <f>IFERROR(__xludf.DUMMYFUNCTION("""COMPUTED_VALUE"""),40887.0)</f>
        <v>40887</v>
      </c>
    </row>
    <row r="659">
      <c r="A659" s="59" t="str">
        <f>IFERROR(__xludf.DUMMYFUNCTION("""COMPUTED_VALUE"""),"Incredibooth")</f>
        <v>Incredibooth</v>
      </c>
      <c r="B659" s="60"/>
      <c r="C659" s="61" t="str">
        <f>IFERROR(__xludf.DUMMYFUNCTION("""COMPUTED_VALUE"""),"Yes")</f>
        <v>Yes</v>
      </c>
      <c r="D659" s="62" t="str">
        <f>IFERROR(__xludf.DUMMYFUNCTION("""COMPUTED_VALUE"""),"All purchases")</f>
        <v>All purchases</v>
      </c>
      <c r="E659" s="61" t="str">
        <f>IFERROR(__xludf.DUMMYFUNCTION("""COMPUTED_VALUE"""),"Jaaaaaaaaaam")</f>
        <v>Jaaaaaaaaaam</v>
      </c>
      <c r="F659" s="63">
        <f>IFERROR(__xludf.DUMMYFUNCTION("""COMPUTED_VALUE"""),40887.0)</f>
        <v>40887</v>
      </c>
    </row>
    <row r="660">
      <c r="A660" s="59" t="str">
        <f>IFERROR(__xludf.DUMMYFUNCTION("""COMPUTED_VALUE"""),"ModMyI")</f>
        <v>ModMyI</v>
      </c>
      <c r="B660" s="60"/>
      <c r="C660" s="61" t="str">
        <f>IFERROR(__xludf.DUMMYFUNCTION("""COMPUTED_VALUE"""),"Yes")</f>
        <v>Yes</v>
      </c>
      <c r="D660" s="62" t="str">
        <f>IFERROR(__xludf.DUMMYFUNCTION("""COMPUTED_VALUE"""),"Ad removal instructions: Tap button once, restart app.")</f>
        <v>Ad removal instructions: Tap button once, restart app.</v>
      </c>
      <c r="E660" s="61" t="str">
        <f>IFERROR(__xludf.DUMMYFUNCTION("""COMPUTED_VALUE"""),"rctgamer3")</f>
        <v>rctgamer3</v>
      </c>
      <c r="F660" s="63">
        <f>IFERROR(__xludf.DUMMYFUNCTION("""COMPUTED_VALUE"""),40887.0)</f>
        <v>40887</v>
      </c>
    </row>
    <row r="661">
      <c r="A661" s="59" t="str">
        <f>IFERROR(__xludf.DUMMYFUNCTION("""COMPUTED_VALUE"""),"Office Jerk (series)")</f>
        <v>Office Jerk (series)</v>
      </c>
      <c r="B661" s="60"/>
      <c r="C661" s="61" t="str">
        <f>IFERROR(__xludf.DUMMYFUNCTION("""COMPUTED_VALUE"""),"Yes")</f>
        <v>Yes</v>
      </c>
      <c r="D661" s="62" t="str">
        <f>IFERROR(__xludf.DUMMYFUNCTION("""COMPUTED_VALUE"""),"You can buy all the fun things to throw.")</f>
        <v>You can buy all the fun things to throw.</v>
      </c>
      <c r="E661" s="61"/>
      <c r="F661" s="63">
        <f>IFERROR(__xludf.DUMMYFUNCTION("""COMPUTED_VALUE"""),40887.0)</f>
        <v>40887</v>
      </c>
    </row>
    <row r="662">
      <c r="A662" s="59" t="str">
        <f>IFERROR(__xludf.DUMMYFUNCTION("""COMPUTED_VALUE"""),"Road Trip")</f>
        <v>Road Trip</v>
      </c>
      <c r="B662" s="60"/>
      <c r="C662" s="61" t="str">
        <f>IFERROR(__xludf.DUMMYFUNCTION("""COMPUTED_VALUE"""),"Yes")</f>
        <v>Yes</v>
      </c>
      <c r="D662" s="62" t="str">
        <f>IFERROR(__xludf.DUMMYFUNCTION("""COMPUTED_VALUE"""),"Unlock All Cars")</f>
        <v>Unlock All Cars</v>
      </c>
      <c r="E662" s="61" t="str">
        <f>IFERROR(__xludf.DUMMYFUNCTION("""COMPUTED_VALUE"""),"squeaky369")</f>
        <v>squeaky369</v>
      </c>
      <c r="F662" s="63">
        <f>IFERROR(__xludf.DUMMYFUNCTION("""COMPUTED_VALUE"""),40887.0)</f>
        <v>40887</v>
      </c>
    </row>
    <row r="663">
      <c r="A663" s="59" t="str">
        <f>IFERROR(__xludf.DUMMYFUNCTION("""COMPUTED_VALUE"""),"Road Warrior")</f>
        <v>Road Warrior</v>
      </c>
      <c r="B663" s="60"/>
      <c r="C663" s="61" t="str">
        <f>IFERROR(__xludf.DUMMYFUNCTION("""COMPUTED_VALUE"""),"Yes")</f>
        <v>Yes</v>
      </c>
      <c r="D663" s="62" t="str">
        <f>IFERROR(__xludf.DUMMYFUNCTION("""COMPUTED_VALUE"""),"Purchase more cash")</f>
        <v>Purchase more cash</v>
      </c>
      <c r="E663" s="61" t="str">
        <f>IFERROR(__xludf.DUMMYFUNCTION("""COMPUTED_VALUE"""),"Jaaaaaaaaaam")</f>
        <v>Jaaaaaaaaaam</v>
      </c>
      <c r="F663" s="63">
        <f>IFERROR(__xludf.DUMMYFUNCTION("""COMPUTED_VALUE"""),40887.0)</f>
        <v>40887</v>
      </c>
    </row>
    <row r="664">
      <c r="A664" s="59" t="str">
        <f>IFERROR(__xludf.DUMMYFUNCTION("""COMPUTED_VALUE"""),"Tiki Match")</f>
        <v>Tiki Match</v>
      </c>
      <c r="B664" s="60"/>
      <c r="C664" s="61" t="str">
        <f>IFERROR(__xludf.DUMMYFUNCTION("""COMPUTED_VALUE"""),"Yes")</f>
        <v>Yes</v>
      </c>
      <c r="D664" s="62" t="str">
        <f>IFERROR(__xludf.DUMMYFUNCTION("""COMPUTED_VALUE"""),"Base → Premium")</f>
        <v>Base → Premium</v>
      </c>
      <c r="E664" s="61" t="str">
        <f>IFERROR(__xludf.DUMMYFUNCTION("""COMPUTED_VALUE"""),"Beffwee")</f>
        <v>Beffwee</v>
      </c>
      <c r="F664" s="63">
        <f>IFERROR(__xludf.DUMMYFUNCTION("""COMPUTED_VALUE"""),40887.0)</f>
        <v>40887</v>
      </c>
    </row>
    <row r="665">
      <c r="A665" s="59" t="str">
        <f>IFERROR(__xludf.DUMMYFUNCTION("""COMPUTED_VALUE"""),"Uprising: Veggie Samurai")</f>
        <v>Uprising: Veggie Samurai</v>
      </c>
      <c r="B665" s="60"/>
      <c r="C665" s="61" t="str">
        <f>IFERROR(__xludf.DUMMYFUNCTION("""COMPUTED_VALUE"""),"Yes")</f>
        <v>Yes</v>
      </c>
      <c r="D665" s="62" t="str">
        <f>IFERROR(__xludf.DUMMYFUNCTION("""COMPUTED_VALUE"""),"All shop items work")</f>
        <v>All shop items work</v>
      </c>
      <c r="E665" s="61" t="str">
        <f>IFERROR(__xludf.DUMMYFUNCTION("""COMPUTED_VALUE"""),"Persephone")</f>
        <v>Persephone</v>
      </c>
      <c r="F665" s="63">
        <f>IFERROR(__xludf.DUMMYFUNCTION("""COMPUTED_VALUE"""),40887.0)</f>
        <v>40887</v>
      </c>
    </row>
    <row r="666">
      <c r="A666" s="59" t="str">
        <f>IFERROR(__xludf.DUMMYFUNCTION("""COMPUTED_VALUE"""),"Angry Birds (All)")</f>
        <v>Angry Birds (All)</v>
      </c>
      <c r="B666" s="60"/>
      <c r="C666" s="61" t="str">
        <f>IFERROR(__xludf.DUMMYFUNCTION("""COMPUTED_VALUE"""),"Yes")</f>
        <v>Yes</v>
      </c>
      <c r="D666" s="62" t="str">
        <f>IFERROR(__xludf.DUMMYFUNCTION("""COMPUTED_VALUE"""),"Unlocks the Mighty Eagle for Angry Birds, Angry Birds Seasons, and Angry Birds Rio.")</f>
        <v>Unlocks the Mighty Eagle for Angry Birds, Angry Birds Seasons, and Angry Birds Rio.</v>
      </c>
      <c r="E666" s="61" t="str">
        <f>IFERROR(__xludf.DUMMYFUNCTION("""COMPUTED_VALUE"""),"rctgamer3")</f>
        <v>rctgamer3</v>
      </c>
      <c r="F666" s="63">
        <f>IFERROR(__xludf.DUMMYFUNCTION("""COMPUTED_VALUE"""),40886.0)</f>
        <v>40886</v>
      </c>
    </row>
    <row r="667">
      <c r="A667" s="59" t="str">
        <f>IFERROR(__xludf.DUMMYFUNCTION("""COMPUTED_VALUE"""),"Holiday Jerk")</f>
        <v>Holiday Jerk</v>
      </c>
      <c r="B667" s="60"/>
      <c r="C667" s="61" t="str">
        <f>IFERROR(__xludf.DUMMYFUNCTION("""COMPUTED_VALUE"""),"Yes")</f>
        <v>Yes</v>
      </c>
      <c r="D667" s="62" t="str">
        <f>IFERROR(__xludf.DUMMYFUNCTION("""COMPUTED_VALUE"""),"Works great!  Can buy the elf and other fun stuff.")</f>
        <v>Works great!  Can buy the elf and other fun stuff.</v>
      </c>
      <c r="E667" s="61"/>
      <c r="F667" s="63">
        <f>IFERROR(__xludf.DUMMYFUNCTION("""COMPUTED_VALUE"""),40886.0)</f>
        <v>40886</v>
      </c>
    </row>
    <row r="668">
      <c r="A668" s="59" t="str">
        <f>IFERROR(__xludf.DUMMYFUNCTION("""COMPUTED_VALUE"""),"Maxim")</f>
        <v>Maxim</v>
      </c>
      <c r="B668" s="60"/>
      <c r="C668" s="61" t="str">
        <f>IFERROR(__xludf.DUMMYFUNCTION("""COMPUTED_VALUE"""),"Yes")</f>
        <v>Yes</v>
      </c>
      <c r="D668" s="62" t="str">
        <f>IFERROR(__xludf.DUMMYFUNCTION("""COMPUTED_VALUE"""),"Dowload avalible for the isuues.")</f>
        <v>Dowload avalible for the isuues.</v>
      </c>
      <c r="E668" s="61" t="str">
        <f>IFERROR(__xludf.DUMMYFUNCTION("""COMPUTED_VALUE"""),"Flashter")</f>
        <v>Flashter</v>
      </c>
      <c r="F668" s="63">
        <f>IFERROR(__xludf.DUMMYFUNCTION("""COMPUTED_VALUE"""),40886.0)</f>
        <v>40886</v>
      </c>
    </row>
    <row r="669">
      <c r="A669" s="59" t="str">
        <f>IFERROR(__xludf.DUMMYFUNCTION("""COMPUTED_VALUE"""),"Paper Toss v2.0")</f>
        <v>Paper Toss v2.0</v>
      </c>
      <c r="B669" s="60"/>
      <c r="C669" s="61" t="str">
        <f>IFERROR(__xludf.DUMMYFUNCTION("""COMPUTED_VALUE"""),"Yes")</f>
        <v>Yes</v>
      </c>
      <c r="D669" s="62" t="str">
        <f>IFERROR(__xludf.DUMMYFUNCTION("""COMPUTED_VALUE"""),"Works on all the coin purchases ((12/9/11 - as does remove ads))")</f>
        <v>Works on all the coin purchases ((12/9/11 - as does remove ads))</v>
      </c>
      <c r="E669" s="61" t="str">
        <f>IFERROR(__xludf.DUMMYFUNCTION("""COMPUTED_VALUE"""),"Mav")</f>
        <v>Mav</v>
      </c>
      <c r="F669" s="63">
        <f>IFERROR(__xludf.DUMMYFUNCTION("""COMPUTED_VALUE"""),40886.0)</f>
        <v>40886</v>
      </c>
    </row>
    <row r="670">
      <c r="A670" s="59" t="str">
        <f>IFERROR(__xludf.DUMMYFUNCTION("""COMPUTED_VALUE"""),"The Michael Jackson Experience HD")</f>
        <v>The Michael Jackson Experience HD</v>
      </c>
      <c r="B670" s="60"/>
      <c r="C670" s="61" t="str">
        <f>IFERROR(__xludf.DUMMYFUNCTION("""COMPUTED_VALUE"""),"Yes")</f>
        <v>Yes</v>
      </c>
      <c r="D670" s="62"/>
      <c r="E670" s="61" t="str">
        <f>IFERROR(__xludf.DUMMYFUNCTION("""COMPUTED_VALUE"""),"Pritpalspall")</f>
        <v>Pritpalspall</v>
      </c>
      <c r="F670" s="63">
        <f>IFERROR(__xludf.DUMMYFUNCTION("""COMPUTED_VALUE"""),40886.0)</f>
        <v>40886</v>
      </c>
    </row>
    <row r="671">
      <c r="A671" s="59" t="str">
        <f>IFERROR(__xludf.DUMMYFUNCTION("""COMPUTED_VALUE"""),"Casino Free")</f>
        <v>Casino Free</v>
      </c>
      <c r="B671" s="60"/>
      <c r="C671" s="61" t="str">
        <f>IFERROR(__xludf.DUMMYFUNCTION("""COMPUTED_VALUE"""),"Yes")</f>
        <v>Yes</v>
      </c>
      <c r="D671" s="62" t="str">
        <f>IFERROR(__xludf.DUMMYFUNCTION("""COMPUTED_VALUE""")," ")</f>
        <v> </v>
      </c>
      <c r="E671" s="61" t="str">
        <f>IFERROR(__xludf.DUMMYFUNCTION("""COMPUTED_VALUE"""),"Guk")</f>
        <v>Guk</v>
      </c>
      <c r="F671" s="63">
        <f>IFERROR(__xludf.DUMMYFUNCTION("""COMPUTED_VALUE"""),40885.0)</f>
        <v>40885</v>
      </c>
    </row>
    <row r="672">
      <c r="A672" s="59" t="str">
        <f>IFERROR(__xludf.DUMMYFUNCTION("""COMPUTED_VALUE"""),"Commodore 64")</f>
        <v>Commodore 64</v>
      </c>
      <c r="B672" s="60"/>
      <c r="C672" s="61" t="str">
        <f>IFERROR(__xludf.DUMMYFUNCTION("""COMPUTED_VALUE"""),"Yes")</f>
        <v>Yes</v>
      </c>
      <c r="D672" s="62" t="str">
        <f>IFERROR(__xludf.DUMMYFUNCTION("""COMPUTED_VALUE"""),"It work!!! All games available unlocked!")</f>
        <v>It work!!! All games available unlocked!</v>
      </c>
      <c r="E672" s="61" t="str">
        <f>IFERROR(__xludf.DUMMYFUNCTION("""COMPUTED_VALUE"""),"Maurice, Qixx, Mizzio")</f>
        <v>Maurice, Qixx, Mizzio</v>
      </c>
      <c r="F672" s="63">
        <f>IFERROR(__xludf.DUMMYFUNCTION("""COMPUTED_VALUE"""),40885.0)</f>
        <v>40885</v>
      </c>
    </row>
    <row r="673">
      <c r="A673" s="59" t="str">
        <f>IFERROR(__xludf.DUMMYFUNCTION("""COMPUTED_VALUE"""),"Egg Punch")</f>
        <v>Egg Punch</v>
      </c>
      <c r="B673" s="60"/>
      <c r="C673" s="61" t="str">
        <f>IFERROR(__xludf.DUMMYFUNCTION("""COMPUTED_VALUE"""),"Yes")</f>
        <v>Yes</v>
      </c>
      <c r="D673" s="62"/>
      <c r="E673" s="61" t="str">
        <f>IFERROR(__xludf.DUMMYFUNCTION("""COMPUTED_VALUE"""),"Maurice")</f>
        <v>Maurice</v>
      </c>
      <c r="F673" s="63">
        <f>IFERROR(__xludf.DUMMYFUNCTION("""COMPUTED_VALUE"""),40885.0)</f>
        <v>40885</v>
      </c>
    </row>
    <row r="674">
      <c r="A674" s="59" t="str">
        <f>IFERROR(__xludf.DUMMYFUNCTION("""COMPUTED_VALUE"""),"Fairy Fail")</f>
        <v>Fairy Fail</v>
      </c>
      <c r="B674" s="60"/>
      <c r="C674" s="61" t="str">
        <f>IFERROR(__xludf.DUMMYFUNCTION("""COMPUTED_VALUE"""),"Yes")</f>
        <v>Yes</v>
      </c>
      <c r="D674" s="62" t="str">
        <f>IFERROR(__xludf.DUMMYFUNCTION("""COMPUTED_VALUE"""),"Unlock new levels")</f>
        <v>Unlock new levels</v>
      </c>
      <c r="E674" s="61" t="str">
        <f>IFERROR(__xludf.DUMMYFUNCTION("""COMPUTED_VALUE"""),"ISOHaven")</f>
        <v>ISOHaven</v>
      </c>
      <c r="F674" s="63">
        <f>IFERROR(__xludf.DUMMYFUNCTION("""COMPUTED_VALUE"""),40885.0)</f>
        <v>40885</v>
      </c>
    </row>
    <row r="675">
      <c r="A675" s="59" t="str">
        <f>IFERROR(__xludf.DUMMYFUNCTION("""COMPUTED_VALUE"""),"Gramedia Majalah Lite")</f>
        <v>Gramedia Majalah Lite</v>
      </c>
      <c r="B675" s="60"/>
      <c r="C675" s="61" t="str">
        <f>IFERROR(__xludf.DUMMYFUNCTION("""COMPUTED_VALUE"""),"Yes")</f>
        <v>Yes</v>
      </c>
      <c r="D675" s="62"/>
      <c r="E675" s="61" t="str">
        <f>IFERROR(__xludf.DUMMYFUNCTION("""COMPUTED_VALUE"""),"Guk")</f>
        <v>Guk</v>
      </c>
      <c r="F675" s="63">
        <f>IFERROR(__xludf.DUMMYFUNCTION("""COMPUTED_VALUE"""),40885.0)</f>
        <v>40885</v>
      </c>
    </row>
    <row r="676">
      <c r="A676" s="59" t="str">
        <f>IFERROR(__xludf.DUMMYFUNCTION("""COMPUTED_VALUE"""),"House of Glass")</f>
        <v>House of Glass</v>
      </c>
      <c r="B676" s="60"/>
      <c r="C676" s="61" t="str">
        <f>IFERROR(__xludf.DUMMYFUNCTION("""COMPUTED_VALUE"""),"Yes")</f>
        <v>Yes</v>
      </c>
      <c r="D676" s="62" t="str">
        <f>IFERROR(__xludf.DUMMYFUNCTION("""COMPUTED_VALUE"""),"Unlock full version")</f>
        <v>Unlock full version</v>
      </c>
      <c r="E676" s="61" t="str">
        <f>IFERROR(__xludf.DUMMYFUNCTION("""COMPUTED_VALUE"""),"Guk")</f>
        <v>Guk</v>
      </c>
      <c r="F676" s="63">
        <f>IFERROR(__xludf.DUMMYFUNCTION("""COMPUTED_VALUE"""),40885.0)</f>
        <v>40885</v>
      </c>
    </row>
    <row r="677">
      <c r="A677" s="59" t="str">
        <f>IFERROR(__xludf.DUMMYFUNCTION("""COMPUTED_VALUE"""),"iMissal")</f>
        <v>iMissal</v>
      </c>
      <c r="B677" s="60"/>
      <c r="C677" s="61" t="str">
        <f>IFERROR(__xludf.DUMMYFUNCTION("""COMPUTED_VALUE"""),"Yes")</f>
        <v>Yes</v>
      </c>
      <c r="D677" s="62" t="str">
        <f>IFERROR(__xludf.DUMMYFUNCTION("""COMPUTED_VALUE"""),"v2.2 works")</f>
        <v>v2.2 works</v>
      </c>
      <c r="E677" s="61" t="str">
        <f>IFERROR(__xludf.DUMMYFUNCTION("""COMPUTED_VALUE"""),"Guk")</f>
        <v>Guk</v>
      </c>
      <c r="F677" s="63">
        <f>IFERROR(__xludf.DUMMYFUNCTION("""COMPUTED_VALUE"""),40885.0)</f>
        <v>40885</v>
      </c>
    </row>
    <row r="678">
      <c r="A678" s="59" t="str">
        <f>IFERROR(__xludf.DUMMYFUNCTION("""COMPUTED_VALUE"""),"iSupr8")</f>
        <v>iSupr8</v>
      </c>
      <c r="B678" s="60"/>
      <c r="C678" s="61" t="str">
        <f>IFERROR(__xludf.DUMMYFUNCTION("""COMPUTED_VALUE"""),"Yes")</f>
        <v>Yes</v>
      </c>
      <c r="D678" s="62"/>
      <c r="E678" s="61" t="str">
        <f>IFERROR(__xludf.DUMMYFUNCTION("""COMPUTED_VALUE"""),"Guk")</f>
        <v>Guk</v>
      </c>
      <c r="F678" s="63">
        <f>IFERROR(__xludf.DUMMYFUNCTION("""COMPUTED_VALUE"""),40885.0)</f>
        <v>40885</v>
      </c>
    </row>
    <row r="679">
      <c r="A679" s="59" t="str">
        <f>IFERROR(__xludf.DUMMYFUNCTION("""COMPUTED_VALUE"""),"Mini Motor Racing")</f>
        <v>Mini Motor Racing</v>
      </c>
      <c r="B679" s="60"/>
      <c r="C679" s="61" t="str">
        <f>IFERROR(__xludf.DUMMYFUNCTION("""COMPUTED_VALUE"""),"Yes")</f>
        <v>Yes</v>
      </c>
      <c r="D679" s="62" t="str">
        <f>IFERROR(__xludf.DUMMYFUNCTION("""COMPUTED_VALUE"""),"Career Cash")</f>
        <v>Career Cash</v>
      </c>
      <c r="E679" s="61">
        <f>IFERROR(__xludf.DUMMYFUNCTION("""COMPUTED_VALUE"""),6102.0)</f>
        <v>6102</v>
      </c>
      <c r="F679" s="63">
        <f>IFERROR(__xludf.DUMMYFUNCTION("""COMPUTED_VALUE"""),40885.0)</f>
        <v>40885</v>
      </c>
    </row>
    <row r="680">
      <c r="A680" s="59" t="str">
        <f>IFERROR(__xludf.DUMMYFUNCTION("""COMPUTED_VALUE"""),"Overkill")</f>
        <v>Overkill</v>
      </c>
      <c r="B680" s="60"/>
      <c r="C680" s="61" t="str">
        <f>IFERROR(__xludf.DUMMYFUNCTION("""COMPUTED_VALUE"""),"Yes")</f>
        <v>Yes</v>
      </c>
      <c r="D680" s="62"/>
      <c r="E680" s="61"/>
      <c r="F680" s="63">
        <f>IFERROR(__xludf.DUMMYFUNCTION("""COMPUTED_VALUE"""),40885.0)</f>
        <v>40885</v>
      </c>
    </row>
    <row r="681">
      <c r="A681" s="59" t="str">
        <f>IFERROR(__xludf.DUMMYFUNCTION("""COMPUTED_VALUE"""),"Pocket God")</f>
        <v>Pocket God</v>
      </c>
      <c r="B681" s="60"/>
      <c r="C681" s="61" t="str">
        <f>IFERROR(__xludf.DUMMYFUNCTION("""COMPUTED_VALUE"""),"Yes")</f>
        <v>Yes</v>
      </c>
      <c r="D681" s="62" t="str">
        <f>IFERROR(__xludf.DUMMYFUNCTION("""COMPUTED_VALUE"""),"worked great!")</f>
        <v>worked great!</v>
      </c>
      <c r="E681" s="61" t="str">
        <f>IFERROR(__xludf.DUMMYFUNCTION("""COMPUTED_VALUE"""),"Burnout915
&amp; shock2provide")</f>
        <v>Burnout915
&amp; shock2provide</v>
      </c>
      <c r="F681" s="63">
        <f>IFERROR(__xludf.DUMMYFUNCTION("""COMPUTED_VALUE"""),40885.0)</f>
        <v>40885</v>
      </c>
    </row>
    <row r="682">
      <c r="A682" s="59" t="str">
        <f>IFERROR(__xludf.DUMMYFUNCTION("""COMPUTED_VALUE"""),"Ridge Racer Accelerated HD")</f>
        <v>Ridge Racer Accelerated HD</v>
      </c>
      <c r="B682" s="60"/>
      <c r="C682" s="61" t="str">
        <f>IFERROR(__xludf.DUMMYFUNCTION("""COMPUTED_VALUE"""),"Yes")</f>
        <v>Yes</v>
      </c>
      <c r="D682" s="62" t="str">
        <f>IFERROR(__xludf.DUMMYFUNCTION("""COMPUTED_VALUE"""),"Unlock Full version")</f>
        <v>Unlock Full version</v>
      </c>
      <c r="E682" s="61" t="str">
        <f>IFERROR(__xludf.DUMMYFUNCTION("""COMPUTED_VALUE"""),"Guk")</f>
        <v>Guk</v>
      </c>
      <c r="F682" s="63">
        <f>IFERROR(__xludf.DUMMYFUNCTION("""COMPUTED_VALUE"""),40885.0)</f>
        <v>40885</v>
      </c>
    </row>
    <row r="683">
      <c r="A683" s="59" t="str">
        <f>IFERROR(__xludf.DUMMYFUNCTION("""COMPUTED_VALUE"""),"Skee-Ball (Freeverse)")</f>
        <v>Skee-Ball (Freeverse)</v>
      </c>
      <c r="B683" s="60"/>
      <c r="C683" s="61" t="str">
        <f>IFERROR(__xludf.DUMMYFUNCTION("""COMPUTED_VALUE"""),"Yes")</f>
        <v>Yes</v>
      </c>
      <c r="D683" s="62" t="str">
        <f>IFERROR(__xludf.DUMMYFUNCTION("""COMPUTED_VALUE"""),"Works great!  Can now buy all those cool skee ball lanes!")</f>
        <v>Works great!  Can now buy all those cool skee ball lanes!</v>
      </c>
      <c r="E683" s="61"/>
      <c r="F683" s="63">
        <f>IFERROR(__xludf.DUMMYFUNCTION("""COMPUTED_VALUE"""),40885.0)</f>
        <v>40885</v>
      </c>
    </row>
    <row r="684">
      <c r="A684" s="59" t="str">
        <f>IFERROR(__xludf.DUMMYFUNCTION("""COMPUTED_VALUE"""),"Snark Buster: Welcome to the club! HD")</f>
        <v>Snark Buster: Welcome to the club! HD</v>
      </c>
      <c r="B684" s="60"/>
      <c r="C684" s="61" t="str">
        <f>IFERROR(__xludf.DUMMYFUNCTION("""COMPUTED_VALUE"""),"Yes")</f>
        <v>Yes</v>
      </c>
      <c r="D684" s="62" t="str">
        <f>IFERROR(__xludf.DUMMYFUNCTION("""COMPUTED_VALUE"""),"Unlock full version")</f>
        <v>Unlock full version</v>
      </c>
      <c r="E684" s="61" t="str">
        <f>IFERROR(__xludf.DUMMYFUNCTION("""COMPUTED_VALUE"""),"Guk")</f>
        <v>Guk</v>
      </c>
      <c r="F684" s="63">
        <f>IFERROR(__xludf.DUMMYFUNCTION("""COMPUTED_VALUE"""),40885.0)</f>
        <v>40885</v>
      </c>
    </row>
    <row r="685">
      <c r="A685" s="59" t="str">
        <f>IFERROR(__xludf.DUMMYFUNCTION("""COMPUTED_VALUE"""),"The Mystery of the Crystal Portal HD (1st &amp; 2nd series)")</f>
        <v>The Mystery of the Crystal Portal HD (1st &amp; 2nd series)</v>
      </c>
      <c r="B685" s="60"/>
      <c r="C685" s="61" t="str">
        <f>IFERROR(__xludf.DUMMYFUNCTION("""COMPUTED_VALUE"""),"Yes")</f>
        <v>Yes</v>
      </c>
      <c r="D685" s="62" t="str">
        <f>IFERROR(__xludf.DUMMYFUNCTION("""COMPUTED_VALUE"""),"Unlock full version")</f>
        <v>Unlock full version</v>
      </c>
      <c r="E685" s="61" t="str">
        <f>IFERROR(__xludf.DUMMYFUNCTION("""COMPUTED_VALUE"""),"Guk")</f>
        <v>Guk</v>
      </c>
      <c r="F685" s="63">
        <f>IFERROR(__xludf.DUMMYFUNCTION("""COMPUTED_VALUE"""),40885.0)</f>
        <v>40885</v>
      </c>
    </row>
    <row r="686">
      <c r="A686" s="59" t="str">
        <f>IFERROR(__xludf.DUMMYFUNCTION("""COMPUTED_VALUE"""),"Treasure Seekers (1 &amp; 3)")</f>
        <v>Treasure Seekers (1 &amp; 3)</v>
      </c>
      <c r="B686" s="60"/>
      <c r="C686" s="61" t="str">
        <f>IFERROR(__xludf.DUMMYFUNCTION("""COMPUTED_VALUE"""),"Yes")</f>
        <v>Yes</v>
      </c>
      <c r="D686" s="62" t="str">
        <f>IFERROR(__xludf.DUMMYFUNCTION("""COMPUTED_VALUE"""),"Unlock full version (for both series), Direct purchase required for 2nd series (not iAP).")</f>
        <v>Unlock full version (for both series), Direct purchase required for 2nd series (not iAP).</v>
      </c>
      <c r="E686" s="61" t="str">
        <f>IFERROR(__xludf.DUMMYFUNCTION("""COMPUTED_VALUE"""),"Guk")</f>
        <v>Guk</v>
      </c>
      <c r="F686" s="63">
        <f>IFERROR(__xludf.DUMMYFUNCTION("""COMPUTED_VALUE"""),40885.0)</f>
        <v>40885</v>
      </c>
    </row>
    <row r="687">
      <c r="A687" s="59" t="str">
        <f>IFERROR(__xludf.DUMMYFUNCTION("""COMPUTED_VALUE"""),"Twisted Land: Shadow Town HD Lite")</f>
        <v>Twisted Land: Shadow Town HD Lite</v>
      </c>
      <c r="B687" s="60"/>
      <c r="C687" s="61" t="str">
        <f>IFERROR(__xludf.DUMMYFUNCTION("""COMPUTED_VALUE"""),"Yes")</f>
        <v>Yes</v>
      </c>
      <c r="D687" s="62" t="str">
        <f>IFERROR(__xludf.DUMMYFUNCTION("""COMPUTED_VALUE"""),"Free → Full")</f>
        <v>Free → Full</v>
      </c>
      <c r="E687" s="61" t="str">
        <f>IFERROR(__xludf.DUMMYFUNCTION("""COMPUTED_VALUE"""),"Guk")</f>
        <v>Guk</v>
      </c>
      <c r="F687" s="63">
        <f>IFERROR(__xludf.DUMMYFUNCTION("""COMPUTED_VALUE"""),40885.0)</f>
        <v>40885</v>
      </c>
    </row>
    <row r="688">
      <c r="A688" s="59" t="str">
        <f>IFERROR(__xludf.DUMMYFUNCTION("""COMPUTED_VALUE"""),"Zombie Gunship")</f>
        <v>Zombie Gunship</v>
      </c>
      <c r="B688" s="60"/>
      <c r="C688" s="61" t="str">
        <f>IFERROR(__xludf.DUMMYFUNCTION("""COMPUTED_VALUE"""),"Yes")</f>
        <v>Yes</v>
      </c>
      <c r="D688" s="62" t="str">
        <f>IFERROR(__xludf.DUMMYFUNCTION("""COMPUTED_VALUE"""),"coins")</f>
        <v>coins</v>
      </c>
      <c r="E688" s="61">
        <f>IFERROR(__xludf.DUMMYFUNCTION("""COMPUTED_VALUE"""),6102.0)</f>
        <v>6102</v>
      </c>
      <c r="F688" s="63">
        <f>IFERROR(__xludf.DUMMYFUNCTION("""COMPUTED_VALUE"""),40885.0)</f>
        <v>40885</v>
      </c>
    </row>
    <row r="689">
      <c r="A689" s="59" t="str">
        <f>IFERROR(__xludf.DUMMYFUNCTION("""COMPUTED_VALUE"""),"Bullet time HD")</f>
        <v>Bullet time HD</v>
      </c>
      <c r="B689" s="60"/>
      <c r="C689" s="61" t="str">
        <f>IFERROR(__xludf.DUMMYFUNCTION("""COMPUTED_VALUE"""),"Yes")</f>
        <v>Yes</v>
      </c>
      <c r="D689" s="62"/>
      <c r="E689" s="61"/>
      <c r="F689" s="63">
        <f>IFERROR(__xludf.DUMMYFUNCTION("""COMPUTED_VALUE"""),40884.0)</f>
        <v>40884</v>
      </c>
    </row>
    <row r="690">
      <c r="A690" s="59" t="str">
        <f>IFERROR(__xludf.DUMMYFUNCTION("""COMPUTED_VALUE"""),"Drawn 2 (free)")</f>
        <v>Drawn 2 (free)</v>
      </c>
      <c r="B690" s="60"/>
      <c r="C690" s="61" t="str">
        <f>IFERROR(__xludf.DUMMYFUNCTION("""COMPUTED_VALUE"""),"Yes")</f>
        <v>Yes</v>
      </c>
      <c r="D690" s="62" t="str">
        <f>IFERROR(__xludf.DUMMYFUNCTION("""COMPUTED_VALUE"""),"Unlock full version from within the free version with no login")</f>
        <v>Unlock full version from within the free version with no login</v>
      </c>
      <c r="E690" s="61" t="str">
        <f>IFERROR(__xludf.DUMMYFUNCTION("""COMPUTED_VALUE"""),"ISOHaven")</f>
        <v>ISOHaven</v>
      </c>
      <c r="F690" s="63">
        <f>IFERROR(__xludf.DUMMYFUNCTION("""COMPUTED_VALUE"""),40884.0)</f>
        <v>40884</v>
      </c>
    </row>
    <row r="691">
      <c r="A691" s="59" t="str">
        <f>IFERROR(__xludf.DUMMYFUNCTION("""COMPUTED_VALUE"""),"Duck Hunt Crazy")</f>
        <v>Duck Hunt Crazy</v>
      </c>
      <c r="B691" s="60"/>
      <c r="C691" s="61" t="str">
        <f>IFERROR(__xludf.DUMMYFUNCTION("""COMPUTED_VALUE"""),"Yes")</f>
        <v>Yes</v>
      </c>
      <c r="D691" s="62"/>
      <c r="E691" s="61" t="str">
        <f>IFERROR(__xludf.DUMMYFUNCTION("""COMPUTED_VALUE"""),"jacfook")</f>
        <v>jacfook</v>
      </c>
      <c r="F691" s="63">
        <f>IFERROR(__xludf.DUMMYFUNCTION("""COMPUTED_VALUE"""),40884.0)</f>
        <v>40884</v>
      </c>
    </row>
    <row r="692">
      <c r="A692" s="59" t="str">
        <f>IFERROR(__xludf.DUMMYFUNCTION("""COMPUTED_VALUE"""),"Flick Homerun")</f>
        <v>Flick Homerun</v>
      </c>
      <c r="B692" s="60"/>
      <c r="C692" s="61" t="str">
        <f>IFERROR(__xludf.DUMMYFUNCTION("""COMPUTED_VALUE"""),"Yes")</f>
        <v>Yes</v>
      </c>
      <c r="D692" s="62" t="str">
        <f>IFERROR(__xludf.DUMMYFUNCTION("""COMPUTED_VALUE"""),"Works for all upgrades")</f>
        <v>Works for all upgrades</v>
      </c>
      <c r="E692" s="61" t="str">
        <f>IFERROR(__xludf.DUMMYFUNCTION("""COMPUTED_VALUE"""),"Keb911")</f>
        <v>Keb911</v>
      </c>
      <c r="F692" s="63">
        <f>IFERROR(__xludf.DUMMYFUNCTION("""COMPUTED_VALUE"""),40884.0)</f>
        <v>40884</v>
      </c>
    </row>
    <row r="693">
      <c r="A693" s="59" t="str">
        <f>IFERROR(__xludf.DUMMYFUNCTION("""COMPUTED_VALUE"""),"iTap")</f>
        <v>iTap</v>
      </c>
      <c r="B693" s="60"/>
      <c r="C693" s="61" t="str">
        <f>IFERROR(__xludf.DUMMYFUNCTION("""COMPUTED_VALUE"""),"Yes")</f>
        <v>Yes</v>
      </c>
      <c r="D693" s="62" t="str">
        <f>IFERROR(__xludf.DUMMYFUNCTION("""COMPUTED_VALUE"""),"Unlock all extensions with no login")</f>
        <v>Unlock all extensions with no login</v>
      </c>
      <c r="E693" s="61" t="str">
        <f>IFERROR(__xludf.DUMMYFUNCTION("""COMPUTED_VALUE"""),"ISOHaven")</f>
        <v>ISOHaven</v>
      </c>
      <c r="F693" s="63">
        <f>IFERROR(__xludf.DUMMYFUNCTION("""COMPUTED_VALUE"""),40884.0)</f>
        <v>40884</v>
      </c>
    </row>
    <row r="694">
      <c r="A694" s="59" t="str">
        <f>IFERROR(__xludf.DUMMYFUNCTION("""COMPUTED_VALUE"""),"Muffin Knight")</f>
        <v>Muffin Knight</v>
      </c>
      <c r="B694" s="60"/>
      <c r="C694" s="61" t="str">
        <f>IFERROR(__xludf.DUMMYFUNCTION("""COMPUTED_VALUE"""),"Yes")</f>
        <v>Yes</v>
      </c>
      <c r="D694" s="62"/>
      <c r="E694" s="61" t="str">
        <f>IFERROR(__xludf.DUMMYFUNCTION("""COMPUTED_VALUE"""),"ISOHaven")</f>
        <v>ISOHaven</v>
      </c>
      <c r="F694" s="63">
        <f>IFERROR(__xludf.DUMMYFUNCTION("""COMPUTED_VALUE"""),40884.0)</f>
        <v>40884</v>
      </c>
    </row>
    <row r="695">
      <c r="A695" s="59" t="str">
        <f>IFERROR(__xludf.DUMMYFUNCTION("""COMPUTED_VALUE"""),"My Clinic")</f>
        <v>My Clinic</v>
      </c>
      <c r="B695" s="60"/>
      <c r="C695" s="61" t="str">
        <f>IFERROR(__xludf.DUMMYFUNCTION("""COMPUTED_VALUE"""),"Yes")</f>
        <v>Yes</v>
      </c>
      <c r="D695" s="62"/>
      <c r="E695" s="61" t="str">
        <f>IFERROR(__xludf.DUMMYFUNCTION("""COMPUTED_VALUE"""),"ISOHaven")</f>
        <v>ISOHaven</v>
      </c>
      <c r="F695" s="63">
        <f>IFERROR(__xludf.DUMMYFUNCTION("""COMPUTED_VALUE"""),40884.0)</f>
        <v>40884</v>
      </c>
    </row>
    <row r="696">
      <c r="A696" s="59" t="str">
        <f>IFERROR(__xludf.DUMMYFUNCTION("""COMPUTED_VALUE"""),"ScrapPad - Scrapbook for iPad")</f>
        <v>ScrapPad - Scrapbook for iPad</v>
      </c>
      <c r="B696" s="60"/>
      <c r="C696" s="61" t="str">
        <f>IFERROR(__xludf.DUMMYFUNCTION("""COMPUTED_VALUE"""),"Yes")</f>
        <v>Yes</v>
      </c>
      <c r="D696" s="62" t="str">
        <f>IFERROR(__xludf.DUMMYFUNCTION("""COMPUTED_VALUE"""),"Tested on v1.2.5, v1.2.95 untested")</f>
        <v>Tested on v1.2.5, v1.2.95 untested</v>
      </c>
      <c r="E696" s="61" t="str">
        <f>IFERROR(__xludf.DUMMYFUNCTION("""COMPUTED_VALUE"""),"Guk")</f>
        <v>Guk</v>
      </c>
      <c r="F696" s="63">
        <f>IFERROR(__xludf.DUMMYFUNCTION("""COMPUTED_VALUE"""),40884.0)</f>
        <v>40884</v>
      </c>
    </row>
    <row r="697">
      <c r="A697" s="59" t="str">
        <f>IFERROR(__xludf.DUMMYFUNCTION("""COMPUTED_VALUE"""),"Space Shooter HD")</f>
        <v>Space Shooter HD</v>
      </c>
      <c r="B697" s="60"/>
      <c r="C697" s="61" t="str">
        <f>IFERROR(__xludf.DUMMYFUNCTION("""COMPUTED_VALUE"""),"Yes")</f>
        <v>Yes</v>
      </c>
      <c r="D697" s="62"/>
      <c r="E697" s="61" t="str">
        <f>IFERROR(__xludf.DUMMYFUNCTION("""COMPUTED_VALUE"""),"ISOHaven")</f>
        <v>ISOHaven</v>
      </c>
      <c r="F697" s="63">
        <f>IFERROR(__xludf.DUMMYFUNCTION("""COMPUTED_VALUE"""),40884.0)</f>
        <v>40884</v>
      </c>
    </row>
    <row r="698">
      <c r="A698" s="59" t="str">
        <f>IFERROR(__xludf.DUMMYFUNCTION("""COMPUTED_VALUE"""),"Stand O'Food 3 HD (free)")</f>
        <v>Stand O'Food 3 HD (free)</v>
      </c>
      <c r="B698" s="60"/>
      <c r="C698" s="61" t="str">
        <f>IFERROR(__xludf.DUMMYFUNCTION("""COMPUTED_VALUE"""),"Yes")</f>
        <v>Yes</v>
      </c>
      <c r="D698" s="62" t="str">
        <f>IFERROR(__xludf.DUMMYFUNCTION("""COMPUTED_VALUE"""),"Unlock full version from within the free version with no login")</f>
        <v>Unlock full version from within the free version with no login</v>
      </c>
      <c r="E698" s="61" t="str">
        <f>IFERROR(__xludf.DUMMYFUNCTION("""COMPUTED_VALUE"""),"ISOHaven")</f>
        <v>ISOHaven</v>
      </c>
      <c r="F698" s="63">
        <f>IFERROR(__xludf.DUMMYFUNCTION("""COMPUTED_VALUE"""),40884.0)</f>
        <v>40884</v>
      </c>
    </row>
    <row r="699">
      <c r="A699" s="59" t="str">
        <f>IFERROR(__xludf.DUMMYFUNCTION("""COMPUTED_VALUE"""),"Army Wars 2")</f>
        <v>Army Wars 2</v>
      </c>
      <c r="B699" s="60" t="str">
        <f>IFERROR(__xludf.DUMMYFUNCTION("""COMPUTED_VALUE"""),"1.1.0")</f>
        <v>1.1.0</v>
      </c>
      <c r="C699" s="61" t="str">
        <f>IFERROR(__xludf.DUMMYFUNCTION("""COMPUTED_VALUE"""),"Yes")</f>
        <v>Yes</v>
      </c>
      <c r="D699" s="62" t="str">
        <f>IFERROR(__xludf.DUMMYFUNCTION("""COMPUTED_VALUE"""),"everything works")</f>
        <v>everything works</v>
      </c>
      <c r="E699" s="61">
        <f>IFERROR(__xludf.DUMMYFUNCTION("""COMPUTED_VALUE"""),6102.0)</f>
        <v>6102</v>
      </c>
      <c r="F699" s="63">
        <f>IFERROR(__xludf.DUMMYFUNCTION("""COMPUTED_VALUE"""),40883.0)</f>
        <v>40883</v>
      </c>
    </row>
    <row r="700">
      <c r="A700" s="59" t="str">
        <f>IFERROR(__xludf.DUMMYFUNCTION("""COMPUTED_VALUE"""),"Diner Town Zoo ""version 1.9.14""")</f>
        <v>Diner Town Zoo "version 1.9.14"</v>
      </c>
      <c r="B700" s="60"/>
      <c r="C700" s="61" t="str">
        <f>IFERROR(__xludf.DUMMYFUNCTION("""COMPUTED_VALUE"""),"Yes")</f>
        <v>Yes</v>
      </c>
      <c r="D700" s="62"/>
      <c r="E700" s="61">
        <f>IFERROR(__xludf.DUMMYFUNCTION("""COMPUTED_VALUE"""),6102.0)</f>
        <v>6102</v>
      </c>
      <c r="F700" s="63">
        <f>IFERROR(__xludf.DUMMYFUNCTION("""COMPUTED_VALUE"""),40883.0)</f>
        <v>40883</v>
      </c>
    </row>
    <row r="701">
      <c r="A701" s="59" t="str">
        <f>IFERROR(__xludf.DUMMYFUNCTION("""COMPUTED_VALUE"""),"Extraction version 1.0")</f>
        <v>Extraction version 1.0</v>
      </c>
      <c r="B701" s="60"/>
      <c r="C701" s="61" t="str">
        <f>IFERROR(__xludf.DUMMYFUNCTION("""COMPUTED_VALUE"""),"Yes")</f>
        <v>Yes</v>
      </c>
      <c r="D701" s="62" t="str">
        <f>IFERROR(__xludf.DUMMYFUNCTION("""COMPUTED_VALUE"""),"credits")</f>
        <v>credits</v>
      </c>
      <c r="E701" s="61">
        <f>IFERROR(__xludf.DUMMYFUNCTION("""COMPUTED_VALUE"""),6102.0)</f>
        <v>6102</v>
      </c>
      <c r="F701" s="63">
        <f>IFERROR(__xludf.DUMMYFUNCTION("""COMPUTED_VALUE"""),40883.0)</f>
        <v>40883</v>
      </c>
    </row>
    <row r="702">
      <c r="A702" s="59" t="str">
        <f>IFERROR(__xludf.DUMMYFUNCTION("""COMPUTED_VALUE"""),"Frantic Frigate")</f>
        <v>Frantic Frigate</v>
      </c>
      <c r="B702" s="60"/>
      <c r="C702" s="61" t="str">
        <f>IFERROR(__xludf.DUMMYFUNCTION("""COMPUTED_VALUE"""),"Yes")</f>
        <v>Yes</v>
      </c>
      <c r="D702" s="62"/>
      <c r="E702" s="61" t="str">
        <f>IFERROR(__xludf.DUMMYFUNCTION("""COMPUTED_VALUE"""),"Ehiko")</f>
        <v>Ehiko</v>
      </c>
      <c r="F702" s="63">
        <f>IFERROR(__xludf.DUMMYFUNCTION("""COMPUTED_VALUE"""),40883.0)</f>
        <v>40883</v>
      </c>
    </row>
    <row r="703">
      <c r="A703" s="59" t="str">
        <f>IFERROR(__xludf.DUMMYFUNCTION("""COMPUTED_VALUE"""),"KartRider Rush")</f>
        <v>KartRider Rush</v>
      </c>
      <c r="B703" s="60"/>
      <c r="C703" s="61" t="str">
        <f>IFERROR(__xludf.DUMMYFUNCTION("""COMPUTED_VALUE"""),"Yes")</f>
        <v>Yes</v>
      </c>
      <c r="D703" s="62" t="str">
        <f>IFERROR(__xludf.DUMMYFUNCTION("""COMPUTED_VALUE"""),"Can unlock everything, no delay.
Working well with latest version.")</f>
        <v>Can unlock everything, no delay.
Working well with latest version.</v>
      </c>
      <c r="E703" s="61" t="str">
        <f>IFERROR(__xludf.DUMMYFUNCTION("""COMPUTED_VALUE"""),"ShuShiz")</f>
        <v>ShuShiz</v>
      </c>
      <c r="F703" s="63">
        <f>IFERROR(__xludf.DUMMYFUNCTION("""COMPUTED_VALUE"""),40883.0)</f>
        <v>40883</v>
      </c>
    </row>
    <row r="704">
      <c r="A704" s="59" t="str">
        <f>IFERROR(__xludf.DUMMYFUNCTION("""COMPUTED_VALUE"""),"Mercenary Inc")</f>
        <v>Mercenary Inc</v>
      </c>
      <c r="B704" s="60" t="str">
        <f>IFERROR(__xludf.DUMMYFUNCTION("""COMPUTED_VALUE"""),"1.0.0")</f>
        <v>1.0.0</v>
      </c>
      <c r="C704" s="61" t="str">
        <f>IFERROR(__xludf.DUMMYFUNCTION("""COMPUTED_VALUE"""),"Yes")</f>
        <v>Yes</v>
      </c>
      <c r="D704" s="62" t="str">
        <f>IFERROR(__xludf.DUMMYFUNCTION("""COMPUTED_VALUE"""),"Everything Works")</f>
        <v>Everything Works</v>
      </c>
      <c r="E704" s="61">
        <f>IFERROR(__xludf.DUMMYFUNCTION("""COMPUTED_VALUE"""),6102.0)</f>
        <v>6102</v>
      </c>
      <c r="F704" s="63">
        <f>IFERROR(__xludf.DUMMYFUNCTION("""COMPUTED_VALUE"""),40883.0)</f>
        <v>40883</v>
      </c>
    </row>
    <row r="705">
      <c r="A705" s="59" t="str">
        <f>IFERROR(__xludf.DUMMYFUNCTION("""COMPUTED_VALUE"""),"Paradise Island : Exotic")</f>
        <v>Paradise Island : Exotic</v>
      </c>
      <c r="B705" s="60"/>
      <c r="C705" s="61" t="str">
        <f>IFERROR(__xludf.DUMMYFUNCTION("""COMPUTED_VALUE"""),"Yes")</f>
        <v>Yes</v>
      </c>
      <c r="D705" s="62" t="str">
        <f>IFERROR(__xludf.DUMMYFUNCTION("""COMPUTED_VALUE"""),"Everything Works")</f>
        <v>Everything Works</v>
      </c>
      <c r="E705" s="61">
        <f>IFERROR(__xludf.DUMMYFUNCTION("""COMPUTED_VALUE"""),6102.0)</f>
        <v>6102</v>
      </c>
      <c r="F705" s="63">
        <f>IFERROR(__xludf.DUMMYFUNCTION("""COMPUTED_VALUE"""),40883.0)</f>
        <v>40883</v>
      </c>
    </row>
    <row r="706">
      <c r="A706" s="59" t="str">
        <f>IFERROR(__xludf.DUMMYFUNCTION("""COMPUTED_VALUE"""),"Penultimate")</f>
        <v>Penultimate</v>
      </c>
      <c r="B706" s="60"/>
      <c r="C706" s="61" t="str">
        <f>IFERROR(__xludf.DUMMYFUNCTION("""COMPUTED_VALUE"""),"Yes")</f>
        <v>Yes</v>
      </c>
      <c r="D706" s="62"/>
      <c r="E706" s="61" t="str">
        <f>IFERROR(__xludf.DUMMYFUNCTION("""COMPUTED_VALUE"""),"cynxian")</f>
        <v>cynxian</v>
      </c>
      <c r="F706" s="63">
        <f>IFERROR(__xludf.DUMMYFUNCTION("""COMPUTED_VALUE"""),40883.0)</f>
        <v>40883</v>
      </c>
    </row>
    <row r="707">
      <c r="A707" s="59" t="str">
        <f>IFERROR(__xludf.DUMMYFUNCTION("""COMPUTED_VALUE"""),"Photo Privacy")</f>
        <v>Photo Privacy</v>
      </c>
      <c r="B707" s="60"/>
      <c r="C707" s="61" t="str">
        <f>IFERROR(__xludf.DUMMYFUNCTION("""COMPUTED_VALUE"""),"Yes")</f>
        <v>Yes</v>
      </c>
      <c r="D707" s="62"/>
      <c r="E707" s="61" t="str">
        <f>IFERROR(__xludf.DUMMYFUNCTION("""COMPUTED_VALUE"""),"Guk")</f>
        <v>Guk</v>
      </c>
      <c r="F707" s="63">
        <f>IFERROR(__xludf.DUMMYFUNCTION("""COMPUTED_VALUE"""),40883.0)</f>
        <v>40883</v>
      </c>
    </row>
    <row r="708">
      <c r="A708" s="59" t="str">
        <f>IFERROR(__xludf.DUMMYFUNCTION("""COMPUTED_VALUE"""),"Prize Claw HD")</f>
        <v>Prize Claw HD</v>
      </c>
      <c r="B708" s="60"/>
      <c r="C708" s="61" t="str">
        <f>IFERROR(__xludf.DUMMYFUNCTION("""COMPUTED_VALUE"""),"Yes")</f>
        <v>Yes</v>
      </c>
      <c r="D708" s="62"/>
      <c r="E708" s="61" t="str">
        <f>IFERROR(__xludf.DUMMYFUNCTION("""COMPUTED_VALUE"""),"Guk")</f>
        <v>Guk</v>
      </c>
      <c r="F708" s="63">
        <f>IFERROR(__xludf.DUMMYFUNCTION("""COMPUTED_VALUE"""),40883.0)</f>
        <v>40883</v>
      </c>
    </row>
    <row r="709">
      <c r="A709" s="59" t="str">
        <f>IFERROR(__xludf.DUMMYFUNCTION("""COMPUTED_VALUE"""),"Street Fighter 5 (IV)")</f>
        <v>Street Fighter 5 (IV)</v>
      </c>
      <c r="B709" s="60"/>
      <c r="C709" s="61" t="str">
        <f>IFERROR(__xludf.DUMMYFUNCTION("""COMPUTED_VALUE"""),"Yes")</f>
        <v>Yes</v>
      </c>
      <c r="D709" s="62" t="str">
        <f>IFERROR(__xludf.DUMMYFUNCTION("""COMPUTED_VALUE"""),"Can unlock all extra content")</f>
        <v>Can unlock all extra content</v>
      </c>
      <c r="E709" s="61"/>
      <c r="F709" s="63">
        <f>IFERROR(__xludf.DUMMYFUNCTION("""COMPUTED_VALUE"""),40883.0)</f>
        <v>40883</v>
      </c>
    </row>
    <row r="710">
      <c r="A710" s="59" t="str">
        <f>IFERROR(__xludf.DUMMYFUNCTION("""COMPUTED_VALUE"""),"Virtual City Playground")</f>
        <v>Virtual City Playground</v>
      </c>
      <c r="B710" s="60"/>
      <c r="C710" s="61" t="str">
        <f>IFERROR(__xludf.DUMMYFUNCTION("""COMPUTED_VALUE"""),"Yes")</f>
        <v>Yes</v>
      </c>
      <c r="D710" s="62"/>
      <c r="E710" s="61">
        <f>IFERROR(__xludf.DUMMYFUNCTION("""COMPUTED_VALUE"""),6102.0)</f>
        <v>6102</v>
      </c>
      <c r="F710" s="63">
        <f>IFERROR(__xludf.DUMMYFUNCTION("""COMPUTED_VALUE"""),40883.0)</f>
        <v>40883</v>
      </c>
    </row>
    <row r="711">
      <c r="A711" s="59" t="str">
        <f>IFERROR(__xludf.DUMMYFUNCTION("""COMPUTED_VALUE"""),"Air Penguin")</f>
        <v>Air Penguin</v>
      </c>
      <c r="B711" s="60"/>
      <c r="C711" s="61" t="str">
        <f>IFERROR(__xludf.DUMMYFUNCTION("""COMPUTED_VALUE"""),"Yes")</f>
        <v>Yes</v>
      </c>
      <c r="D711" s="62" t="str">
        <f>IFERROR(__xludf.DUMMYFUNCTION("""COMPUTED_VALUE"""),"You can unlock gold coins")</f>
        <v>You can unlock gold coins</v>
      </c>
      <c r="E711" s="61" t="str">
        <f>IFERROR(__xludf.DUMMYFUNCTION("""COMPUTED_VALUE"""),"Gkhan")</f>
        <v>Gkhan</v>
      </c>
      <c r="F711" s="63">
        <f>IFERROR(__xludf.DUMMYFUNCTION("""COMPUTED_VALUE"""),40882.0)</f>
        <v>40882</v>
      </c>
    </row>
    <row r="712">
      <c r="A712" s="59" t="str">
        <f>IFERROR(__xludf.DUMMYFUNCTION("""COMPUTED_VALUE"""),"AmpKit+")</f>
        <v>AmpKit+</v>
      </c>
      <c r="B712" s="60"/>
      <c r="C712" s="61" t="str">
        <f>IFERROR(__xludf.DUMMYFUNCTION("""COMPUTED_VALUE"""),"Yes")</f>
        <v>Yes</v>
      </c>
      <c r="D712" s="62"/>
      <c r="E712" s="61" t="str">
        <f>IFERROR(__xludf.DUMMYFUNCTION("""COMPUTED_VALUE"""),"cynxian")</f>
        <v>cynxian</v>
      </c>
      <c r="F712" s="63">
        <f>IFERROR(__xludf.DUMMYFUNCTION("""COMPUTED_VALUE"""),40882.0)</f>
        <v>40882</v>
      </c>
    </row>
    <row r="713">
      <c r="A713" s="59" t="str">
        <f>IFERROR(__xludf.DUMMYFUNCTION("""COMPUTED_VALUE"""),"DDR S+")</f>
        <v>DDR S+</v>
      </c>
      <c r="B713" s="60"/>
      <c r="C713" s="61" t="str">
        <f>IFERROR(__xludf.DUMMYFUNCTION("""COMPUTED_VALUE"""),"Yes")</f>
        <v>Yes</v>
      </c>
      <c r="D713" s="62" t="str">
        <f>IFERROR(__xludf.DUMMYFUNCTION("""COMPUTED_VALUE"""),"infinty")</f>
        <v>infinty</v>
      </c>
      <c r="E713" s="61"/>
      <c r="F713" s="63">
        <f>IFERROR(__xludf.DUMMYFUNCTION("""COMPUTED_VALUE"""),40882.0)</f>
        <v>40882</v>
      </c>
    </row>
    <row r="714">
      <c r="A714" s="59" t="str">
        <f>IFERROR(__xludf.DUMMYFUNCTION("""COMPUTED_VALUE"""),"Samurai BloodShow2")</f>
        <v>Samurai BloodShow2</v>
      </c>
      <c r="B714" s="60"/>
      <c r="C714" s="61" t="str">
        <f>IFERROR(__xludf.DUMMYFUNCTION("""COMPUTED_VALUE"""),"Yes")</f>
        <v>Yes</v>
      </c>
      <c r="D714" s="62" t="str">
        <f>IFERROR(__xludf.DUMMYFUNCTION("""COMPUTED_VALUE"""),"Able to purchase all cards/packages")</f>
        <v>Able to purchase all cards/packages</v>
      </c>
      <c r="E714" s="61" t="str">
        <f>IFERROR(__xludf.DUMMYFUNCTION("""COMPUTED_VALUE"""),"Guest")</f>
        <v>Guest</v>
      </c>
      <c r="F714" s="63">
        <f>IFERROR(__xludf.DUMMYFUNCTION("""COMPUTED_VALUE"""),40882.0)</f>
        <v>40882</v>
      </c>
    </row>
    <row r="715">
      <c r="A715" s="59" t="str">
        <f>IFERROR(__xludf.DUMMYFUNCTION("""COMPUTED_VALUE"""),"Stair Dismount")</f>
        <v>Stair Dismount</v>
      </c>
      <c r="B715" s="60"/>
      <c r="C715" s="61" t="str">
        <f>IFERROR(__xludf.DUMMYFUNCTION("""COMPUTED_VALUE"""),"Yes")</f>
        <v>Yes</v>
      </c>
      <c r="D715" s="62" t="str">
        <f>IFERROR(__xludf.DUMMYFUNCTION("""COMPUTED_VALUE"""),"Able to purchase all levels and character shapes")</f>
        <v>Able to purchase all levels and character shapes</v>
      </c>
      <c r="E715" s="61" t="str">
        <f>IFERROR(__xludf.DUMMYFUNCTION("""COMPUTED_VALUE"""),"Keb911")</f>
        <v>Keb911</v>
      </c>
      <c r="F715" s="63">
        <f>IFERROR(__xludf.DUMMYFUNCTION("""COMPUTED_VALUE"""),40882.0)</f>
        <v>40882</v>
      </c>
    </row>
    <row r="716">
      <c r="A716" s="59" t="str">
        <f>IFERROR(__xludf.DUMMYFUNCTION("""COMPUTED_VALUE"""),"Temple Run")</f>
        <v>Temple Run</v>
      </c>
      <c r="B716" s="60"/>
      <c r="C716" s="61" t="str">
        <f>IFERROR(__xludf.DUMMYFUNCTION("""COMPUTED_VALUE"""),"Yes")</f>
        <v>Yes</v>
      </c>
      <c r="D716" s="62"/>
      <c r="E716" s="61" t="str">
        <f>IFERROR(__xludf.DUMMYFUNCTION("""COMPUTED_VALUE"""),"Keb911
Bobo LaRue")</f>
        <v>Keb911
Bobo LaRue</v>
      </c>
      <c r="F716" s="63">
        <f>IFERROR(__xludf.DUMMYFUNCTION("""COMPUTED_VALUE"""),40882.0)</f>
        <v>40882</v>
      </c>
    </row>
    <row r="717">
      <c r="A717" s="59" t="str">
        <f>IFERROR(__xludf.DUMMYFUNCTION("""COMPUTED_VALUE"""),"Adobe Photoshop Express")</f>
        <v>Adobe Photoshop Express</v>
      </c>
      <c r="B717" s="60"/>
      <c r="C717" s="61" t="str">
        <f>IFERROR(__xludf.DUMMYFUNCTION("""COMPUTED_VALUE"""),"Yes")</f>
        <v>Yes</v>
      </c>
      <c r="D717" s="62"/>
      <c r="E717" s="61" t="str">
        <f>IFERROR(__xludf.DUMMYFUNCTION("""COMPUTED_VALUE"""),"Guk")</f>
        <v>Guk</v>
      </c>
      <c r="F717" s="63">
        <f>IFERROR(__xludf.DUMMYFUNCTION("""COMPUTED_VALUE"""),40881.0)</f>
        <v>40881</v>
      </c>
    </row>
    <row r="718">
      <c r="A718" s="59" t="str">
        <f>IFERROR(__xludf.DUMMYFUNCTION("""COMPUTED_VALUE"""),"Big Fish Games (Especially Hidden Objects)")</f>
        <v>Big Fish Games (Especially Hidden Objects)</v>
      </c>
      <c r="B718" s="60"/>
      <c r="C718" s="61" t="str">
        <f>IFERROR(__xludf.DUMMYFUNCTION("""COMPUTED_VALUE"""),"Yes")</f>
        <v>Yes</v>
      </c>
      <c r="D718" s="62" t="str">
        <f>IFERROR(__xludf.DUMMYFUNCTION("""COMPUTED_VALUE"""),"All in app purchases work, including unlock &amp; collector edition unlock")</f>
        <v>All in app purchases work, including unlock &amp; collector edition unlock</v>
      </c>
      <c r="E718" s="61" t="str">
        <f>IFERROR(__xludf.DUMMYFUNCTION("""COMPUTED_VALUE"""),"Guk")</f>
        <v>Guk</v>
      </c>
      <c r="F718" s="63">
        <f>IFERROR(__xludf.DUMMYFUNCTION("""COMPUTED_VALUE"""),40881.0)</f>
        <v>40881</v>
      </c>
    </row>
    <row r="719">
      <c r="A719" s="59" t="str">
        <f>IFERROR(__xludf.DUMMYFUNCTION("""COMPUTED_VALUE"""),"Blueprint 3D HD")</f>
        <v>Blueprint 3D HD</v>
      </c>
      <c r="B719" s="60"/>
      <c r="C719" s="61" t="str">
        <f>IFERROR(__xludf.DUMMYFUNCTION("""COMPUTED_VALUE"""),"Yes")</f>
        <v>Yes</v>
      </c>
      <c r="D719" s="62"/>
      <c r="E719" s="61" t="str">
        <f>IFERROR(__xludf.DUMMYFUNCTION("""COMPUTED_VALUE"""),"Guk")</f>
        <v>Guk</v>
      </c>
      <c r="F719" s="63">
        <f>IFERROR(__xludf.DUMMYFUNCTION("""COMPUTED_VALUE"""),40881.0)</f>
        <v>40881</v>
      </c>
    </row>
    <row r="720">
      <c r="A720" s="59" t="str">
        <f>IFERROR(__xludf.DUMMYFUNCTION("""COMPUTED_VALUE"""),"Cows vs Aliens")</f>
        <v>Cows vs Aliens</v>
      </c>
      <c r="B720" s="60"/>
      <c r="C720" s="61" t="str">
        <f>IFERROR(__xludf.DUMMYFUNCTION("""COMPUTED_VALUE"""),"Yes")</f>
        <v>Yes</v>
      </c>
      <c r="D720" s="62" t="str">
        <f>IFERROR(__xludf.DUMMYFUNCTION("""COMPUTED_VALUE"""),"Able to purchase upgrades and powerups")</f>
        <v>Able to purchase upgrades and powerups</v>
      </c>
      <c r="E720" s="61" t="str">
        <f>IFERROR(__xludf.DUMMYFUNCTION("""COMPUTED_VALUE"""),"Guk")</f>
        <v>Guk</v>
      </c>
      <c r="F720" s="63">
        <f>IFERROR(__xludf.DUMMYFUNCTION("""COMPUTED_VALUE"""),40881.0)</f>
        <v>40881</v>
      </c>
    </row>
    <row r="721">
      <c r="A721" s="59" t="str">
        <f>IFERROR(__xludf.DUMMYFUNCTION("""COMPUTED_VALUE"""),"Death Rally")</f>
        <v>Death Rally</v>
      </c>
      <c r="B721" s="60"/>
      <c r="C721" s="61" t="str">
        <f>IFERROR(__xludf.DUMMYFUNCTION("""COMPUTED_VALUE"""),"Yes")</f>
        <v>Yes</v>
      </c>
      <c r="D721" s="62" t="str">
        <f>IFERROR(__xludf.DUMMYFUNCTION("""COMPUTED_VALUE"""),"Tested working on genuinely purchased apps")</f>
        <v>Tested working on genuinely purchased apps</v>
      </c>
      <c r="E721" s="61" t="str">
        <f>IFERROR(__xludf.DUMMYFUNCTION("""COMPUTED_VALUE"""),"Guk")</f>
        <v>Guk</v>
      </c>
      <c r="F721" s="63">
        <f>IFERROR(__xludf.DUMMYFUNCTION("""COMPUTED_VALUE"""),40881.0)</f>
        <v>40881</v>
      </c>
    </row>
    <row r="722">
      <c r="A722" s="59" t="str">
        <f>IFERROR(__xludf.DUMMYFUNCTION("""COMPUTED_VALUE"""),"Eternity Warriors")</f>
        <v>Eternity Warriors</v>
      </c>
      <c r="B722" s="60"/>
      <c r="C722" s="61" t="str">
        <f>IFERROR(__xludf.DUMMYFUNCTION("""COMPUTED_VALUE"""),"Yes")</f>
        <v>Yes</v>
      </c>
      <c r="D722" s="62"/>
      <c r="E722" s="61" t="str">
        <f>IFERROR(__xludf.DUMMYFUNCTION("""COMPUTED_VALUE"""),"Guk")</f>
        <v>Guk</v>
      </c>
      <c r="F722" s="63">
        <f>IFERROR(__xludf.DUMMYFUNCTION("""COMPUTED_VALUE"""),40881.0)</f>
        <v>40881</v>
      </c>
    </row>
    <row r="723">
      <c r="A723" s="59" t="str">
        <f>IFERROR(__xludf.DUMMYFUNCTION("""COMPUTED_VALUE"""),"Future Ludo")</f>
        <v>Future Ludo</v>
      </c>
      <c r="B723" s="60"/>
      <c r="C723" s="61" t="str">
        <f>IFERROR(__xludf.DUMMYFUNCTION("""COMPUTED_VALUE"""),"Yes")</f>
        <v>Yes</v>
      </c>
      <c r="D723" s="62"/>
      <c r="E723" s="61" t="str">
        <f>IFERROR(__xludf.DUMMYFUNCTION("""COMPUTED_VALUE"""),"Guk")</f>
        <v>Guk</v>
      </c>
      <c r="F723" s="63">
        <f>IFERROR(__xludf.DUMMYFUNCTION("""COMPUTED_VALUE"""),40881.0)</f>
        <v>40881</v>
      </c>
    </row>
    <row r="724">
      <c r="A724" s="59" t="str">
        <f>IFERROR(__xludf.DUMMYFUNCTION("""COMPUTED_VALUE"""),"Gem Keeper")</f>
        <v>Gem Keeper</v>
      </c>
      <c r="B724" s="60"/>
      <c r="C724" s="61" t="str">
        <f>IFERROR(__xludf.DUMMYFUNCTION("""COMPUTED_VALUE"""),"Yes")</f>
        <v>Yes</v>
      </c>
      <c r="D724" s="62" t="str">
        <f>IFERROR(__xludf.DUMMYFUNCTION("""COMPUTED_VALUE"""),"Tested on genuinely purchased apps")</f>
        <v>Tested on genuinely purchased apps</v>
      </c>
      <c r="E724" s="61" t="str">
        <f>IFERROR(__xludf.DUMMYFUNCTION("""COMPUTED_VALUE"""),"Guk")</f>
        <v>Guk</v>
      </c>
      <c r="F724" s="63">
        <f>IFERROR(__xludf.DUMMYFUNCTION("""COMPUTED_VALUE"""),40881.0)</f>
        <v>40881</v>
      </c>
    </row>
    <row r="725">
      <c r="A725" s="59" t="str">
        <f>IFERROR(__xludf.DUMMYFUNCTION("""COMPUTED_VALUE"""),"Jubeat Plus")</f>
        <v>Jubeat Plus</v>
      </c>
      <c r="B725" s="60"/>
      <c r="C725" s="61" t="str">
        <f>IFERROR(__xludf.DUMMYFUNCTION("""COMPUTED_VALUE"""),"Yes")</f>
        <v>Yes</v>
      </c>
      <c r="D725" s="62" t="str">
        <f>IFERROR(__xludf.DUMMYFUNCTION("""COMPUTED_VALUE"""),"Able to purchase additional song packs")</f>
        <v>Able to purchase additional song packs</v>
      </c>
      <c r="E725" s="61" t="str">
        <f>IFERROR(__xludf.DUMMYFUNCTION("""COMPUTED_VALUE"""),"Guk")</f>
        <v>Guk</v>
      </c>
      <c r="F725" s="63">
        <f>IFERROR(__xludf.DUMMYFUNCTION("""COMPUTED_VALUE"""),40881.0)</f>
        <v>40881</v>
      </c>
    </row>
    <row r="726">
      <c r="A726" s="59" t="str">
        <f>IFERROR(__xludf.DUMMYFUNCTION("""COMPUTED_VALUE"""),"Power of Coin")</f>
        <v>Power of Coin</v>
      </c>
      <c r="B726" s="60"/>
      <c r="C726" s="61" t="str">
        <f>IFERROR(__xludf.DUMMYFUNCTION("""COMPUTED_VALUE"""),"Yes")</f>
        <v>Yes</v>
      </c>
      <c r="D726" s="62"/>
      <c r="E726" s="61" t="str">
        <f>IFERROR(__xludf.DUMMYFUNCTION("""COMPUTED_VALUE"""),"Guk")</f>
        <v>Guk</v>
      </c>
      <c r="F726" s="63">
        <f>IFERROR(__xludf.DUMMYFUNCTION("""COMPUTED_VALUE"""),40881.0)</f>
        <v>40881</v>
      </c>
    </row>
    <row r="727">
      <c r="A727" s="59" t="str">
        <f>IFERROR(__xludf.DUMMYFUNCTION("""COMPUTED_VALUE"""),"Slide Soccer")</f>
        <v>Slide Soccer</v>
      </c>
      <c r="B727" s="60"/>
      <c r="C727" s="61" t="str">
        <f>IFERROR(__xludf.DUMMYFUNCTION("""COMPUTED_VALUE"""),"Yes")</f>
        <v>Yes</v>
      </c>
      <c r="D727" s="62"/>
      <c r="E727" s="61" t="str">
        <f>IFERROR(__xludf.DUMMYFUNCTION("""COMPUTED_VALUE"""),"Guk")</f>
        <v>Guk</v>
      </c>
      <c r="F727" s="63">
        <f>IFERROR(__xludf.DUMMYFUNCTION("""COMPUTED_VALUE"""),40881.0)</f>
        <v>40881</v>
      </c>
    </row>
    <row r="728">
      <c r="A728" s="59" t="str">
        <f>IFERROR(__xludf.DUMMYFUNCTION("""COMPUTED_VALUE"""),"Splashtop XDisplay")</f>
        <v>Splashtop XDisplay</v>
      </c>
      <c r="B728" s="60"/>
      <c r="C728" s="61" t="str">
        <f>IFERROR(__xludf.DUMMYFUNCTION("""COMPUTED_VALUE"""),"Yes")</f>
        <v>Yes</v>
      </c>
      <c r="D728" s="62"/>
      <c r="E728" s="61" t="str">
        <f>IFERROR(__xludf.DUMMYFUNCTION("""COMPUTED_VALUE"""),"Guk")</f>
        <v>Guk</v>
      </c>
      <c r="F728" s="63">
        <f>IFERROR(__xludf.DUMMYFUNCTION("""COMPUTED_VALUE"""),40881.0)</f>
        <v>40881</v>
      </c>
    </row>
    <row r="729">
      <c r="A729" s="59" t="str">
        <f>IFERROR(__xludf.DUMMYFUNCTION("""COMPUTED_VALUE"""),"Taiko no Tatsujin+")</f>
        <v>Taiko no Tatsujin+</v>
      </c>
      <c r="B729" s="60"/>
      <c r="C729" s="61" t="str">
        <f>IFERROR(__xludf.DUMMYFUNCTION("""COMPUTED_VALUE"""),"Yes")</f>
        <v>Yes</v>
      </c>
      <c r="D729" s="62" t="str">
        <f>IFERROR(__xludf.DUMMYFUNCTION("""COMPUTED_VALUE"""),"Able to purchase additional song packs")</f>
        <v>Able to purchase additional song packs</v>
      </c>
      <c r="E729" s="61" t="str">
        <f>IFERROR(__xludf.DUMMYFUNCTION("""COMPUTED_VALUE"""),"Guk")</f>
        <v>Guk</v>
      </c>
      <c r="F729" s="63">
        <f>IFERROR(__xludf.DUMMYFUNCTION("""COMPUTED_VALUE"""),40881.0)</f>
        <v>40881</v>
      </c>
    </row>
    <row r="730">
      <c r="A730" s="59" t="str">
        <f>IFERROR(__xludf.DUMMYFUNCTION("""COMPUTED_VALUE"""),"Time Crisis 2nd Strike HD")</f>
        <v>Time Crisis 2nd Strike HD</v>
      </c>
      <c r="B730" s="60"/>
      <c r="C730" s="61" t="str">
        <f>IFERROR(__xludf.DUMMYFUNCTION("""COMPUTED_VALUE"""),"Yes")</f>
        <v>Yes</v>
      </c>
      <c r="D730" s="62"/>
      <c r="E730" s="61" t="str">
        <f>IFERROR(__xludf.DUMMYFUNCTION("""COMPUTED_VALUE"""),"Guk")</f>
        <v>Guk</v>
      </c>
      <c r="F730" s="63">
        <f>IFERROR(__xludf.DUMMYFUNCTION("""COMPUTED_VALUE"""),40881.0)</f>
        <v>40881</v>
      </c>
    </row>
    <row r="731">
      <c r="A731" s="59" t="str">
        <f>IFERROR(__xludf.DUMMYFUNCTION("""COMPUTED_VALUE"""),"iGOG Drums")</f>
        <v>iGOG Drums</v>
      </c>
      <c r="B731" s="60"/>
      <c r="C731" s="61" t="str">
        <f>IFERROR(__xludf.DUMMYFUNCTION("""COMPUTED_VALUE"""),"Yes")</f>
        <v>Yes</v>
      </c>
      <c r="D731" s="62" t="str">
        <f>IFERROR(__xludf.DUMMYFUNCTION("""COMPUTED_VALUE"""),"Buy any drum kit")</f>
        <v>Buy any drum kit</v>
      </c>
      <c r="E731" s="61" t="str">
        <f>IFERROR(__xludf.DUMMYFUNCTION("""COMPUTED_VALUE"""),"MegaHack")</f>
        <v>MegaHack</v>
      </c>
      <c r="F731" s="63">
        <f>IFERROR(__xludf.DUMMYFUNCTION("""COMPUTED_VALUE"""),40877.0)</f>
        <v>40877</v>
      </c>
    </row>
    <row r="732">
      <c r="A732" s="59" t="str">
        <f>IFERROR(__xludf.DUMMYFUNCTION("""COMPUTED_VALUE"""),"Pocket Frogs")</f>
        <v>Pocket Frogs</v>
      </c>
      <c r="B732" s="60"/>
      <c r="C732" s="61" t="str">
        <f>IFERROR(__xludf.DUMMYFUNCTION("""COMPUTED_VALUE"""),"Yes")</f>
        <v>Yes</v>
      </c>
      <c r="D732" s="62"/>
      <c r="E732" s="61"/>
      <c r="F732" s="63">
        <f>IFERROR(__xludf.DUMMYFUNCTION("""COMPUTED_VALUE"""),40877.0)</f>
        <v>40877</v>
      </c>
    </row>
    <row r="733">
      <c r="A733" s="59" t="str">
        <f>IFERROR(__xludf.DUMMYFUNCTION("""COMPUTED_VALUE"""),"Rock Band Reloaded")</f>
        <v>Rock Band Reloaded</v>
      </c>
      <c r="B733" s="60"/>
      <c r="C733" s="61" t="str">
        <f>IFERROR(__xludf.DUMMYFUNCTION("""COMPUTED_VALUE"""),"Yes")</f>
        <v>Yes</v>
      </c>
      <c r="D733" s="62" t="str">
        <f>IFERROR(__xludf.DUMMYFUNCTION("""COMPUTED_VALUE"""),"go to the Music Store and purchase whatever you want!")</f>
        <v>go to the Music Store and purchase whatever you want!</v>
      </c>
      <c r="E733" s="61" t="str">
        <f>IFERROR(__xludf.DUMMYFUNCTION("""COMPUTED_VALUE"""),"MegaHack")</f>
        <v>MegaHack</v>
      </c>
      <c r="F733" s="63">
        <f>IFERROR(__xludf.DUMMYFUNCTION("""COMPUTED_VALUE"""),40877.0)</f>
        <v>40877</v>
      </c>
    </row>
    <row r="734">
      <c r="A734" s="59" t="str">
        <f>IFERROR(__xludf.DUMMYFUNCTION("""COMPUTED_VALUE"""),"Dream Park")</f>
        <v>Dream Park</v>
      </c>
      <c r="B734" s="60"/>
      <c r="C734" s="61" t="str">
        <f>IFERROR(__xludf.DUMMYFUNCTION("""COMPUTED_VALUE"""),"Yes")</f>
        <v>Yes</v>
      </c>
      <c r="D734" s="62"/>
      <c r="E734" s="61" t="str">
        <f>IFERROR(__xludf.DUMMYFUNCTION("""COMPUTED_VALUE"""),"Maxo396")</f>
        <v>Maxo396</v>
      </c>
      <c r="F734" s="63">
        <f>IFERROR(__xludf.DUMMYFUNCTION("""COMPUTED_VALUE"""),40876.0)</f>
        <v>40876</v>
      </c>
    </row>
    <row r="735">
      <c r="A735" s="59" t="str">
        <f>IFERROR(__xludf.DUMMYFUNCTION("""COMPUTED_VALUE"""),"Flashlight Pro")</f>
        <v>Flashlight Pro</v>
      </c>
      <c r="B735" s="60"/>
      <c r="C735" s="61" t="str">
        <f>IFERROR(__xludf.DUMMYFUNCTION("""COMPUTED_VALUE"""),"Yes")</f>
        <v>Yes</v>
      </c>
      <c r="D735" s="62" t="str">
        <f>IFERROR(__xludf.DUMMYFUNCTION("""COMPUTED_VALUE"""),"Base → Pro")</f>
        <v>Base → Pro</v>
      </c>
      <c r="E735" s="61" t="str">
        <f>IFERROR(__xludf.DUMMYFUNCTION("""COMPUTED_VALUE"""),"rctgamer3")</f>
        <v>rctgamer3</v>
      </c>
      <c r="F735" s="63">
        <f>IFERROR(__xludf.DUMMYFUNCTION("""COMPUTED_VALUE"""),40876.0)</f>
        <v>40876</v>
      </c>
    </row>
    <row r="736">
      <c r="A736" s="59" t="str">
        <f>IFERROR(__xludf.DUMMYFUNCTION("""COMPUTED_VALUE"""),"iRedmine")</f>
        <v>iRedmine</v>
      </c>
      <c r="B736" s="60"/>
      <c r="C736" s="61" t="str">
        <f>IFERROR(__xludf.DUMMYFUNCTION("""COMPUTED_VALUE"""),"Yes")</f>
        <v>Yes</v>
      </c>
      <c r="D736" s="62" t="str">
        <f>IFERROR(__xludf.DUMMYFUNCTION("""COMPUTED_VALUE"""),"Both the ""Remove Ads"" and the ""iRedmine Pro"" unlock iAP work.")</f>
        <v>Both the "Remove Ads" and the "iRedmine Pro" unlock iAP work.</v>
      </c>
      <c r="E736" s="61" t="str">
        <f>IFERROR(__xludf.DUMMYFUNCTION("""COMPUTED_VALUE"""),"rctgamer3")</f>
        <v>rctgamer3</v>
      </c>
      <c r="F736" s="63">
        <f>IFERROR(__xludf.DUMMYFUNCTION("""COMPUTED_VALUE"""),40876.0)</f>
        <v>40876</v>
      </c>
    </row>
    <row r="737">
      <c r="A737" s="59" t="str">
        <f>IFERROR(__xludf.DUMMYFUNCTION("""COMPUTED_VALUE"""),"Monster Pet shop ")</f>
        <v>Monster Pet shop </v>
      </c>
      <c r="B737" s="60"/>
      <c r="C737" s="61" t="str">
        <f>IFERROR(__xludf.DUMMYFUNCTION("""COMPUTED_VALUE"""),"Yes")</f>
        <v>Yes</v>
      </c>
      <c r="D737" s="62"/>
      <c r="E737" s="61" t="str">
        <f>IFERROR(__xludf.DUMMYFUNCTION("""COMPUTED_VALUE"""),"Maxo396")</f>
        <v>Maxo396</v>
      </c>
      <c r="F737" s="63">
        <f>IFERROR(__xludf.DUMMYFUNCTION("""COMPUTED_VALUE"""),40876.0)</f>
        <v>40876</v>
      </c>
    </row>
    <row r="738">
      <c r="A738" s="59" t="str">
        <f>IFERROR(__xludf.DUMMYFUNCTION("""COMPUTED_VALUE"""),"QRReader (TapMedia)")</f>
        <v>QRReader (TapMedia)</v>
      </c>
      <c r="B738" s="60"/>
      <c r="C738" s="61" t="str">
        <f>IFERROR(__xludf.DUMMYFUNCTION("""COMPUTED_VALUE"""),"Yes")</f>
        <v>Yes</v>
      </c>
      <c r="D738" s="62"/>
      <c r="E738" s="61" t="str">
        <f>IFERROR(__xludf.DUMMYFUNCTION("""COMPUTED_VALUE"""),"rctgamer3")</f>
        <v>rctgamer3</v>
      </c>
      <c r="F738" s="63">
        <f>IFERROR(__xludf.DUMMYFUNCTION("""COMPUTED_VALUE"""),40876.0)</f>
        <v>40876</v>
      </c>
    </row>
    <row r="739">
      <c r="A739" s="59" t="str">
        <f>IFERROR(__xludf.DUMMYFUNCTION("""COMPUTED_VALUE"""),"Twittelator")</f>
        <v>Twittelator</v>
      </c>
      <c r="B739" s="60"/>
      <c r="C739" s="61" t="str">
        <f>IFERROR(__xludf.DUMMYFUNCTION("""COMPUTED_VALUE"""),"Yes")</f>
        <v>Yes</v>
      </c>
      <c r="D739" s="62" t="str">
        <f>IFERROR(__xludf.DUMMYFUNCTION("""COMPUTED_VALUE"""),"Free → Full")</f>
        <v>Free → Full</v>
      </c>
      <c r="E739" s="61" t="str">
        <f>IFERROR(__xludf.DUMMYFUNCTION("""COMPUTED_VALUE"""),"rctgamer3")</f>
        <v>rctgamer3</v>
      </c>
      <c r="F739" s="63">
        <f>IFERROR(__xludf.DUMMYFUNCTION("""COMPUTED_VALUE"""),40876.0)</f>
        <v>40876</v>
      </c>
    </row>
    <row r="740">
      <c r="A740" s="59" t="str">
        <f>IFERROR(__xludf.DUMMYFUNCTION("""COMPUTED_VALUE"""),"Twitteriffic")</f>
        <v>Twitteriffic</v>
      </c>
      <c r="B740" s="60"/>
      <c r="C740" s="61" t="str">
        <f>IFERROR(__xludf.DUMMYFUNCTION("""COMPUTED_VALUE"""),"Yes")</f>
        <v>Yes</v>
      </c>
      <c r="D740" s="62" t="str">
        <f>IFERROR(__xludf.DUMMYFUNCTION("""COMPUTED_VALUE"""),"Free → Full")</f>
        <v>Free → Full</v>
      </c>
      <c r="E740" s="61" t="str">
        <f>IFERROR(__xludf.DUMMYFUNCTION("""COMPUTED_VALUE"""),"rctgamer3")</f>
        <v>rctgamer3</v>
      </c>
      <c r="F740" s="63">
        <f>IFERROR(__xludf.DUMMYFUNCTION("""COMPUTED_VALUE"""),40876.0)</f>
        <v>40876</v>
      </c>
    </row>
    <row r="741">
      <c r="A741" s="59" t="str">
        <f>IFERROR(__xludf.DUMMYFUNCTION("""COMPUTED_VALUE"""),"ÜberTwitter / UberSocial")</f>
        <v>ÜberTwitter / UberSocial</v>
      </c>
      <c r="B741" s="60"/>
      <c r="C741" s="61" t="str">
        <f>IFERROR(__xludf.DUMMYFUNCTION("""COMPUTED_VALUE"""),"Yes")</f>
        <v>Yes</v>
      </c>
      <c r="D741" s="62"/>
      <c r="E741" s="61" t="str">
        <f>IFERROR(__xludf.DUMMYFUNCTION("""COMPUTED_VALUE"""),"rctgamer3")</f>
        <v>rctgamer3</v>
      </c>
      <c r="F741" s="63">
        <f>IFERROR(__xludf.DUMMYFUNCTION("""COMPUTED_VALUE"""),40876.0)</f>
        <v>40876</v>
      </c>
    </row>
    <row r="742">
      <c r="A742" s="59" t="str">
        <f>IFERROR(__xludf.DUMMYFUNCTION("""COMPUTED_VALUE"""),"Crazy Snowboard")</f>
        <v>Crazy Snowboard</v>
      </c>
      <c r="B742" s="60"/>
      <c r="C742" s="61" t="str">
        <f>IFERROR(__xludf.DUMMYFUNCTION("""COMPUTED_VALUE"""),"Yes")</f>
        <v>Yes</v>
      </c>
      <c r="D742" s="62" t="str">
        <f>IFERROR(__xludf.DUMMYFUNCTION("""COMPUTED_VALUE"""),"Works great =) Gets both money and people free!")</f>
        <v>Works great =) Gets both money and people free!</v>
      </c>
      <c r="E742" s="61" t="str">
        <f>IFERROR(__xludf.DUMMYFUNCTION("""COMPUTED_VALUE"""),"BASiQ")</f>
        <v>BASiQ</v>
      </c>
      <c r="F742" s="63">
        <f>IFERROR(__xludf.DUMMYFUNCTION("""COMPUTED_VALUE"""),40875.0)</f>
        <v>40875</v>
      </c>
    </row>
    <row r="743">
      <c r="A743" s="59" t="str">
        <f>IFERROR(__xludf.DUMMYFUNCTION("""COMPUTED_VALUE"""),"Pixel Mall")</f>
        <v>Pixel Mall</v>
      </c>
      <c r="B743" s="60"/>
      <c r="C743" s="61" t="str">
        <f>IFERROR(__xludf.DUMMYFUNCTION("""COMPUTED_VALUE"""),"Yes")</f>
        <v>Yes</v>
      </c>
      <c r="D743" s="62"/>
      <c r="E743" s="61" t="str">
        <f>IFERROR(__xludf.DUMMYFUNCTION("""COMPUTED_VALUE"""),"antidust")</f>
        <v>antidust</v>
      </c>
      <c r="F743" s="63">
        <f>IFERROR(__xludf.DUMMYFUNCTION("""COMPUTED_VALUE"""),40875.0)</f>
        <v>40875</v>
      </c>
    </row>
    <row r="744">
      <c r="A744" s="59" t="str">
        <f>IFERROR(__xludf.DUMMYFUNCTION("""COMPUTED_VALUE"""),"Snoopy Street fair")</f>
        <v>Snoopy Street fair</v>
      </c>
      <c r="B744" s="60"/>
      <c r="C744" s="61" t="str">
        <f>IFERROR(__xludf.DUMMYFUNCTION("""COMPUTED_VALUE"""),"Yes")</f>
        <v>Yes</v>
      </c>
      <c r="D744" s="62"/>
      <c r="E744" s="61"/>
      <c r="F744" s="63">
        <f>IFERROR(__xludf.DUMMYFUNCTION("""COMPUTED_VALUE"""),40875.0)</f>
        <v>40875</v>
      </c>
    </row>
    <row r="745">
      <c r="A745" s="59" t="str">
        <f>IFERROR(__xludf.DUMMYFUNCTION("""COMPUTED_VALUE"""),"Fragger")</f>
        <v>Fragger</v>
      </c>
      <c r="B745" s="60"/>
      <c r="C745" s="61" t="str">
        <f>IFERROR(__xludf.DUMMYFUNCTION("""COMPUTED_VALUE"""),"Yes")</f>
        <v>Yes</v>
      </c>
      <c r="D745" s="62" t="str">
        <f>IFERROR(__xludf.DUMMYFUNCTION("""COMPUTED_VALUE"""),"Purchasing of Coins works.")</f>
        <v>Purchasing of Coins works.</v>
      </c>
      <c r="E745" s="61" t="str">
        <f>IFERROR(__xludf.DUMMYFUNCTION("""COMPUTED_VALUE"""),"zeLLFF8")</f>
        <v>zeLLFF8</v>
      </c>
      <c r="F745" s="63">
        <f>IFERROR(__xludf.DUMMYFUNCTION("""COMPUTED_VALUE"""),40874.0)</f>
        <v>40874</v>
      </c>
    </row>
    <row r="746">
      <c r="A746" s="59" t="str">
        <f>IFERROR(__xludf.DUMMYFUNCTION("""COMPUTED_VALUE"""),"Touch Detective")</f>
        <v>Touch Detective</v>
      </c>
      <c r="B746" s="60"/>
      <c r="C746" s="61" t="str">
        <f>IFERROR(__xludf.DUMMYFUNCTION("""COMPUTED_VALUE"""),"Yes")</f>
        <v>Yes</v>
      </c>
      <c r="D746" s="62" t="str">
        <f>IFERROR(__xludf.DUMMYFUNCTION("""COMPUTED_VALUE"""),"Extra/Bonus Scenario")</f>
        <v>Extra/Bonus Scenario</v>
      </c>
      <c r="E746" s="61" t="str">
        <f>IFERROR(__xludf.DUMMYFUNCTION("""COMPUTED_VALUE"""),"Azyure")</f>
        <v>Azyure</v>
      </c>
      <c r="F746" s="63">
        <f>IFERROR(__xludf.DUMMYFUNCTION("""COMPUTED_VALUE"""),40874.0)</f>
        <v>40874</v>
      </c>
    </row>
    <row r="747">
      <c r="A747" s="59" t="str">
        <f>IFERROR(__xludf.DUMMYFUNCTION("""COMPUTED_VALUE"""),"Loudbook")</f>
        <v>Loudbook</v>
      </c>
      <c r="B747" s="60"/>
      <c r="C747" s="61" t="str">
        <f>IFERROR(__xludf.DUMMYFUNCTION("""COMPUTED_VALUE"""),"Yes")</f>
        <v>Yes</v>
      </c>
      <c r="D747" s="62"/>
      <c r="E747" s="61"/>
      <c r="F747" s="63">
        <f>IFERROR(__xludf.DUMMYFUNCTION("""COMPUTED_VALUE"""),40873.0)</f>
        <v>40873</v>
      </c>
    </row>
    <row r="748">
      <c r="A748" s="59" t="str">
        <f>IFERROR(__xludf.DUMMYFUNCTION("""COMPUTED_VALUE"""),"Monster Galaxy")</f>
        <v>Monster Galaxy</v>
      </c>
      <c r="B748" s="60"/>
      <c r="C748" s="61" t="str">
        <f>IFERROR(__xludf.DUMMYFUNCTION("""COMPUTED_VALUE"""),"Yes")</f>
        <v>Yes</v>
      </c>
      <c r="D748" s="62"/>
      <c r="E748" s="61" t="str">
        <f>IFERROR(__xludf.DUMMYFUNCTION("""COMPUTED_VALUE"""),"zeLLFF8")</f>
        <v>zeLLFF8</v>
      </c>
      <c r="F748" s="63">
        <f>IFERROR(__xludf.DUMMYFUNCTION("""COMPUTED_VALUE"""),40872.0)</f>
        <v>40872</v>
      </c>
    </row>
    <row r="749">
      <c r="A749" s="59" t="str">
        <f>IFERROR(__xludf.DUMMYFUNCTION("""COMPUTED_VALUE"""),"Shall we date? (series)")</f>
        <v>Shall we date? (series)</v>
      </c>
      <c r="B749" s="60"/>
      <c r="C749" s="61" t="str">
        <f>IFERROR(__xludf.DUMMYFUNCTION("""COMPUTED_VALUE"""),"Yes")</f>
        <v>Yes</v>
      </c>
      <c r="D749" s="62" t="str">
        <f>IFERROR(__xludf.DUMMYFUNCTION("""COMPUTED_VALUE"""),"Heian Love, Konkatsu Love,  Ninja Love reported working.")</f>
        <v>Heian Love, Konkatsu Love,  Ninja Love reported working.</v>
      </c>
      <c r="E749" s="61" t="str">
        <f>IFERROR(__xludf.DUMMYFUNCTION("""COMPUTED_VALUE"""),"Shunn")</f>
        <v>Shunn</v>
      </c>
      <c r="F749" s="63">
        <f>IFERROR(__xludf.DUMMYFUNCTION("""COMPUTED_VALUE"""),40872.0)</f>
        <v>40872</v>
      </c>
    </row>
    <row r="750">
      <c r="A750" s="59" t="str">
        <f>IFERROR(__xludf.DUMMYFUNCTION("""COMPUTED_VALUE"""),"TomTom USA and Canada")</f>
        <v>TomTom USA and Canada</v>
      </c>
      <c r="B750" s="60"/>
      <c r="C750" s="61" t="str">
        <f>IFERROR(__xludf.DUMMYFUNCTION("""COMPUTED_VALUE"""),"Yes")</f>
        <v>Yes</v>
      </c>
      <c r="D750" s="62" t="str">
        <f>IFERROR(__xludf.DUMMYFUNCTION("""COMPUTED_VALUE"""),"Everything now works")</f>
        <v>Everything now works</v>
      </c>
      <c r="E750" s="61" t="str">
        <f>IFERROR(__xludf.DUMMYFUNCTION("""COMPUTED_VALUE"""),"LilC")</f>
        <v>LilC</v>
      </c>
      <c r="F750" s="63">
        <f>IFERROR(__xludf.DUMMYFUNCTION("""COMPUTED_VALUE"""),40872.0)</f>
        <v>40872</v>
      </c>
    </row>
    <row r="751">
      <c r="A751" s="59" t="str">
        <f>IFERROR(__xludf.DUMMYFUNCTION("""COMPUTED_VALUE"""),"Alarmfase 1")</f>
        <v>Alarmfase 1</v>
      </c>
      <c r="B751" s="60"/>
      <c r="C751" s="61" t="str">
        <f>IFERROR(__xludf.DUMMYFUNCTION("""COMPUTED_VALUE"""),"Yes")</f>
        <v>Yes</v>
      </c>
      <c r="D751" s="62" t="str">
        <f>IFERROR(__xludf.DUMMYFUNCTION("""COMPUTED_VALUE"""),"Free push notifications")</f>
        <v>Free push notifications</v>
      </c>
      <c r="E751" s="61" t="str">
        <f>IFERROR(__xludf.DUMMYFUNCTION("""COMPUTED_VALUE"""),"rctgamer3")</f>
        <v>rctgamer3</v>
      </c>
      <c r="F751" s="63">
        <f>IFERROR(__xludf.DUMMYFUNCTION("""COMPUTED_VALUE"""),40871.0)</f>
        <v>40871</v>
      </c>
    </row>
    <row r="752">
      <c r="A752" s="59" t="str">
        <f>IFERROR(__xludf.DUMMYFUNCTION("""COMPUTED_VALUE"""),"Call of Mini: Zombies")</f>
        <v>Call of Mini: Zombies</v>
      </c>
      <c r="B752" s="60"/>
      <c r="C752" s="61" t="str">
        <f>IFERROR(__xludf.DUMMYFUNCTION("""COMPUTED_VALUE"""),"Yes")</f>
        <v>Yes</v>
      </c>
      <c r="D752" s="62"/>
      <c r="E752" s="61"/>
      <c r="F752" s="63">
        <f>IFERROR(__xludf.DUMMYFUNCTION("""COMPUTED_VALUE"""),40871.0)</f>
        <v>40871</v>
      </c>
    </row>
    <row r="753">
      <c r="A753" s="59" t="str">
        <f>IFERROR(__xludf.DUMMYFUNCTION("""COMPUTED_VALUE"""),"Coin Dozer")</f>
        <v>Coin Dozer</v>
      </c>
      <c r="B753" s="60"/>
      <c r="C753" s="61" t="str">
        <f>IFERROR(__xludf.DUMMYFUNCTION("""COMPUTED_VALUE"""),"Yes")</f>
        <v>Yes</v>
      </c>
      <c r="D753" s="62"/>
      <c r="E753" s="61" t="str">
        <f>IFERROR(__xludf.DUMMYFUNCTION("""COMPUTED_VALUE"""),"rctgamer3")</f>
        <v>rctgamer3</v>
      </c>
      <c r="F753" s="63">
        <f>IFERROR(__xludf.DUMMYFUNCTION("""COMPUTED_VALUE"""),40871.0)</f>
        <v>40871</v>
      </c>
    </row>
    <row r="754">
      <c r="A754" s="59" t="str">
        <f>IFERROR(__xludf.DUMMYFUNCTION("""COMPUTED_VALUE"""),"Dex")</f>
        <v>Dex</v>
      </c>
      <c r="B754" s="60"/>
      <c r="C754" s="61" t="str">
        <f>IFERROR(__xludf.DUMMYFUNCTION("""COMPUTED_VALUE"""),"Yes")</f>
        <v>Yes</v>
      </c>
      <c r="D754" s="62" t="str">
        <f>IFERROR(__xludf.DUMMYFUNCTION("""COMPUTED_VALUE"""),"Ad removal")</f>
        <v>Ad removal</v>
      </c>
      <c r="E754" s="61" t="str">
        <f>IFERROR(__xludf.DUMMYFUNCTION("""COMPUTED_VALUE"""),"rctgamer3")</f>
        <v>rctgamer3</v>
      </c>
      <c r="F754" s="63">
        <f>IFERROR(__xludf.DUMMYFUNCTION("""COMPUTED_VALUE"""),40871.0)</f>
        <v>40871</v>
      </c>
    </row>
    <row r="755">
      <c r="A755" s="59" t="str">
        <f>IFERROR(__xludf.DUMMYFUNCTION("""COMPUTED_VALUE"""),"Mega Worm")</f>
        <v>Mega Worm</v>
      </c>
      <c r="B755" s="60"/>
      <c r="C755" s="61" t="str">
        <f>IFERROR(__xludf.DUMMYFUNCTION("""COMPUTED_VALUE"""),"Yes")</f>
        <v>Yes</v>
      </c>
      <c r="D755" s="62"/>
      <c r="E755" s="61" t="str">
        <f>IFERROR(__xludf.DUMMYFUNCTION("""COMPUTED_VALUE"""),"rctgamer3")</f>
        <v>rctgamer3</v>
      </c>
      <c r="F755" s="63">
        <f>IFERROR(__xludf.DUMMYFUNCTION("""COMPUTED_VALUE"""),40871.0)</f>
        <v>40871</v>
      </c>
    </row>
    <row r="756">
      <c r="A756" s="59" t="str">
        <f>IFERROR(__xludf.DUMMYFUNCTION("""COMPUTED_VALUE"""),"Snoopy's Fair Street")</f>
        <v>Snoopy's Fair Street</v>
      </c>
      <c r="B756" s="60"/>
      <c r="C756" s="61" t="str">
        <f>IFERROR(__xludf.DUMMYFUNCTION("""COMPUTED_VALUE"""),"Yes")</f>
        <v>Yes</v>
      </c>
      <c r="D756" s="62"/>
      <c r="E756" s="61"/>
      <c r="F756" s="63">
        <f>IFERROR(__xludf.DUMMYFUNCTION("""COMPUTED_VALUE"""),40871.0)</f>
        <v>40871</v>
      </c>
    </row>
    <row r="757">
      <c r="A757" s="59" t="str">
        <f>IFERROR(__xludf.DUMMYFUNCTION("""COMPUTED_VALUE"""),"Tilt to Live")</f>
        <v>Tilt to Live</v>
      </c>
      <c r="B757" s="60"/>
      <c r="C757" s="61" t="str">
        <f>IFERROR(__xludf.DUMMYFUNCTION("""COMPUTED_VALUE"""),"Yes")</f>
        <v>Yes</v>
      </c>
      <c r="D757" s="62" t="str">
        <f>IFERROR(__xludf.DUMMYFUNCTION("""COMPUTED_VALUE"""),"Unlocks Viva la Turret game mode")</f>
        <v>Unlocks Viva la Turret game mode</v>
      </c>
      <c r="E757" s="61" t="str">
        <f>IFERROR(__xludf.DUMMYFUNCTION("""COMPUTED_VALUE"""),"Dervd")</f>
        <v>Dervd</v>
      </c>
      <c r="F757" s="63">
        <f>IFERROR(__xludf.DUMMYFUNCTION("""COMPUTED_VALUE"""),40871.0)</f>
        <v>40871</v>
      </c>
    </row>
    <row r="758">
      <c r="A758" s="59" t="str">
        <f>IFERROR(__xludf.DUMMYFUNCTION("""COMPUTED_VALUE"""),"Zombie Farm")</f>
        <v>Zombie Farm</v>
      </c>
      <c r="B758" s="60"/>
      <c r="C758" s="61" t="str">
        <f>IFERROR(__xludf.DUMMYFUNCTION("""COMPUTED_VALUE"""),"Yes")</f>
        <v>Yes</v>
      </c>
      <c r="D758" s="62" t="str">
        <f>IFERROR(__xludf.DUMMYFUNCTION("""COMPUTED_VALUE"""),"Can buy brains. Mmmmm, brains.")</f>
        <v>Can buy brains. Mmmmm, brains.</v>
      </c>
      <c r="E758" s="61" t="str">
        <f>IFERROR(__xludf.DUMMYFUNCTION("""COMPUTED_VALUE"""),"Nukie")</f>
        <v>Nukie</v>
      </c>
      <c r="F758" s="63">
        <f>IFERROR(__xludf.DUMMYFUNCTION("""COMPUTED_VALUE"""),40870.0)</f>
        <v>40870</v>
      </c>
    </row>
    <row r="759">
      <c r="A759" s="59" t="str">
        <f>IFERROR(__xludf.DUMMYFUNCTION("""COMPUTED_VALUE"""),"StarDunk Gold")</f>
        <v>StarDunk Gold</v>
      </c>
      <c r="B759" s="60"/>
      <c r="C759" s="61" t="str">
        <f>IFERROR(__xludf.DUMMYFUNCTION("""COMPUTED_VALUE"""),"Yes")</f>
        <v>Yes</v>
      </c>
      <c r="D759" s="62" t="str">
        <f>IFERROR(__xludf.DUMMYFUNCTION("""COMPUTED_VALUE"""),"Everything Works fine.")</f>
        <v>Everything Works fine.</v>
      </c>
      <c r="E759" s="61" t="str">
        <f>IFERROR(__xludf.DUMMYFUNCTION("""COMPUTED_VALUE"""),"xZorzo")</f>
        <v>xZorzo</v>
      </c>
      <c r="F759" s="63">
        <f>IFERROR(__xludf.DUMMYFUNCTION("""COMPUTED_VALUE"""),40863.0)</f>
        <v>40863</v>
      </c>
    </row>
    <row r="760">
      <c r="A760" s="59" t="str">
        <f>IFERROR(__xludf.DUMMYFUNCTION("""COMPUTED_VALUE"""),"Demon Cam")</f>
        <v>Demon Cam</v>
      </c>
      <c r="B760" s="60"/>
      <c r="C760" s="61" t="str">
        <f>IFERROR(__xludf.DUMMYFUNCTION("""COMPUTED_VALUE"""),"Yes")</f>
        <v>Yes</v>
      </c>
      <c r="D760" s="62"/>
      <c r="E760" s="61" t="str">
        <f>IFERROR(__xludf.DUMMYFUNCTION("""COMPUTED_VALUE"""),"Dav")</f>
        <v>Dav</v>
      </c>
      <c r="F760" s="63">
        <f>IFERROR(__xludf.DUMMYFUNCTION("""COMPUTED_VALUE"""),40848.0)</f>
        <v>40848</v>
      </c>
    </row>
    <row r="761">
      <c r="A761" s="59" t="str">
        <f>IFERROR(__xludf.DUMMYFUNCTION("""COMPUTED_VALUE"""),"Zippo Lighter")</f>
        <v>Zippo Lighter</v>
      </c>
      <c r="B761" s="60"/>
      <c r="C761" s="61" t="str">
        <f>IFERROR(__xludf.DUMMYFUNCTION("""COMPUTED_VALUE"""),"Yes")</f>
        <v>Yes</v>
      </c>
      <c r="D761" s="62"/>
      <c r="E761" s="61" t="str">
        <f>IFERROR(__xludf.DUMMYFUNCTION("""COMPUTED_VALUE"""),"Dav")</f>
        <v>Dav</v>
      </c>
      <c r="F761" s="63">
        <f>IFERROR(__xludf.DUMMYFUNCTION("""COMPUTED_VALUE"""),40848.0)</f>
        <v>40848</v>
      </c>
    </row>
    <row r="762">
      <c r="A762" s="59" t="str">
        <f>IFERROR(__xludf.DUMMYFUNCTION("""COMPUTED_VALUE"""),"360Live")</f>
        <v>360Live</v>
      </c>
      <c r="B762" s="60"/>
      <c r="C762" s="61" t="str">
        <f>IFERROR(__xludf.DUMMYFUNCTION("""COMPUTED_VALUE"""),"Yes")</f>
        <v>Yes</v>
      </c>
      <c r="D762" s="62"/>
      <c r="E762" s="61" t="str">
        <f>IFERROR(__xludf.DUMMYFUNCTION("""COMPUTED_VALUE"""),"LtNachos")</f>
        <v>LtNachos</v>
      </c>
      <c r="F762" s="63">
        <f>IFERROR(__xludf.DUMMYFUNCTION("""COMPUTED_VALUE"""),40828.0)</f>
        <v>40828</v>
      </c>
    </row>
    <row r="763">
      <c r="A763" s="59" t="str">
        <f>IFERROR(__xludf.DUMMYFUNCTION("""COMPUTED_VALUE"""),"British medical journal")</f>
        <v>British medical journal</v>
      </c>
      <c r="B763" s="60"/>
      <c r="C763" s="61" t="str">
        <f>IFERROR(__xludf.DUMMYFUNCTION("""COMPUTED_VALUE"""),"Yes")</f>
        <v>Yes</v>
      </c>
      <c r="D763" s="62" t="str">
        <f>IFERROR(__xludf.DUMMYFUNCTION("""COMPUTED_VALUE"""),"Purchases and download every issue")</f>
        <v>Purchases and download every issue</v>
      </c>
      <c r="E763" s="61" t="str">
        <f>IFERROR(__xludf.DUMMYFUNCTION("""COMPUTED_VALUE"""),"Pegsk")</f>
        <v>Pegsk</v>
      </c>
      <c r="F763" s="63">
        <f>IFERROR(__xludf.DUMMYFUNCTION("""COMPUTED_VALUE"""),40828.0)</f>
        <v>40828</v>
      </c>
    </row>
    <row r="764">
      <c r="A764" s="59" t="str">
        <f>IFERROR(__xludf.DUMMYFUNCTION("""COMPUTED_VALUE"""),"Solomon's Boneyard")</f>
        <v>Solomon's Boneyard</v>
      </c>
      <c r="B764" s="60"/>
      <c r="C764" s="61" t="str">
        <f>IFERROR(__xludf.DUMMYFUNCTION("""COMPUTED_VALUE"""),"Yes")</f>
        <v>Yes</v>
      </c>
      <c r="D764" s="62" t="str">
        <f>IFERROR(__xludf.DUMMYFUNCTION("""COMPUTED_VALUE"""),"Buy gold and unlock features with it, you can even ""donate"" xD")</f>
        <v>Buy gold and unlock features with it, you can even "donate" xD</v>
      </c>
      <c r="E764" s="61" t="str">
        <f>IFERROR(__xludf.DUMMYFUNCTION("""COMPUTED_VALUE"""),"iROKR")</f>
        <v>iROKR</v>
      </c>
      <c r="F764" s="63">
        <f>IFERROR(__xludf.DUMMYFUNCTION("""COMPUTED_VALUE"""),40828.0)</f>
        <v>40828</v>
      </c>
    </row>
    <row r="765">
      <c r="A765" s="59" t="str">
        <f>IFERROR(__xludf.DUMMYFUNCTION("""COMPUTED_VALUE"""),"Zombie Cafe")</f>
        <v>Zombie Cafe</v>
      </c>
      <c r="B765" s="60"/>
      <c r="C765" s="61" t="str">
        <f>IFERROR(__xludf.DUMMYFUNCTION("""COMPUTED_VALUE"""),"Yes")</f>
        <v>Yes</v>
      </c>
      <c r="D765" s="62"/>
      <c r="E765" s="61" t="str">
        <f>IFERROR(__xludf.DUMMYFUNCTION("""COMPUTED_VALUE"""),"Mik")</f>
        <v>Mik</v>
      </c>
      <c r="F765" s="63">
        <f>IFERROR(__xludf.DUMMYFUNCTION("""COMPUTED_VALUE"""),40828.0)</f>
        <v>40828</v>
      </c>
    </row>
    <row r="766">
      <c r="A766" s="59" t="str">
        <f>IFERROR(__xludf.DUMMYFUNCTION("""COMPUTED_VALUE"""),"Nuts!")</f>
        <v>Nuts!</v>
      </c>
      <c r="B766" s="60"/>
      <c r="C766" s="61" t="str">
        <f>IFERROR(__xludf.DUMMYFUNCTION("""COMPUTED_VALUE"""),"Yes")</f>
        <v>Yes</v>
      </c>
      <c r="D766" s="62"/>
      <c r="E766" s="61" t="str">
        <f>IFERROR(__xludf.DUMMYFUNCTION("""COMPUTED_VALUE"""),"Persephone")</f>
        <v>Persephone</v>
      </c>
      <c r="F766" s="63">
        <f>IFERROR(__xludf.DUMMYFUNCTION("""COMPUTED_VALUE"""),40816.0)</f>
        <v>40816</v>
      </c>
    </row>
    <row r="767">
      <c r="A767" s="59" t="str">
        <f>IFERROR(__xludf.DUMMYFUNCTION("""COMPUTED_VALUE"""),"Racing Cookie Adventure")</f>
        <v>Racing Cookie Adventure</v>
      </c>
      <c r="B767" s="60"/>
      <c r="C767" s="61" t="str">
        <f>IFERROR(__xludf.DUMMYFUNCTION("""COMPUTED_VALUE"""),"Yes")</f>
        <v>Yes</v>
      </c>
      <c r="D767" s="62"/>
      <c r="E767" s="61" t="str">
        <f>IFERROR(__xludf.DUMMYFUNCTION("""COMPUTED_VALUE"""),"mytich")</f>
        <v>mytich</v>
      </c>
      <c r="F767" s="63">
        <f>IFERROR(__xludf.DUMMYFUNCTION("""COMPUTED_VALUE"""),40794.0368055556)</f>
        <v>40794.03681</v>
      </c>
    </row>
    <row r="768">
      <c r="A768" s="59" t="str">
        <f>IFERROR(__xludf.DUMMYFUNCTION("""COMPUTED_VALUE"""),"Don't Blink")</f>
        <v>Don't Blink</v>
      </c>
      <c r="B768" s="60"/>
      <c r="C768" s="61" t="str">
        <f>IFERROR(__xludf.DUMMYFUNCTION("""COMPUTED_VALUE"""),"Yes")</f>
        <v>Yes</v>
      </c>
      <c r="D768" s="62"/>
      <c r="E768" s="61" t="str">
        <f>IFERROR(__xludf.DUMMYFUNCTION("""COMPUTED_VALUE"""),"mytich")</f>
        <v>mytich</v>
      </c>
      <c r="F768" s="63">
        <f>IFERROR(__xludf.DUMMYFUNCTION("""COMPUTED_VALUE"""),40794.0)</f>
        <v>40794</v>
      </c>
    </row>
    <row r="769">
      <c r="A769" s="59" t="str">
        <f>IFERROR(__xludf.DUMMYFUNCTION("""COMPUTED_VALUE"""),"Zenonia 2")</f>
        <v>Zenonia 2</v>
      </c>
      <c r="B769" s="60"/>
      <c r="C769" s="61" t="str">
        <f>IFERROR(__xludf.DUMMYFUNCTION("""COMPUTED_VALUE"""),"Yes")</f>
        <v>Yes</v>
      </c>
      <c r="D769" s="62" t="str">
        <f>IFERROR(__xludf.DUMMYFUNCTION("""COMPUTED_VALUE"""),"Can Purchase all")</f>
        <v>Can Purchase all</v>
      </c>
      <c r="E769" s="61" t="str">
        <f>IFERROR(__xludf.DUMMYFUNCTION("""COMPUTED_VALUE"""),"mytich, passarbye")</f>
        <v>mytich, passarbye</v>
      </c>
      <c r="F769" s="63">
        <f>IFERROR(__xludf.DUMMYFUNCTION("""COMPUTED_VALUE"""),40794.0)</f>
        <v>40794</v>
      </c>
    </row>
    <row r="770">
      <c r="A770" s="59" t="str">
        <f>IFERROR(__xludf.DUMMYFUNCTION("""COMPUTED_VALUE"""),"Line Runner")</f>
        <v>Line Runner</v>
      </c>
      <c r="B770" s="60"/>
      <c r="C770" s="61" t="str">
        <f>IFERROR(__xludf.DUMMYFUNCTION("""COMPUTED_VALUE"""),"Yes")</f>
        <v>Yes</v>
      </c>
      <c r="D770" s="62"/>
      <c r="E770" s="61" t="str">
        <f>IFERROR(__xludf.DUMMYFUNCTION("""COMPUTED_VALUE"""),"mytich")</f>
        <v>mytich</v>
      </c>
      <c r="F770" s="63">
        <f>IFERROR(__xludf.DUMMYFUNCTION("""COMPUTED_VALUE"""),40793.9229166667)</f>
        <v>40793.92292</v>
      </c>
    </row>
    <row r="771">
      <c r="A771" s="59" t="str">
        <f>IFERROR(__xludf.DUMMYFUNCTION("""COMPUTED_VALUE"""),"Applets")</f>
        <v>Applets</v>
      </c>
      <c r="B771" s="60"/>
      <c r="C771" s="61" t="str">
        <f>IFERROR(__xludf.DUMMYFUNCTION("""COMPUTED_VALUE"""),"Yes")</f>
        <v>Yes</v>
      </c>
      <c r="D771" s="62"/>
      <c r="E771" s="61" t="str">
        <f>IFERROR(__xludf.DUMMYFUNCTION("""COMPUTED_VALUE"""),"Dansco")</f>
        <v>Dansco</v>
      </c>
      <c r="F771" s="63">
        <f>IFERROR(__xludf.DUMMYFUNCTION("""COMPUTED_VALUE"""),40793.9138888889)</f>
        <v>40793.91389</v>
      </c>
    </row>
    <row r="772">
      <c r="A772" s="59" t="str">
        <f>IFERROR(__xludf.DUMMYFUNCTION("""COMPUTED_VALUE"""),"Aroundme")</f>
        <v>Aroundme</v>
      </c>
      <c r="B772" s="60"/>
      <c r="C772" s="61" t="str">
        <f>IFERROR(__xludf.DUMMYFUNCTION("""COMPUTED_VALUE"""),"Yes")</f>
        <v>Yes</v>
      </c>
      <c r="D772" s="62"/>
      <c r="E772" s="61" t="str">
        <f>IFERROR(__xludf.DUMMYFUNCTION("""COMPUTED_VALUE"""),"Dansco")</f>
        <v>Dansco</v>
      </c>
      <c r="F772" s="63">
        <f>IFERROR(__xludf.DUMMYFUNCTION("""COMPUTED_VALUE"""),40793.9138888889)</f>
        <v>40793.91389</v>
      </c>
    </row>
    <row r="773">
      <c r="A773" s="59" t="str">
        <f>IFERROR(__xludf.DUMMYFUNCTION("""COMPUTED_VALUE"""),"FmL Official App")</f>
        <v>FmL Official App</v>
      </c>
      <c r="B773" s="60"/>
      <c r="C773" s="61" t="str">
        <f>IFERROR(__xludf.DUMMYFUNCTION("""COMPUTED_VALUE"""),"Yes")</f>
        <v>Yes</v>
      </c>
      <c r="D773" s="62"/>
      <c r="E773" s="61" t="str">
        <f>IFERROR(__xludf.DUMMYFUNCTION("""COMPUTED_VALUE"""),"Dansco")</f>
        <v>Dansco</v>
      </c>
      <c r="F773" s="63">
        <f>IFERROR(__xludf.DUMMYFUNCTION("""COMPUTED_VALUE"""),40793.9138888889)</f>
        <v>40793.91389</v>
      </c>
    </row>
    <row r="774">
      <c r="A774" s="59" t="str">
        <f>IFERROR(__xludf.DUMMYFUNCTION("""COMPUTED_VALUE"""),"FourFourTwo Stats Zone")</f>
        <v>FourFourTwo Stats Zone</v>
      </c>
      <c r="B774" s="60"/>
      <c r="C774" s="61" t="str">
        <f>IFERROR(__xludf.DUMMYFUNCTION("""COMPUTED_VALUE"""),"Yes")</f>
        <v>Yes</v>
      </c>
      <c r="D774" s="62"/>
      <c r="E774" s="61" t="str">
        <f>IFERROR(__xludf.DUMMYFUNCTION("""COMPUTED_VALUE"""),"Dansco")</f>
        <v>Dansco</v>
      </c>
      <c r="F774" s="63">
        <f>IFERROR(__xludf.DUMMYFUNCTION("""COMPUTED_VALUE"""),40793.9138888889)</f>
        <v>40793.91389</v>
      </c>
    </row>
    <row r="775">
      <c r="A775" s="59" t="str">
        <f>IFERROR(__xludf.DUMMYFUNCTION("""COMPUTED_VALUE"""),"iCarCheck")</f>
        <v>iCarCheck</v>
      </c>
      <c r="B775" s="60"/>
      <c r="C775" s="61" t="str">
        <f>IFERROR(__xludf.DUMMYFUNCTION("""COMPUTED_VALUE"""),"Yes")</f>
        <v>Yes</v>
      </c>
      <c r="D775" s="62"/>
      <c r="E775" s="61" t="str">
        <f>IFERROR(__xludf.DUMMYFUNCTION("""COMPUTED_VALUE"""),"Dansco")</f>
        <v>Dansco</v>
      </c>
      <c r="F775" s="63">
        <f>IFERROR(__xludf.DUMMYFUNCTION("""COMPUTED_VALUE"""),40793.9138888889)</f>
        <v>40793.91389</v>
      </c>
    </row>
    <row r="776">
      <c r="A776" s="59" t="str">
        <f>IFERROR(__xludf.DUMMYFUNCTION("""COMPUTED_VALUE"""),"iNet")</f>
        <v>iNet</v>
      </c>
      <c r="B776" s="60"/>
      <c r="C776" s="61" t="str">
        <f>IFERROR(__xludf.DUMMYFUNCTION("""COMPUTED_VALUE"""),"Yes")</f>
        <v>Yes</v>
      </c>
      <c r="D776" s="62"/>
      <c r="E776" s="61" t="str">
        <f>IFERROR(__xludf.DUMMYFUNCTION("""COMPUTED_VALUE"""),"Dansco")</f>
        <v>Dansco</v>
      </c>
      <c r="F776" s="63">
        <f>IFERROR(__xludf.DUMMYFUNCTION("""COMPUTED_VALUE"""),40793.9138888889)</f>
        <v>40793.91389</v>
      </c>
    </row>
    <row r="777">
      <c r="A777" s="59" t="str">
        <f>IFERROR(__xludf.DUMMYFUNCTION("""COMPUTED_VALUE"""),"IPMap")</f>
        <v>IPMap</v>
      </c>
      <c r="B777" s="60"/>
      <c r="C777" s="61" t="str">
        <f>IFERROR(__xludf.DUMMYFUNCTION("""COMPUTED_VALUE"""),"Yes")</f>
        <v>Yes</v>
      </c>
      <c r="D777" s="62" t="str">
        <f>IFERROR(__xludf.DUMMYFUNCTION("""COMPUTED_VALUE"""),"Free → Full")</f>
        <v>Free → Full</v>
      </c>
      <c r="E777" s="61" t="str">
        <f>IFERROR(__xludf.DUMMYFUNCTION("""COMPUTED_VALUE"""),"Dansco")</f>
        <v>Dansco</v>
      </c>
      <c r="F777" s="63">
        <f>IFERROR(__xludf.DUMMYFUNCTION("""COMPUTED_VALUE"""),40793.9138888889)</f>
        <v>40793.91389</v>
      </c>
    </row>
    <row r="778">
      <c r="A778" s="59" t="str">
        <f>IFERROR(__xludf.DUMMYFUNCTION("""COMPUTED_VALUE"""),"Paper Toss")</f>
        <v>Paper Toss</v>
      </c>
      <c r="B778" s="60"/>
      <c r="C778" s="61" t="str">
        <f>IFERROR(__xludf.DUMMYFUNCTION("""COMPUTED_VALUE"""),"Yes")</f>
        <v>Yes</v>
      </c>
      <c r="D778" s="62"/>
      <c r="E778" s="61" t="str">
        <f>IFERROR(__xludf.DUMMYFUNCTION("""COMPUTED_VALUE"""),"Dansco")</f>
        <v>Dansco</v>
      </c>
      <c r="F778" s="63">
        <f>IFERROR(__xludf.DUMMYFUNCTION("""COMPUTED_VALUE"""),40793.9138888889)</f>
        <v>40793.91389</v>
      </c>
    </row>
    <row r="779">
      <c r="A779" s="59" t="str">
        <f>IFERROR(__xludf.DUMMYFUNCTION("""COMPUTED_VALUE"""),"Pixelgarde")</f>
        <v>Pixelgarde</v>
      </c>
      <c r="B779" s="60"/>
      <c r="C779" s="61" t="str">
        <f>IFERROR(__xludf.DUMMYFUNCTION("""COMPUTED_VALUE"""),"Yes")</f>
        <v>Yes</v>
      </c>
      <c r="D779" s="62"/>
      <c r="E779" s="61" t="str">
        <f>IFERROR(__xludf.DUMMYFUNCTION("""COMPUTED_VALUE"""),"Dansco")</f>
        <v>Dansco</v>
      </c>
      <c r="F779" s="63">
        <f>IFERROR(__xludf.DUMMYFUNCTION("""COMPUTED_VALUE"""),40793.9138888889)</f>
        <v>40793.91389</v>
      </c>
    </row>
    <row r="780">
      <c r="A780" s="59" t="str">
        <f>IFERROR(__xludf.DUMMYFUNCTION("""COMPUTED_VALUE"""),"QuickOffice Lite")</f>
        <v>QuickOffice Lite</v>
      </c>
      <c r="B780" s="60"/>
      <c r="C780" s="61" t="str">
        <f>IFERROR(__xludf.DUMMYFUNCTION("""COMPUTED_VALUE"""),"Yes")</f>
        <v>Yes</v>
      </c>
      <c r="D780" s="62"/>
      <c r="E780" s="61" t="str">
        <f>IFERROR(__xludf.DUMMYFUNCTION("""COMPUTED_VALUE"""),"Dansco")</f>
        <v>Dansco</v>
      </c>
      <c r="F780" s="63">
        <f>IFERROR(__xludf.DUMMYFUNCTION("""COMPUTED_VALUE"""),40793.9138888889)</f>
        <v>40793.91389</v>
      </c>
    </row>
    <row r="781">
      <c r="A781" s="59" t="str">
        <f>IFERROR(__xludf.DUMMYFUNCTION("""COMPUTED_VALUE"""),"Songify")</f>
        <v>Songify</v>
      </c>
      <c r="B781" s="60"/>
      <c r="C781" s="61" t="str">
        <f>IFERROR(__xludf.DUMMYFUNCTION("""COMPUTED_VALUE"""),"Yes")</f>
        <v>Yes</v>
      </c>
      <c r="D781" s="62"/>
      <c r="E781" s="61" t="str">
        <f>IFERROR(__xludf.DUMMYFUNCTION("""COMPUTED_VALUE"""),"Dansco")</f>
        <v>Dansco</v>
      </c>
      <c r="F781" s="63">
        <f>IFERROR(__xludf.DUMMYFUNCTION("""COMPUTED_VALUE"""),40793.9138888889)</f>
        <v>40793.91389</v>
      </c>
    </row>
    <row r="782">
      <c r="A782" s="59" t="str">
        <f>IFERROR(__xludf.DUMMYFUNCTION("""COMPUTED_VALUE"""),"STL Contacts")</f>
        <v>STL Contacts</v>
      </c>
      <c r="B782" s="60"/>
      <c r="C782" s="61" t="str">
        <f>IFERROR(__xludf.DUMMYFUNCTION("""COMPUTED_VALUE"""),"Yes")</f>
        <v>Yes</v>
      </c>
      <c r="D782" s="62"/>
      <c r="E782" s="61" t="str">
        <f>IFERROR(__xludf.DUMMYFUNCTION("""COMPUTED_VALUE"""),"Dansco")</f>
        <v>Dansco</v>
      </c>
      <c r="F782" s="63">
        <f>IFERROR(__xludf.DUMMYFUNCTION("""COMPUTED_VALUE"""),40793.9138888889)</f>
        <v>40793.91389</v>
      </c>
    </row>
    <row r="783">
      <c r="A783" s="59" t="str">
        <f>IFERROR(__xludf.DUMMYFUNCTION("""COMPUTED_VALUE"""),"SWYS (Say What You See)")</f>
        <v>SWYS (Say What You See)</v>
      </c>
      <c r="B783" s="60"/>
      <c r="C783" s="61" t="str">
        <f>IFERROR(__xludf.DUMMYFUNCTION("""COMPUTED_VALUE"""),"Yes")</f>
        <v>Yes</v>
      </c>
      <c r="D783" s="62"/>
      <c r="E783" s="61" t="str">
        <f>IFERROR(__xludf.DUMMYFUNCTION("""COMPUTED_VALUE"""),"Dansco")</f>
        <v>Dansco</v>
      </c>
      <c r="F783" s="63">
        <f>IFERROR(__xludf.DUMMYFUNCTION("""COMPUTED_VALUE"""),40793.9138888889)</f>
        <v>40793.91389</v>
      </c>
    </row>
    <row r="784">
      <c r="A784" s="59" t="str">
        <f>IFERROR(__xludf.DUMMYFUNCTION("""COMPUTED_VALUE"""),"TINS")</f>
        <v>TINS</v>
      </c>
      <c r="B784" s="60"/>
      <c r="C784" s="61" t="str">
        <f>IFERROR(__xludf.DUMMYFUNCTION("""COMPUTED_VALUE"""),"Yes")</f>
        <v>Yes</v>
      </c>
      <c r="D784" s="62"/>
      <c r="E784" s="61" t="str">
        <f>IFERROR(__xludf.DUMMYFUNCTION("""COMPUTED_VALUE"""),"Dansco")</f>
        <v>Dansco</v>
      </c>
      <c r="F784" s="63">
        <f>IFERROR(__xludf.DUMMYFUNCTION("""COMPUTED_VALUE"""),40793.9138888889)</f>
        <v>40793.91389</v>
      </c>
    </row>
    <row r="785">
      <c r="A785" s="59" t="str">
        <f>IFERROR(__xludf.DUMMYFUNCTION("""COMPUTED_VALUE"""),"Voice Generator")</f>
        <v>Voice Generator</v>
      </c>
      <c r="B785" s="60"/>
      <c r="C785" s="61" t="str">
        <f>IFERROR(__xludf.DUMMYFUNCTION("""COMPUTED_VALUE"""),"Yes")</f>
        <v>Yes</v>
      </c>
      <c r="D785" s="62"/>
      <c r="E785" s="61" t="str">
        <f>IFERROR(__xludf.DUMMYFUNCTION("""COMPUTED_VALUE"""),"Dansco")</f>
        <v>Dansco</v>
      </c>
      <c r="F785" s="63">
        <f>IFERROR(__xludf.DUMMYFUNCTION("""COMPUTED_VALUE"""),40793.9138888889)</f>
        <v>40793.91389</v>
      </c>
    </row>
    <row r="786">
      <c r="A786" s="59" t="str">
        <f>IFERROR(__xludf.DUMMYFUNCTION("""COMPUTED_VALUE"""),"X2 10/11")</f>
        <v>X2 10/11</v>
      </c>
      <c r="B786" s="60"/>
      <c r="C786" s="61" t="str">
        <f>IFERROR(__xludf.DUMMYFUNCTION("""COMPUTED_VALUE"""),"Yes")</f>
        <v>Yes</v>
      </c>
      <c r="D786" s="62" t="str">
        <f>IFERROR(__xludf.DUMMYFUNCTION("""COMPUTED_VALUE"""),"Base → Full")</f>
        <v>Base → Full</v>
      </c>
      <c r="E786" s="61" t="str">
        <f>IFERROR(__xludf.DUMMYFUNCTION("""COMPUTED_VALUE"""),"Dansco")</f>
        <v>Dansco</v>
      </c>
      <c r="F786" s="63">
        <f>IFERROR(__xludf.DUMMYFUNCTION("""COMPUTED_VALUE"""),40793.9138888889)</f>
        <v>40793.91389</v>
      </c>
    </row>
    <row r="787">
      <c r="A787" s="59" t="str">
        <f>IFERROR(__xludf.DUMMYFUNCTION("""COMPUTED_VALUE"""),"zaTelnet")</f>
        <v>zaTelnet</v>
      </c>
      <c r="B787" s="60"/>
      <c r="C787" s="61" t="str">
        <f>IFERROR(__xludf.DUMMYFUNCTION("""COMPUTED_VALUE"""),"Yes")</f>
        <v>Yes</v>
      </c>
      <c r="D787" s="62" t="str">
        <f>IFERROR(__xludf.DUMMYFUNCTION("""COMPUTED_VALUE"""),"Requires password. Use at own risk.")</f>
        <v>Requires password. Use at own risk.</v>
      </c>
      <c r="E787" s="61" t="str">
        <f>IFERROR(__xludf.DUMMYFUNCTION("""COMPUTED_VALUE"""),"Dansco")</f>
        <v>Dansco</v>
      </c>
      <c r="F787" s="63">
        <f>IFERROR(__xludf.DUMMYFUNCTION("""COMPUTED_VALUE"""),40793.9138888889)</f>
        <v>40793.91389</v>
      </c>
    </row>
    <row r="788">
      <c r="A788" s="59" t="str">
        <f>IFERROR(__xludf.DUMMYFUNCTION("""COMPUTED_VALUE"""),"Echofon")</f>
        <v>Echofon</v>
      </c>
      <c r="B788" s="60"/>
      <c r="C788" s="61" t="str">
        <f>IFERROR(__xludf.DUMMYFUNCTION("""COMPUTED_VALUE"""),"Yes")</f>
        <v>Yes</v>
      </c>
      <c r="D788" s="62"/>
      <c r="E788" s="61" t="str">
        <f>IFERROR(__xludf.DUMMYFUNCTION("""COMPUTED_VALUE"""),"farhanito")</f>
        <v>farhanito</v>
      </c>
      <c r="F788" s="63">
        <f>IFERROR(__xludf.DUMMYFUNCTION("""COMPUTED_VALUE"""),40793.8013888889)</f>
        <v>40793.80139</v>
      </c>
    </row>
    <row r="789">
      <c r="A789" s="59" t="str">
        <f>IFERROR(__xludf.DUMMYFUNCTION("""COMPUTED_VALUE"""),"iScrobbler Pick and Mix")</f>
        <v>iScrobbler Pick and Mix</v>
      </c>
      <c r="B789" s="60"/>
      <c r="C789" s="61" t="str">
        <f>IFERROR(__xludf.DUMMYFUNCTION("""COMPUTED_VALUE"""),"Yes")</f>
        <v>Yes</v>
      </c>
      <c r="D789" s="62"/>
      <c r="E789" s="61" t="str">
        <f>IFERROR(__xludf.DUMMYFUNCTION("""COMPUTED_VALUE"""),"farhanito")</f>
        <v>farhanito</v>
      </c>
      <c r="F789" s="63">
        <f>IFERROR(__xludf.DUMMYFUNCTION("""COMPUTED_VALUE"""),40793.8013888889)</f>
        <v>40793.80139</v>
      </c>
    </row>
    <row r="790">
      <c r="A790" s="59" t="str">
        <f>IFERROR(__xludf.DUMMYFUNCTION("""COMPUTED_VALUE"""),"Talking Tom 2")</f>
        <v>Talking Tom 2</v>
      </c>
      <c r="B790" s="60"/>
      <c r="C790" s="61" t="str">
        <f>IFERROR(__xludf.DUMMYFUNCTION("""COMPUTED_VALUE"""),"Yes")</f>
        <v>Yes</v>
      </c>
      <c r="D790" s="62"/>
      <c r="E790" s="61" t="str">
        <f>IFERROR(__xludf.DUMMYFUNCTION("""COMPUTED_VALUE"""),"farhanito")</f>
        <v>farhanito</v>
      </c>
      <c r="F790" s="63">
        <f>IFERROR(__xludf.DUMMYFUNCTION("""COMPUTED_VALUE"""),40793.8013888889)</f>
        <v>40793.80139</v>
      </c>
    </row>
    <row r="791">
      <c r="A791" s="59" t="str">
        <f>IFERROR(__xludf.DUMMYFUNCTION("""COMPUTED_VALUE"""),"TweetAgora")</f>
        <v>TweetAgora</v>
      </c>
      <c r="B791" s="60"/>
      <c r="C791" s="61" t="str">
        <f>IFERROR(__xludf.DUMMYFUNCTION("""COMPUTED_VALUE"""),"Yes")</f>
        <v>Yes</v>
      </c>
      <c r="D791" s="62"/>
      <c r="E791" s="61" t="str">
        <f>IFERROR(__xludf.DUMMYFUNCTION("""COMPUTED_VALUE"""),"farhanito")</f>
        <v>farhanito</v>
      </c>
      <c r="F791" s="63">
        <f>IFERROR(__xludf.DUMMYFUNCTION("""COMPUTED_VALUE"""),40793.8013888889)</f>
        <v>40793.80139</v>
      </c>
    </row>
    <row r="792">
      <c r="A792" s="59" t="str">
        <f>IFERROR(__xludf.DUMMYFUNCTION("""COMPUTED_VALUE"""),"Photoshop Express")</f>
        <v>Photoshop Express</v>
      </c>
      <c r="B792" s="60"/>
      <c r="C792" s="61" t="str">
        <f>IFERROR(__xludf.DUMMYFUNCTION("""COMPUTED_VALUE"""),"Yes")</f>
        <v>Yes</v>
      </c>
      <c r="D792" s="62"/>
      <c r="E792" s="61" t="str">
        <f>IFERROR(__xludf.DUMMYFUNCTION("""COMPUTED_VALUE"""),"fbloise")</f>
        <v>fbloise</v>
      </c>
      <c r="F792" s="63">
        <f>IFERROR(__xludf.DUMMYFUNCTION("""COMPUTED_VALUE"""),40793.7888888889)</f>
        <v>40793.78889</v>
      </c>
    </row>
    <row r="793">
      <c r="A793" s="59" t="str">
        <f>IFERROR(__xludf.DUMMYFUNCTION("""COMPUTED_VALUE"""),"Talkatone")</f>
        <v>Talkatone</v>
      </c>
      <c r="B793" s="60"/>
      <c r="C793" s="61" t="str">
        <f>IFERROR(__xludf.DUMMYFUNCTION("""COMPUTED_VALUE"""),"Yes")</f>
        <v>Yes</v>
      </c>
      <c r="D793" s="62" t="str">
        <f>IFERROR(__xludf.DUMMYFUNCTION("""COMPUTED_VALUE"""),"no ads &amp; better voice codec pack")</f>
        <v>no ads &amp; better voice codec pack</v>
      </c>
      <c r="E793" s="61" t="str">
        <f>IFERROR(__xludf.DUMMYFUNCTION("""COMPUTED_VALUE"""),"fbloise")</f>
        <v>fbloise</v>
      </c>
      <c r="F793" s="63">
        <f>IFERROR(__xludf.DUMMYFUNCTION("""COMPUTED_VALUE"""),40793.7888888889)</f>
        <v>40793.78889</v>
      </c>
    </row>
    <row r="794">
      <c r="A794" s="59" t="str">
        <f>IFERROR(__xludf.DUMMYFUNCTION("""COMPUTED_VALUE"""),"Vtok")</f>
        <v>Vtok</v>
      </c>
      <c r="B794" s="60"/>
      <c r="C794" s="61" t="str">
        <f>IFERROR(__xludf.DUMMYFUNCTION("""COMPUTED_VALUE"""),"Yes")</f>
        <v>Yes</v>
      </c>
      <c r="D794" s="62"/>
      <c r="E794" s="61" t="str">
        <f>IFERROR(__xludf.DUMMYFUNCTION("""COMPUTED_VALUE"""),"fbloise")</f>
        <v>fbloise</v>
      </c>
      <c r="F794" s="63">
        <f>IFERROR(__xludf.DUMMYFUNCTION("""COMPUTED_VALUE"""),40793.7888888889)</f>
        <v>40793.78889</v>
      </c>
    </row>
    <row r="795">
      <c r="A795" s="59" t="str">
        <f>IFERROR(__xludf.DUMMYFUNCTION("""COMPUTED_VALUE"""),"Destructopus")</f>
        <v>Destructopus</v>
      </c>
      <c r="B795" s="60"/>
      <c r="C795" s="61" t="str">
        <f>IFERROR(__xludf.DUMMYFUNCTION("""COMPUTED_VALUE"""),"Yes")</f>
        <v>Yes</v>
      </c>
      <c r="D795" s="62"/>
      <c r="E795" s="61" t="str">
        <f>IFERROR(__xludf.DUMMYFUNCTION("""COMPUTED_VALUE"""),"Nathan_infinity")</f>
        <v>Nathan_infinity</v>
      </c>
      <c r="F795" s="63">
        <f>IFERROR(__xludf.DUMMYFUNCTION("""COMPUTED_VALUE"""),40793.7743055556)</f>
        <v>40793.77431</v>
      </c>
    </row>
    <row r="796">
      <c r="A796" s="59" t="str">
        <f>IFERROR(__xludf.DUMMYFUNCTION("""COMPUTED_VALUE"""),"Ancient War")</f>
        <v>Ancient War</v>
      </c>
      <c r="B796" s="60"/>
      <c r="C796" s="61" t="str">
        <f>IFERROR(__xludf.DUMMYFUNCTION("""COMPUTED_VALUE"""),"Yes")</f>
        <v>Yes</v>
      </c>
      <c r="D796" s="62"/>
      <c r="E796" s="61" t="str">
        <f>IFERROR(__xludf.DUMMYFUNCTION("""COMPUTED_VALUE"""),"mytich")</f>
        <v>mytich</v>
      </c>
      <c r="F796" s="63">
        <f>IFERROR(__xludf.DUMMYFUNCTION("""COMPUTED_VALUE"""),40793.7604166667)</f>
        <v>40793.76042</v>
      </c>
    </row>
    <row r="797">
      <c r="A797" s="59" t="str">
        <f>IFERROR(__xludf.DUMMYFUNCTION("""COMPUTED_VALUE"""),"Hungry Shark (series)")</f>
        <v>Hungry Shark (series)</v>
      </c>
      <c r="B797" s="60"/>
      <c r="C797" s="61" t="str">
        <f>IFERROR(__xludf.DUMMYFUNCTION("""COMPUTED_VALUE"""),"Yes")</f>
        <v>Yes</v>
      </c>
      <c r="D797" s="62"/>
      <c r="E797" s="61" t="str">
        <f>IFERROR(__xludf.DUMMYFUNCTION("""COMPUTED_VALUE"""),"mytich")</f>
        <v>mytich</v>
      </c>
      <c r="F797" s="63">
        <f>IFERROR(__xludf.DUMMYFUNCTION("""COMPUTED_VALUE"""),40793.7604166667)</f>
        <v>40793.76042</v>
      </c>
    </row>
    <row r="798">
      <c r="A798" s="59" t="str">
        <f>IFERROR(__xludf.DUMMYFUNCTION("""COMPUTED_VALUE"""),"iDestroy")</f>
        <v>iDestroy</v>
      </c>
      <c r="B798" s="60"/>
      <c r="C798" s="61" t="str">
        <f>IFERROR(__xludf.DUMMYFUNCTION("""COMPUTED_VALUE"""),"Yes")</f>
        <v>Yes</v>
      </c>
      <c r="D798" s="62"/>
      <c r="E798" s="61" t="str">
        <f>IFERROR(__xludf.DUMMYFUNCTION("""COMPUTED_VALUE"""),"mytich")</f>
        <v>mytich</v>
      </c>
      <c r="F798" s="63">
        <f>IFERROR(__xludf.DUMMYFUNCTION("""COMPUTED_VALUE"""),40793.7604166667)</f>
        <v>40793.76042</v>
      </c>
    </row>
    <row r="799">
      <c r="A799" s="59" t="str">
        <f>IFERROR(__xludf.DUMMYFUNCTION("""COMPUTED_VALUE"""),"Mushroom Cannon")</f>
        <v>Mushroom Cannon</v>
      </c>
      <c r="B799" s="60"/>
      <c r="C799" s="61" t="str">
        <f>IFERROR(__xludf.DUMMYFUNCTION("""COMPUTED_VALUE"""),"Yes")</f>
        <v>Yes</v>
      </c>
      <c r="D799" s="62"/>
      <c r="E799" s="61" t="str">
        <f>IFERROR(__xludf.DUMMYFUNCTION("""COMPUTED_VALUE"""),"mytich")</f>
        <v>mytich</v>
      </c>
      <c r="F799" s="63">
        <f>IFERROR(__xludf.DUMMYFUNCTION("""COMPUTED_VALUE"""),40793.7604166667)</f>
        <v>40793.76042</v>
      </c>
    </row>
    <row r="800">
      <c r="A800" s="59" t="str">
        <f>IFERROR(__xludf.DUMMYFUNCTION("""COMPUTED_VALUE"""),"Coin Pirates")</f>
        <v>Coin Pirates</v>
      </c>
      <c r="B800" s="60"/>
      <c r="C800" s="61" t="str">
        <f>IFERROR(__xludf.DUMMYFUNCTION("""COMPUTED_VALUE"""),"Yes")</f>
        <v>Yes</v>
      </c>
      <c r="D800" s="62"/>
      <c r="E800" s="61" t="str">
        <f>IFERROR(__xludf.DUMMYFUNCTION("""COMPUTED_VALUE"""),"Kets")</f>
        <v>Kets</v>
      </c>
      <c r="F800" s="63">
        <f>IFERROR(__xludf.DUMMYFUNCTION("""COMPUTED_VALUE"""),40793.6236111111)</f>
        <v>40793.62361</v>
      </c>
    </row>
    <row r="801">
      <c r="A801" s="59" t="str">
        <f>IFERROR(__xludf.DUMMYFUNCTION("""COMPUTED_VALUE"""),"Army of Darkness Defense")</f>
        <v>Army of Darkness Defense</v>
      </c>
      <c r="B801" s="60"/>
      <c r="C801" s="61" t="str">
        <f>IFERROR(__xludf.DUMMYFUNCTION("""COMPUTED_VALUE"""),"Yes")</f>
        <v>Yes</v>
      </c>
      <c r="D801" s="62"/>
      <c r="E801" s="61" t="str">
        <f>IFERROR(__xludf.DUMMYFUNCTION("""COMPUTED_VALUE"""),"YoonaIsCute")</f>
        <v>YoonaIsCute</v>
      </c>
      <c r="F801" s="63">
        <f>IFERROR(__xludf.DUMMYFUNCTION("""COMPUTED_VALUE"""),40793.4569444444)</f>
        <v>40793.45694</v>
      </c>
    </row>
    <row r="802">
      <c r="A802" s="59" t="str">
        <f>IFERROR(__xludf.DUMMYFUNCTION("""COMPUTED_VALUE"""),"Diner Dash")</f>
        <v>Diner Dash</v>
      </c>
      <c r="B802" s="60"/>
      <c r="C802" s="61" t="str">
        <f>IFERROR(__xludf.DUMMYFUNCTION("""COMPUTED_VALUE"""),"Yes")</f>
        <v>Yes</v>
      </c>
      <c r="D802" s="62"/>
      <c r="E802" s="61" t="str">
        <f>IFERROR(__xludf.DUMMYFUNCTION("""COMPUTED_VALUE"""),"YoonaIsCute")</f>
        <v>YoonaIsCute</v>
      </c>
      <c r="F802" s="63">
        <f>IFERROR(__xludf.DUMMYFUNCTION("""COMPUTED_VALUE"""),40793.4569444444)</f>
        <v>40793.45694</v>
      </c>
    </row>
    <row r="803">
      <c r="A803" s="59" t="str">
        <f>IFERROR(__xludf.DUMMYFUNCTION("""COMPUTED_VALUE"""),"Angry Zombies")</f>
        <v>Angry Zombies</v>
      </c>
      <c r="B803" s="60"/>
      <c r="C803" s="61" t="str">
        <f>IFERROR(__xludf.DUMMYFUNCTION("""COMPUTED_VALUE"""),"Yes")</f>
        <v>Yes</v>
      </c>
      <c r="D803" s="62" t="str">
        <f>IFERROR(__xludf.DUMMYFUNCTION("""COMPUTED_VALUE"""),"Bones and money
")</f>
        <v>Bones and money
</v>
      </c>
      <c r="E803" s="61" t="str">
        <f>IFERROR(__xludf.DUMMYFUNCTION("""COMPUTED_VALUE"""),"mytich")</f>
        <v>mytich</v>
      </c>
      <c r="F803" s="63">
        <f>IFERROR(__xludf.DUMMYFUNCTION("""COMPUTED_VALUE"""),40793.0)</f>
        <v>40793</v>
      </c>
    </row>
    <row r="804">
      <c r="A804" s="59" t="str">
        <f>IFERROR(__xludf.DUMMYFUNCTION("""COMPUTED_VALUE"""),"AurumBlade")</f>
        <v>AurumBlade</v>
      </c>
      <c r="B804" s="60" t="str">
        <f>IFERROR(__xludf.DUMMYFUNCTION("""COMPUTED_VALUE"""),"1.0.4")</f>
        <v>1.0.4</v>
      </c>
      <c r="C804" s="61" t="str">
        <f>IFERROR(__xludf.DUMMYFUNCTION("""COMPUTED_VALUE"""),"Yes")</f>
        <v>Yes</v>
      </c>
      <c r="D804" s="62" t="str">
        <f>IFERROR(__xludf.DUMMYFUNCTION("""COMPUTED_VALUE"""),"Gem shop works but you cannot exceed 1000 gems")</f>
        <v>Gem shop works but you cannot exceed 1000 gems</v>
      </c>
      <c r="E804" s="61" t="str">
        <f>IFERROR(__xludf.DUMMYFUNCTION("""COMPUTED_VALUE"""),"Jason")</f>
        <v>Jason</v>
      </c>
      <c r="F804" s="63">
        <f>IFERROR(__xludf.DUMMYFUNCTION("""COMPUTED_VALUE"""),40793.0)</f>
        <v>40793</v>
      </c>
    </row>
    <row r="805">
      <c r="A805" s="59" t="str">
        <f>IFERROR(__xludf.DUMMYFUNCTION("""COMPUTED_VALUE"""),"CineXPlayer")</f>
        <v>CineXPlayer</v>
      </c>
      <c r="B805" s="60"/>
      <c r="C805" s="61" t="str">
        <f>IFERROR(__xludf.DUMMYFUNCTION("""COMPUTED_VALUE"""),"Yes")</f>
        <v>Yes</v>
      </c>
      <c r="D805" s="62"/>
      <c r="E805" s="61" t="str">
        <f>IFERROR(__xludf.DUMMYFUNCTION("""COMPUTED_VALUE"""),"fbloise")</f>
        <v>fbloise</v>
      </c>
      <c r="F805" s="63">
        <f>IFERROR(__xludf.DUMMYFUNCTION("""COMPUTED_VALUE"""),40793.0)</f>
        <v>40793</v>
      </c>
    </row>
    <row r="806">
      <c r="A806" s="59" t="str">
        <f>IFERROR(__xludf.DUMMYFUNCTION("""COMPUTED_VALUE"""),"GTA : Chinatown Lite ")</f>
        <v>GTA : Chinatown Lite </v>
      </c>
      <c r="B806" s="60"/>
      <c r="C806" s="61" t="str">
        <f>IFERROR(__xludf.DUMMYFUNCTION("""COMPUTED_VALUE"""),"Yes")</f>
        <v>Yes</v>
      </c>
      <c r="D806" s="62" t="str">
        <f>IFERROR(__xludf.DUMMYFUNCTION("""COMPUTED_VALUE"""),"Converted to full version via iAP but needed password. No credit or card linked and it worked. Use at OWN risk")</f>
        <v>Converted to full version via iAP but needed password. No credit or card linked and it worked. Use at OWN risk</v>
      </c>
      <c r="E806" s="61" t="str">
        <f>IFERROR(__xludf.DUMMYFUNCTION("""COMPUTED_VALUE"""),"Dansco")</f>
        <v>Dansco</v>
      </c>
      <c r="F806" s="63">
        <f>IFERROR(__xludf.DUMMYFUNCTION("""COMPUTED_VALUE"""),40793.0)</f>
        <v>40793</v>
      </c>
    </row>
    <row r="807">
      <c r="A807" s="59" t="str">
        <f>IFERROR(__xludf.DUMMYFUNCTION("""COMPUTED_VALUE"""),"My Eyes Only Pro")</f>
        <v>My Eyes Only Pro</v>
      </c>
      <c r="B807" s="60"/>
      <c r="C807" s="61" t="str">
        <f>IFERROR(__xludf.DUMMYFUNCTION("""COMPUTED_VALUE"""),"Yes")</f>
        <v>Yes</v>
      </c>
      <c r="D807" s="62"/>
      <c r="E807" s="61" t="str">
        <f>IFERROR(__xludf.DUMMYFUNCTION("""COMPUTED_VALUE"""),"Dansco")</f>
        <v>Dansco</v>
      </c>
      <c r="F807" s="63">
        <f>IFERROR(__xludf.DUMMYFUNCTION("""COMPUTED_VALUE"""),40793.0)</f>
        <v>40793</v>
      </c>
    </row>
    <row r="808">
      <c r="A808" s="59" t="str">
        <f>IFERROR(__xludf.DUMMYFUNCTION("""COMPUTED_VALUE"""),"Office2 Plus")</f>
        <v>Office2 Plus</v>
      </c>
      <c r="B808" s="60"/>
      <c r="C808" s="61" t="str">
        <f>IFERROR(__xludf.DUMMYFUNCTION("""COMPUTED_VALUE"""),"Yes")</f>
        <v>Yes</v>
      </c>
      <c r="D808" s="62"/>
      <c r="E808" s="61" t="str">
        <f>IFERROR(__xludf.DUMMYFUNCTION("""COMPUTED_VALUE"""),"Dansco")</f>
        <v>Dansco</v>
      </c>
      <c r="F808" s="63">
        <f>IFERROR(__xludf.DUMMYFUNCTION("""COMPUTED_VALUE"""),40793.0)</f>
        <v>40793</v>
      </c>
    </row>
    <row r="809">
      <c r="A809" s="59" t="str">
        <f>IFERROR(__xludf.DUMMYFUNCTION("""COMPUTED_VALUE"""),"The Creeps")</f>
        <v>The Creeps</v>
      </c>
      <c r="B809" s="60"/>
      <c r="C809" s="61" t="str">
        <f>IFERROR(__xludf.DUMMYFUNCTION("""COMPUTED_VALUE"""),"Yes")</f>
        <v>Yes</v>
      </c>
      <c r="D809" s="62"/>
      <c r="E809" s="61" t="str">
        <f>IFERROR(__xludf.DUMMYFUNCTION("""COMPUTED_VALUE"""),"farhanito")</f>
        <v>farhanito</v>
      </c>
      <c r="F809" s="63">
        <f>IFERROR(__xludf.DUMMYFUNCTION("""COMPUTED_VALUE"""),40793.0)</f>
        <v>40793</v>
      </c>
    </row>
    <row r="810">
      <c r="A810" s="59" t="str">
        <f>IFERROR(__xludf.DUMMYFUNCTION("""COMPUTED_VALUE"""),"Tiny Tower")</f>
        <v>Tiny Tower</v>
      </c>
      <c r="B810" s="60"/>
      <c r="C810" s="61" t="str">
        <f>IFERROR(__xludf.DUMMYFUNCTION("""COMPUTED_VALUE"""),"Yes")</f>
        <v>Yes</v>
      </c>
      <c r="D810" s="62" t="str">
        <f>IFERROR(__xludf.DUMMYFUNCTION("""COMPUTED_VALUE"""),"Takes a while")</f>
        <v>Takes a while</v>
      </c>
      <c r="E810" s="61" t="str">
        <f>IFERROR(__xludf.DUMMYFUNCTION("""COMPUTED_VALUE"""),"SuicidalBuNY")</f>
        <v>SuicidalBuNY</v>
      </c>
      <c r="F810" s="63">
        <f>IFERROR(__xludf.DUMMYFUNCTION("""COMPUTED_VALUE"""),40793.0)</f>
        <v>40793</v>
      </c>
    </row>
    <row r="811">
      <c r="A811" s="59" t="str">
        <f>IFERROR(__xludf.DUMMYFUNCTION("""COMPUTED_VALUE"""),"NetStat")</f>
        <v>NetStat</v>
      </c>
      <c r="B811" s="60"/>
      <c r="C811" s="61" t="str">
        <f>IFERROR(__xludf.DUMMYFUNCTION("""COMPUTED_VALUE"""),"Yes")</f>
        <v>Yes</v>
      </c>
      <c r="D811" s="62"/>
      <c r="E811" s="61" t="str">
        <f>IFERROR(__xludf.DUMMYFUNCTION("""COMPUTED_VALUE"""),"Kaydin")</f>
        <v>Kaydin</v>
      </c>
      <c r="F811" s="63">
        <f>IFERROR(__xludf.DUMMYFUNCTION("""COMPUTED_VALUE"""),40792.7847222222)</f>
        <v>40792.78472</v>
      </c>
    </row>
    <row r="812">
      <c r="A812" s="59" t="str">
        <f>IFERROR(__xludf.DUMMYFUNCTION("""COMPUTED_VALUE"""),"BeejiveIM for Facebook")</f>
        <v>BeejiveIM for Facebook</v>
      </c>
      <c r="B812" s="60"/>
      <c r="C812" s="61" t="str">
        <f>IFERROR(__xludf.DUMMYFUNCTION("""COMPUTED_VALUE"""),"Yes")</f>
        <v>Yes</v>
      </c>
      <c r="D812" s="62"/>
      <c r="E812" s="61" t="str">
        <f>IFERROR(__xludf.DUMMYFUNCTION("""COMPUTED_VALUE"""),"Kaydin")</f>
        <v>Kaydin</v>
      </c>
      <c r="F812" s="63">
        <f>IFERROR(__xludf.DUMMYFUNCTION("""COMPUTED_VALUE"""),40792.0)</f>
        <v>40792</v>
      </c>
    </row>
    <row r="813">
      <c r="A813" s="59" t="str">
        <f>IFERROR(__xludf.DUMMYFUNCTION("""COMPUTED_VALUE"""),"HeyTell")</f>
        <v>HeyTell</v>
      </c>
      <c r="B813" s="60"/>
      <c r="C813" s="61" t="str">
        <f>IFERROR(__xludf.DUMMYFUNCTION("""COMPUTED_VALUE"""),"Yes")</f>
        <v>Yes</v>
      </c>
      <c r="D813" s="62"/>
      <c r="E813" s="61" t="str">
        <f>IFERROR(__xludf.DUMMYFUNCTION("""COMPUTED_VALUE"""),"vinaygoel2000 ")</f>
        <v>vinaygoel2000 </v>
      </c>
      <c r="F813" s="63">
        <f>IFERROR(__xludf.DUMMYFUNCTION("""COMPUTED_VALUE"""),40792.0)</f>
        <v>40792</v>
      </c>
    </row>
    <row r="814">
      <c r="A814" s="59" t="str">
        <f>IFERROR(__xludf.DUMMYFUNCTION("""COMPUTED_VALUE"""),"Doodle Cam")</f>
        <v>Doodle Cam</v>
      </c>
      <c r="B814" s="60"/>
      <c r="C814" s="61" t="str">
        <f>IFERROR(__xludf.DUMMYFUNCTION("""COMPUTED_VALUE"""),"Yes")</f>
        <v>Yes</v>
      </c>
      <c r="D814" s="62"/>
      <c r="E814" s="61" t="str">
        <f>IFERROR(__xludf.DUMMYFUNCTION("""COMPUTED_VALUE"""),"Persephone")</f>
        <v>Persephone</v>
      </c>
      <c r="F814" s="63">
        <f>IFERROR(__xludf.DUMMYFUNCTION("""COMPUTED_VALUE"""),40780.0)</f>
        <v>40780</v>
      </c>
    </row>
    <row r="815">
      <c r="A815" s="59" t="str">
        <f>IFERROR(__xludf.DUMMYFUNCTION("""COMPUTED_VALUE"""),"Maps+")</f>
        <v>Maps+</v>
      </c>
      <c r="B815" s="60"/>
      <c r="C815" s="61" t="str">
        <f>IFERROR(__xludf.DUMMYFUNCTION("""COMPUTED_VALUE"""),"Yes")</f>
        <v>Yes</v>
      </c>
      <c r="D815" s="62"/>
      <c r="E815" s="61" t="str">
        <f>IFERROR(__xludf.DUMMYFUNCTION("""COMPUTED_VALUE"""),"fbloise")</f>
        <v>fbloise</v>
      </c>
      <c r="F815" s="63">
        <f>IFERROR(__xludf.DUMMYFUNCTION("""COMPUTED_VALUE"""),40771.0)</f>
        <v>40771</v>
      </c>
    </row>
    <row r="816">
      <c r="A816" s="59" t="str">
        <f>IFERROR(__xludf.DUMMYFUNCTION("""COMPUTED_VALUE"""),"90°")</f>
        <v>90°</v>
      </c>
      <c r="B816" s="60"/>
      <c r="C816" s="61" t="str">
        <f>IFERROR(__xludf.DUMMYFUNCTION("""COMPUTED_VALUE"""),"Yes")</f>
        <v>Yes</v>
      </c>
      <c r="D816" s="62" t="str">
        <f>IFERROR(__xludf.DUMMYFUNCTION("""COMPUTED_VALUE"""),"Store purchases work")</f>
        <v>Store purchases work</v>
      </c>
      <c r="E816" s="61" t="str">
        <f>IFERROR(__xludf.DUMMYFUNCTION("""COMPUTED_VALUE"""),"Persephone")</f>
        <v>Persephone</v>
      </c>
      <c r="F816" s="41"/>
    </row>
    <row r="817">
      <c r="A817" s="59" t="str">
        <f>IFERROR(__xludf.DUMMYFUNCTION("""COMPUTED_VALUE"""),"Action Bowling Free")</f>
        <v>Action Bowling Free</v>
      </c>
      <c r="B817" s="60"/>
      <c r="C817" s="61" t="str">
        <f>IFERROR(__xludf.DUMMYFUNCTION("""COMPUTED_VALUE"""),"Yes")</f>
        <v>Yes</v>
      </c>
      <c r="D817" s="62" t="str">
        <f>IFERROR(__xludf.DUMMYFUNCTION("""COMPUTED_VALUE"""),"Can buy everything from the Pro Shop")</f>
        <v>Can buy everything from the Pro Shop</v>
      </c>
      <c r="E817" s="61" t="str">
        <f>IFERROR(__xludf.DUMMYFUNCTION("""COMPUTED_VALUE"""),"Me@HotMaiL")</f>
        <v>Me@HotMaiL</v>
      </c>
      <c r="F817" s="41"/>
    </row>
    <row r="818">
      <c r="A818" s="59" t="str">
        <f>IFERROR(__xludf.DUMMYFUNCTION("""COMPUTED_VALUE"""),"Alert! Safety Boom!")</f>
        <v>Alert! Safety Boom!</v>
      </c>
      <c r="B818" s="60"/>
      <c r="C818" s="61" t="str">
        <f>IFERROR(__xludf.DUMMYFUNCTION("""COMPUTED_VALUE"""),"Yes")</f>
        <v>Yes</v>
      </c>
      <c r="D818" s="62"/>
      <c r="E818" s="61"/>
      <c r="F818" s="41"/>
    </row>
    <row r="819">
      <c r="A819" s="59" t="str">
        <f>IFERROR(__xludf.DUMMYFUNCTION("""COMPUTED_VALUE"""),"AmpliTube")</f>
        <v>AmpliTube</v>
      </c>
      <c r="B819" s="60"/>
      <c r="C819" s="61" t="str">
        <f>IFERROR(__xludf.DUMMYFUNCTION("""COMPUTED_VALUE"""),"Yes")</f>
        <v>Yes</v>
      </c>
      <c r="D819" s="62" t="str">
        <f>IFERROR(__xludf.DUMMYFUNCTION("""COMPUTED_VALUE"""),"Buy any effect")</f>
        <v>Buy any effect</v>
      </c>
      <c r="E819" s="61"/>
      <c r="F819" s="41"/>
    </row>
    <row r="820">
      <c r="A820" s="59" t="str">
        <f>IFERROR(__xludf.DUMMYFUNCTION("""COMPUTED_VALUE"""),"Amplitube Fender")</f>
        <v>Amplitube Fender</v>
      </c>
      <c r="B820" s="60"/>
      <c r="C820" s="61" t="str">
        <f>IFERROR(__xludf.DUMMYFUNCTION("""COMPUTED_VALUE"""),"Yes")</f>
        <v>Yes</v>
      </c>
      <c r="D820" s="62"/>
      <c r="E820" s="61"/>
      <c r="F820" s="41"/>
    </row>
    <row r="821">
      <c r="A821" s="59" t="str">
        <f>IFERROR(__xludf.DUMMYFUNCTION("""COMPUTED_VALUE"""),"Ancient War 2")</f>
        <v>Ancient War 2</v>
      </c>
      <c r="B821" s="60"/>
      <c r="C821" s="61" t="str">
        <f>IFERROR(__xludf.DUMMYFUNCTION("""COMPUTED_VALUE"""),"Yes")</f>
        <v>Yes</v>
      </c>
      <c r="D821" s="62" t="str">
        <f>IFERROR(__xludf.DUMMYFUNCTION("""COMPUTED_VALUE"""),"Takes a while to credit the gems.")</f>
        <v>Takes a while to credit the gems.</v>
      </c>
      <c r="E821" s="61"/>
      <c r="F821" s="41"/>
    </row>
    <row r="822">
      <c r="A822" s="59" t="str">
        <f>IFERROR(__xludf.DUMMYFUNCTION("""COMPUTED_VALUE"""),"Animal Chess 2")</f>
        <v>Animal Chess 2</v>
      </c>
      <c r="B822" s="60"/>
      <c r="C822" s="61" t="str">
        <f>IFERROR(__xludf.DUMMYFUNCTION("""COMPUTED_VALUE"""),"Yes")</f>
        <v>Yes</v>
      </c>
      <c r="D822" s="62"/>
      <c r="E822" s="61"/>
      <c r="F822" s="41"/>
    </row>
    <row r="823">
      <c r="A823" s="59" t="str">
        <f>IFERROR(__xludf.DUMMYFUNCTION("""COMPUTED_VALUE"""),"Baby Madness")</f>
        <v>Baby Madness</v>
      </c>
      <c r="B823" s="60"/>
      <c r="C823" s="61" t="str">
        <f>IFERROR(__xludf.DUMMYFUNCTION("""COMPUTED_VALUE"""),"Yes")</f>
        <v>Yes</v>
      </c>
      <c r="D823" s="62"/>
      <c r="E823" s="61"/>
      <c r="F823" s="41"/>
    </row>
    <row r="824">
      <c r="A824" s="59" t="str">
        <f>IFERROR(__xludf.DUMMYFUNCTION("""COMPUTED_VALUE"""),"Batman Arkham City Lockdown")</f>
        <v>Batman Arkham City Lockdown</v>
      </c>
      <c r="B824" s="60">
        <f>IFERROR(__xludf.DUMMYFUNCTION("""COMPUTED_VALUE"""),1.1)</f>
        <v>1.1</v>
      </c>
      <c r="C824" s="61" t="str">
        <f>IFERROR(__xludf.DUMMYFUNCTION("""COMPUTED_VALUE"""),"Yes")</f>
        <v>Yes</v>
      </c>
      <c r="D824" s="62" t="str">
        <f>IFERROR(__xludf.DUMMYFUNCTION("""COMPUTED_VALUE"""),"All purchases can be made in cracked version.  Need internet connection to do so")</f>
        <v>All purchases can be made in cracked version.  Need internet connection to do so</v>
      </c>
      <c r="E824" s="61"/>
      <c r="F824" s="41"/>
    </row>
    <row r="825">
      <c r="A825" s="59" t="str">
        <f>IFERROR(__xludf.DUMMYFUNCTION("""COMPUTED_VALUE"""),"Battleground")</f>
        <v>Battleground</v>
      </c>
      <c r="B825" s="60"/>
      <c r="C825" s="61" t="str">
        <f>IFERROR(__xludf.DUMMYFUNCTION("""COMPUTED_VALUE"""),"Yes")</f>
        <v>Yes</v>
      </c>
      <c r="D825" s="62"/>
      <c r="E825" s="61"/>
      <c r="F825" s="41"/>
    </row>
    <row r="826">
      <c r="A826" s="59" t="str">
        <f>IFERROR(__xludf.DUMMYFUNCTION("""COMPUTED_VALUE"""),"Bird Zapper!")</f>
        <v>Bird Zapper!</v>
      </c>
      <c r="B826" s="60"/>
      <c r="C826" s="61" t="str">
        <f>IFERROR(__xludf.DUMMYFUNCTION("""COMPUTED_VALUE"""),"Yes")</f>
        <v>Yes</v>
      </c>
      <c r="D826" s="62" t="str">
        <f>IFERROR(__xludf.DUMMYFUNCTION("""COMPUTED_VALUE"""),"Can buy all battery charge")</f>
        <v>Can buy all battery charge</v>
      </c>
      <c r="E826" s="61"/>
      <c r="F826" s="41"/>
    </row>
    <row r="827">
      <c r="A827" s="59" t="str">
        <f>IFERROR(__xludf.DUMMYFUNCTION("""COMPUTED_VALUE"""),"Blobster")</f>
        <v>Blobster</v>
      </c>
      <c r="B827" s="60"/>
      <c r="C827" s="61" t="str">
        <f>IFERROR(__xludf.DUMMYFUNCTION("""COMPUTED_VALUE"""),"Yes")</f>
        <v>Yes</v>
      </c>
      <c r="D827" s="62"/>
      <c r="E827" s="61" t="str">
        <f>IFERROR(__xludf.DUMMYFUNCTION("""COMPUTED_VALUE"""),"luudaigiang")</f>
        <v>luudaigiang</v>
      </c>
      <c r="F827" s="41"/>
    </row>
    <row r="828">
      <c r="A828" s="59" t="str">
        <f>IFERROR(__xludf.DUMMYFUNCTION("""COMPUTED_VALUE"""),"Braveheart")</f>
        <v>Braveheart</v>
      </c>
      <c r="B828" s="60"/>
      <c r="C828" s="61" t="str">
        <f>IFERROR(__xludf.DUMMYFUNCTION("""COMPUTED_VALUE"""),"Yes")</f>
        <v>Yes</v>
      </c>
      <c r="D828" s="62" t="str">
        <f>IFERROR(__xludf.DUMMYFUNCTION("""COMPUTED_VALUE"""),"Unlocks the new content also able to purchase gold and boost gold drop rate")</f>
        <v>Unlocks the new content also able to purchase gold and boost gold drop rate</v>
      </c>
      <c r="E828" s="61"/>
      <c r="F828" s="41"/>
    </row>
    <row r="829">
      <c r="A829" s="59" t="str">
        <f>IFERROR(__xludf.DUMMYFUNCTION("""COMPUTED_VALUE"""),"Celeb Me")</f>
        <v>Celeb Me</v>
      </c>
      <c r="B829" s="60"/>
      <c r="C829" s="61" t="str">
        <f>IFERROR(__xludf.DUMMYFUNCTION("""COMPUTED_VALUE"""),"Yes")</f>
        <v>Yes</v>
      </c>
      <c r="D829" s="62"/>
      <c r="E829" s="61" t="str">
        <f>IFERROR(__xludf.DUMMYFUNCTION("""COMPUTED_VALUE"""),"zus")</f>
        <v>zus</v>
      </c>
      <c r="F829" s="41"/>
    </row>
    <row r="830">
      <c r="A830" s="59" t="str">
        <f>IFERROR(__xludf.DUMMYFUNCTION("""COMPUTED_VALUE"""),"City Guide")</f>
        <v>City Guide</v>
      </c>
      <c r="B830" s="60"/>
      <c r="C830" s="61" t="str">
        <f>IFERROR(__xludf.DUMMYFUNCTION("""COMPUTED_VALUE"""),"Yes")</f>
        <v>Yes</v>
      </c>
      <c r="D830" s="62" t="str">
        <f>IFERROR(__xludf.DUMMYFUNCTION("""COMPUTED_VALUE"""),"All maps")</f>
        <v>All maps</v>
      </c>
      <c r="E830" s="61" t="str">
        <f>IFERROR(__xludf.DUMMYFUNCTION("""COMPUTED_VALUE"""),"sergjjj")</f>
        <v>sergjjj</v>
      </c>
      <c r="F830" s="41"/>
    </row>
    <row r="831">
      <c r="A831" s="59" t="str">
        <f>IFERROR(__xludf.DUMMYFUNCTION("""COMPUTED_VALUE"""),"coinDatabase")</f>
        <v>coinDatabase</v>
      </c>
      <c r="B831" s="60"/>
      <c r="C831" s="61" t="str">
        <f>IFERROR(__xludf.DUMMYFUNCTION("""COMPUTED_VALUE"""),"Yes")</f>
        <v>Yes</v>
      </c>
      <c r="D831" s="62"/>
      <c r="E831" s="61"/>
      <c r="F831" s="41"/>
    </row>
    <row r="832">
      <c r="A832" s="59" t="str">
        <f>IFERROR(__xludf.DUMMYFUNCTION("""COMPUTED_VALUE"""),"Contract Killer")</f>
        <v>Contract Killer</v>
      </c>
      <c r="B832" s="60"/>
      <c r="C832" s="61" t="str">
        <f>IFERROR(__xludf.DUMMYFUNCTION("""COMPUTED_VALUE"""),"Yes")</f>
        <v>Yes</v>
      </c>
      <c r="D832" s="62" t="str">
        <f>IFERROR(__xludf.DUMMYFUNCTION("""COMPUTED_VALUE"""),"Able to purchase credits etc")</f>
        <v>Able to purchase credits etc</v>
      </c>
      <c r="E832" s="61"/>
      <c r="F832" s="41"/>
    </row>
    <row r="833">
      <c r="A833" s="59" t="str">
        <f>IFERROR(__xludf.DUMMYFUNCTION("""COMPUTED_VALUE"""),"Cross Fingers")</f>
        <v>Cross Fingers</v>
      </c>
      <c r="B833" s="60"/>
      <c r="C833" s="61" t="str">
        <f>IFERROR(__xludf.DUMMYFUNCTION("""COMPUTED_VALUE"""),"Yes")</f>
        <v>Yes</v>
      </c>
      <c r="D833" s="62" t="str">
        <f>IFERROR(__xludf.DUMMYFUNCTION("""COMPUTED_VALUE"""),"Store purchases work")</f>
        <v>Store purchases work</v>
      </c>
      <c r="E833" s="61" t="str">
        <f>IFERROR(__xludf.DUMMYFUNCTION("""COMPUTED_VALUE"""),"Persephone")</f>
        <v>Persephone</v>
      </c>
      <c r="F833" s="41"/>
    </row>
    <row r="834">
      <c r="A834" s="59" t="str">
        <f>IFERROR(__xludf.DUMMYFUNCTION("""COMPUTED_VALUE"""),"DataMan Free - Real Time Data Usage Manager")</f>
        <v>DataMan Free - Real Time Data Usage Manager</v>
      </c>
      <c r="B834" s="60"/>
      <c r="C834" s="61" t="str">
        <f>IFERROR(__xludf.DUMMYFUNCTION("""COMPUTED_VALUE"""),"Yes")</f>
        <v>Yes</v>
      </c>
      <c r="D834" s="62" t="str">
        <f>IFERROR(__xludf.DUMMYFUNCTION("""COMPUTED_VALUE"""),"Removes Upgrade Text (Just removes the ad)")</f>
        <v>Removes Upgrade Text (Just removes the ad)</v>
      </c>
      <c r="E834" s="61" t="str">
        <f>IFERROR(__xludf.DUMMYFUNCTION("""COMPUTED_VALUE"""),"some_dude")</f>
        <v>some_dude</v>
      </c>
      <c r="F834" s="41"/>
    </row>
    <row r="835">
      <c r="A835" s="59" t="str">
        <f>IFERROR(__xludf.DUMMYFUNCTION("""COMPUTED_VALUE"""),"Destinia")</f>
        <v>Destinia</v>
      </c>
      <c r="B835" s="60" t="str">
        <f>IFERROR(__xludf.DUMMYFUNCTION("""COMPUTED_VALUE"""),"1.0.2")</f>
        <v>1.0.2</v>
      </c>
      <c r="C835" s="61" t="str">
        <f>IFERROR(__xludf.DUMMYFUNCTION("""COMPUTED_VALUE"""),"Yes")</f>
        <v>Yes</v>
      </c>
      <c r="D835" s="62" t="str">
        <f>IFERROR(__xludf.DUMMYFUNCTION("""COMPUTED_VALUE"""),"Purchasing works but its a bit slow, plist hack is better")</f>
        <v>Purchasing works but its a bit slow, plist hack is better</v>
      </c>
      <c r="E835" s="61"/>
      <c r="F835" s="41"/>
    </row>
    <row r="836">
      <c r="A836" s="59" t="str">
        <f>IFERROR(__xludf.DUMMYFUNCTION("""COMPUTED_VALUE"""),"Destiny Defense: Angel or Devil")</f>
        <v>Destiny Defense: Angel or Devil</v>
      </c>
      <c r="B836" s="60"/>
      <c r="C836" s="61" t="str">
        <f>IFERROR(__xludf.DUMMYFUNCTION("""COMPUTED_VALUE"""),"Yes")</f>
        <v>Yes</v>
      </c>
      <c r="D836" s="62" t="str">
        <f>IFERROR(__xludf.DUMMYFUNCTION("""COMPUTED_VALUE"""),"Can buy ""Magicstone""")</f>
        <v>Can buy "Magicstone"</v>
      </c>
      <c r="E836" s="61"/>
      <c r="F836" s="41"/>
    </row>
    <row r="837">
      <c r="A837" s="59" t="str">
        <f>IFERROR(__xludf.DUMMYFUNCTION("""COMPUTED_VALUE"""),"Disc Drivin'")</f>
        <v>Disc Drivin'</v>
      </c>
      <c r="B837" s="60"/>
      <c r="C837" s="61" t="str">
        <f>IFERROR(__xludf.DUMMYFUNCTION("""COMPUTED_VALUE"""),"Yes")</f>
        <v>Yes</v>
      </c>
      <c r="D837" s="62" t="str">
        <f>IFERROR(__xludf.DUMMYFUNCTION("""COMPUTED_VALUE"""),"Perfect! You can buy all design discs...")</f>
        <v>Perfect! You can buy all design discs...</v>
      </c>
      <c r="E837" s="61"/>
      <c r="F837" s="41"/>
    </row>
    <row r="838">
      <c r="A838" s="59" t="str">
        <f>IFERROR(__xludf.DUMMYFUNCTION("""COMPUTED_VALUE"""),"Doodle Devil")</f>
        <v>Doodle Devil</v>
      </c>
      <c r="B838" s="60"/>
      <c r="C838" s="61" t="str">
        <f>IFERROR(__xludf.DUMMYFUNCTION("""COMPUTED_VALUE"""),"Yes")</f>
        <v>Yes</v>
      </c>
      <c r="D838" s="62" t="str">
        <f>IFERROR(__xludf.DUMMYFUNCTION("""COMPUTED_VALUE"""),"Works Perfectly")</f>
        <v>Works Perfectly</v>
      </c>
      <c r="E838" s="61"/>
      <c r="F838" s="41"/>
    </row>
    <row r="839">
      <c r="A839" s="59" t="str">
        <f>IFERROR(__xludf.DUMMYFUNCTION("""COMPUTED_VALUE"""),"Doraemon Fishing 2")</f>
        <v>Doraemon Fishing 2</v>
      </c>
      <c r="B839" s="60"/>
      <c r="C839" s="61" t="str">
        <f>IFERROR(__xludf.DUMMYFUNCTION("""COMPUTED_VALUE"""),"Yes")</f>
        <v>Yes</v>
      </c>
      <c r="D839" s="62"/>
      <c r="E839" s="61"/>
      <c r="F839" s="41"/>
    </row>
    <row r="840">
      <c r="A840" s="59" t="str">
        <f>IFERROR(__xludf.DUMMYFUNCTION("""COMPUTED_VALUE"""),"Doraemon Fishing+")</f>
        <v>Doraemon Fishing+</v>
      </c>
      <c r="B840" s="60"/>
      <c r="C840" s="61" t="str">
        <f>IFERROR(__xludf.DUMMYFUNCTION("""COMPUTED_VALUE"""),"Yes")</f>
        <v>Yes</v>
      </c>
      <c r="D840" s="62"/>
      <c r="E840" s="61"/>
      <c r="F840" s="41"/>
    </row>
    <row r="841">
      <c r="A841" s="59" t="str">
        <f>IFERROR(__xludf.DUMMYFUNCTION("""COMPUTED_VALUE"""),"DrawRace 2")</f>
        <v>DrawRace 2</v>
      </c>
      <c r="B841" s="60"/>
      <c r="C841" s="61" t="str">
        <f>IFERROR(__xludf.DUMMYFUNCTION("""COMPUTED_VALUE"""),"Yes")</f>
        <v>Yes</v>
      </c>
      <c r="D841" s="62"/>
      <c r="E841" s="61"/>
      <c r="F841" s="41"/>
    </row>
    <row r="842">
      <c r="A842" s="59" t="str">
        <f>IFERROR(__xludf.DUMMYFUNCTION("""COMPUTED_VALUE"""),"Duck Shoot")</f>
        <v>Duck Shoot</v>
      </c>
      <c r="B842" s="60"/>
      <c r="C842" s="61" t="str">
        <f>IFERROR(__xludf.DUMMYFUNCTION("""COMPUTED_VALUE"""),"Yes")</f>
        <v>Yes</v>
      </c>
      <c r="D842" s="62" t="str">
        <f>IFERROR(__xludf.DUMMYFUNCTION("""COMPUTED_VALUE"""),"add more shooting galleries")</f>
        <v>add more shooting galleries</v>
      </c>
      <c r="E842" s="61" t="str">
        <f>IFERROR(__xludf.DUMMYFUNCTION("""COMPUTED_VALUE"""),"Carnage")</f>
        <v>Carnage</v>
      </c>
      <c r="F842" s="41"/>
    </row>
    <row r="843">
      <c r="A843" s="59" t="str">
        <f>IFERROR(__xludf.DUMMYFUNCTION("""COMPUTED_VALUE"""),"Easy Books")</f>
        <v>Easy Books</v>
      </c>
      <c r="B843" s="60"/>
      <c r="C843" s="61" t="str">
        <f>IFERROR(__xludf.DUMMYFUNCTION("""COMPUTED_VALUE"""),"Yes")</f>
        <v>Yes</v>
      </c>
      <c r="D843" s="62"/>
      <c r="E843" s="61"/>
      <c r="F843" s="41"/>
    </row>
    <row r="844">
      <c r="A844" s="59" t="str">
        <f>IFERROR(__xludf.DUMMYFUNCTION("""COMPUTED_VALUE"""),"ebook4u")</f>
        <v>ebook4u</v>
      </c>
      <c r="B844" s="60"/>
      <c r="C844" s="61" t="str">
        <f>IFERROR(__xludf.DUMMYFUNCTION("""COMPUTED_VALUE"""),"Yes")</f>
        <v>Yes</v>
      </c>
      <c r="D844" s="62" t="str">
        <f>IFERROR(__xludf.DUMMYFUNCTION("""COMPUTED_VALUE"""),"Can buy all book")</f>
        <v>Can buy all book</v>
      </c>
      <c r="E844" s="61"/>
      <c r="F844" s="41"/>
    </row>
    <row r="845">
      <c r="A845" s="59" t="str">
        <f>IFERROR(__xludf.DUMMYFUNCTION("""COMPUTED_VALUE"""),"ELLE US")</f>
        <v>ELLE US</v>
      </c>
      <c r="B845" s="60"/>
      <c r="C845" s="61" t="str">
        <f>IFERROR(__xludf.DUMMYFUNCTION("""COMPUTED_VALUE"""),"Yes")</f>
        <v>Yes</v>
      </c>
      <c r="D845" s="62"/>
      <c r="E845" s="61"/>
      <c r="F845" s="41"/>
    </row>
    <row r="846">
      <c r="A846" s="59" t="str">
        <f>IFERROR(__xludf.DUMMYFUNCTION("""COMPUTED_VALUE"""),"Etolis: Arena")</f>
        <v>Etolis: Arena</v>
      </c>
      <c r="B846" s="60"/>
      <c r="C846" s="61" t="str">
        <f>IFERROR(__xludf.DUMMYFUNCTION("""COMPUTED_VALUE"""),"Yes")</f>
        <v>Yes</v>
      </c>
      <c r="D846" s="62"/>
      <c r="E846" s="61"/>
      <c r="F846" s="41"/>
    </row>
    <row r="847">
      <c r="A847" s="59" t="str">
        <f>IFERROR(__xludf.DUMMYFUNCTION("""COMPUTED_VALUE"""),"Fantastic Knight")</f>
        <v>Fantastic Knight</v>
      </c>
      <c r="B847" s="60"/>
      <c r="C847" s="61" t="str">
        <f>IFERROR(__xludf.DUMMYFUNCTION("""COMPUTED_VALUE"""),"Yes")</f>
        <v>Yes</v>
      </c>
      <c r="D847" s="62" t="str">
        <f>IFERROR(__xludf.DUMMYFUNCTION("""COMPUTED_VALUE"""),"Coin shop works")</f>
        <v>Coin shop works</v>
      </c>
      <c r="E847" s="61"/>
      <c r="F847" s="41"/>
    </row>
    <row r="848">
      <c r="A848" s="59" t="str">
        <f>IFERROR(__xludf.DUMMYFUNCTION("""COMPUTED_VALUE"""),"Finger Shot RPG")</f>
        <v>Finger Shot RPG</v>
      </c>
      <c r="B848" s="60"/>
      <c r="C848" s="61" t="str">
        <f>IFERROR(__xludf.DUMMYFUNCTION("""COMPUTED_VALUE"""),"Yes")</f>
        <v>Yes</v>
      </c>
      <c r="D848" s="62"/>
      <c r="E848" s="61"/>
      <c r="F848" s="41"/>
    </row>
    <row r="849">
      <c r="A849" s="59" t="str">
        <f>IFERROR(__xludf.DUMMYFUNCTION("""COMPUTED_VALUE"""),"Fish Fury")</f>
        <v>Fish Fury</v>
      </c>
      <c r="B849" s="60"/>
      <c r="C849" s="61" t="str">
        <f>IFERROR(__xludf.DUMMYFUNCTION("""COMPUTED_VALUE"""),"Yes")</f>
        <v>Yes</v>
      </c>
      <c r="D849" s="62" t="str">
        <f>IFERROR(__xludf.DUMMYFUNCTION("""COMPUTED_VALUE"""),"purchase extra coins infinitely to upgrade abilities")</f>
        <v>purchase extra coins infinitely to upgrade abilities</v>
      </c>
      <c r="E849" s="61" t="str">
        <f>IFERROR(__xludf.DUMMYFUNCTION("""COMPUTED_VALUE"""),"gustao")</f>
        <v>gustao</v>
      </c>
      <c r="F849" s="41"/>
    </row>
    <row r="850">
      <c r="A850" s="59" t="str">
        <f>IFERROR(__xludf.DUMMYFUNCTION("""COMPUTED_VALUE"""),"Flick Fishing v 1.3.2")</f>
        <v>Flick Fishing v 1.3.2</v>
      </c>
      <c r="B850" s="60"/>
      <c r="C850" s="61" t="str">
        <f>IFERROR(__xludf.DUMMYFUNCTION("""COMPUTED_VALUE"""),"Yes")</f>
        <v>Yes</v>
      </c>
      <c r="D850" s="62"/>
      <c r="E850" s="61"/>
      <c r="F850" s="41"/>
    </row>
    <row r="851">
      <c r="A851" s="59" t="str">
        <f>IFERROR(__xludf.DUMMYFUNCTION("""COMPUTED_VALUE"""),"Flow")</f>
        <v>Flow</v>
      </c>
      <c r="B851" s="60"/>
      <c r="C851" s="61" t="str">
        <f>IFERROR(__xludf.DUMMYFUNCTION("""COMPUTED_VALUE"""),"Yes")</f>
        <v>Yes</v>
      </c>
      <c r="D851" s="62" t="str">
        <f>IFERROR(__xludf.DUMMYFUNCTION("""COMPUTED_VALUE"""),"Can purchase the other puzzle packs")</f>
        <v>Can purchase the other puzzle packs</v>
      </c>
      <c r="E851" s="61"/>
      <c r="F851" s="41"/>
    </row>
    <row r="852">
      <c r="A852" s="59" t="str">
        <f>IFERROR(__xludf.DUMMYFUNCTION("""COMPUTED_VALUE"""),"Fruit Bomb")</f>
        <v>Fruit Bomb</v>
      </c>
      <c r="B852" s="60"/>
      <c r="C852" s="61" t="str">
        <f>IFERROR(__xludf.DUMMYFUNCTION("""COMPUTED_VALUE"""),"Yes")</f>
        <v>Yes</v>
      </c>
      <c r="D852" s="62"/>
      <c r="E852" s="61"/>
      <c r="F852" s="41"/>
    </row>
    <row r="853">
      <c r="A853" s="59" t="str">
        <f>IFERROR(__xludf.DUMMYFUNCTION("""COMPUTED_VALUE"""),"FX Photo Studio")</f>
        <v>FX Photo Studio</v>
      </c>
      <c r="B853" s="60"/>
      <c r="C853" s="61" t="str">
        <f>IFERROR(__xludf.DUMMYFUNCTION("""COMPUTED_VALUE"""),"Yes")</f>
        <v>Yes</v>
      </c>
      <c r="D853" s="62"/>
      <c r="E853" s="61"/>
      <c r="F853" s="41"/>
    </row>
    <row r="854">
      <c r="A854" s="59" t="str">
        <f>IFERROR(__xludf.DUMMYFUNCTION("""COMPUTED_VALUE"""),"Galaxy on Fire 2™")</f>
        <v>Galaxy on Fire 2™</v>
      </c>
      <c r="B854" s="60"/>
      <c r="C854" s="61" t="str">
        <f>IFERROR(__xludf.DUMMYFUNCTION("""COMPUTED_VALUE"""),"Yes")</f>
        <v>Yes</v>
      </c>
      <c r="D854" s="62" t="str">
        <f>IFERROR(__xludf.DUMMYFUNCTION("""COMPUTED_VALUE"""),"Works well")</f>
        <v>Works well</v>
      </c>
      <c r="E854" s="61"/>
      <c r="F854" s="41"/>
    </row>
    <row r="855">
      <c r="A855" s="59" t="str">
        <f>IFERROR(__xludf.DUMMYFUNCTION("""COMPUTED_VALUE"""),"Genius Scan - PDF Scanner")</f>
        <v>Genius Scan - PDF Scanner</v>
      </c>
      <c r="B855" s="60"/>
      <c r="C855" s="61" t="str">
        <f>IFERROR(__xludf.DUMMYFUNCTION("""COMPUTED_VALUE"""),"Yes")</f>
        <v>Yes</v>
      </c>
      <c r="D855" s="62" t="str">
        <f>IFERROR(__xludf.DUMMYFUNCTION("""COMPUTED_VALUE"""),"Free → Full")</f>
        <v>Free → Full</v>
      </c>
      <c r="E855" s="61"/>
      <c r="F855" s="41"/>
    </row>
    <row r="856">
      <c r="A856" s="59" t="str">
        <f>IFERROR(__xludf.DUMMYFUNCTION("""COMPUTED_VALUE"""),"God Finger All-Stars")</f>
        <v>God Finger All-Stars</v>
      </c>
      <c r="B856" s="60"/>
      <c r="C856" s="61" t="str">
        <f>IFERROR(__xludf.DUMMYFUNCTION("""COMPUTED_VALUE"""),"Yes")</f>
        <v>Yes</v>
      </c>
      <c r="D856" s="62"/>
      <c r="E856" s="61"/>
      <c r="F856" s="41"/>
    </row>
    <row r="857">
      <c r="A857" s="59" t="str">
        <f>IFERROR(__xludf.DUMMYFUNCTION("""COMPUTED_VALUE"""),"Grabatron")</f>
        <v>Grabatron</v>
      </c>
      <c r="B857" s="60"/>
      <c r="C857" s="61" t="str">
        <f>IFERROR(__xludf.DUMMYFUNCTION("""COMPUTED_VALUE"""),"Yes")</f>
        <v>Yes</v>
      </c>
      <c r="D857" s="62" t="str">
        <f>IFERROR(__xludf.DUMMYFUNCTION("""COMPUTED_VALUE"""),"bombs + upgrade")</f>
        <v>bombs + upgrade</v>
      </c>
      <c r="E857" s="61" t="str">
        <f>IFERROR(__xludf.DUMMYFUNCTION("""COMPUTED_VALUE"""),"sergjjj")</f>
        <v>sergjjj</v>
      </c>
      <c r="F857" s="41"/>
    </row>
    <row r="858">
      <c r="A858" s="59" t="str">
        <f>IFERROR(__xludf.DUMMYFUNCTION("""COMPUTED_VALUE"""),"Gun Strike")</f>
        <v>Gun Strike</v>
      </c>
      <c r="B858" s="60"/>
      <c r="C858" s="61" t="str">
        <f>IFERROR(__xludf.DUMMYFUNCTION("""COMPUTED_VALUE"""),"Yes")</f>
        <v>Yes</v>
      </c>
      <c r="D858" s="62" t="str">
        <f>IFERROR(__xludf.DUMMYFUNCTION("""COMPUTED_VALUE"""),"Unlocks full game")</f>
        <v>Unlocks full game</v>
      </c>
      <c r="E858" s="61" t="str">
        <f>IFERROR(__xludf.DUMMYFUNCTION("""COMPUTED_VALUE"""),"Craigeyboyz")</f>
        <v>Craigeyboyz</v>
      </c>
      <c r="F858" s="41"/>
    </row>
    <row r="859">
      <c r="A859" s="59" t="str">
        <f>IFERROR(__xludf.DUMMYFUNCTION("""COMPUTED_VALUE"""),"Guns on Wheels")</f>
        <v>Guns on Wheels</v>
      </c>
      <c r="B859" s="60">
        <f>IFERROR(__xludf.DUMMYFUNCTION("""COMPUTED_VALUE"""),1.3)</f>
        <v>1.3</v>
      </c>
      <c r="C859" s="61" t="str">
        <f>IFERROR(__xludf.DUMMYFUNCTION("""COMPUTED_VALUE"""),"Yes")</f>
        <v>Yes</v>
      </c>
      <c r="D859" s="62"/>
      <c r="E859" s="61" t="str">
        <f>IFERROR(__xludf.DUMMYFUNCTION("""COMPUTED_VALUE"""),"luudaigiang")</f>
        <v>luudaigiang</v>
      </c>
      <c r="F859" s="41"/>
    </row>
    <row r="860">
      <c r="A860" s="59" t="str">
        <f>IFERROR(__xludf.DUMMYFUNCTION("""COMPUTED_VALUE"""),"HellKid")</f>
        <v>HellKid</v>
      </c>
      <c r="B860" s="60"/>
      <c r="C860" s="61" t="str">
        <f>IFERROR(__xludf.DUMMYFUNCTION("""COMPUTED_VALUE"""),"Yes")</f>
        <v>Yes</v>
      </c>
      <c r="D860" s="62" t="str">
        <f>IFERROR(__xludf.DUMMYFUNCTION("""COMPUTED_VALUE"""),"Store purchases work")</f>
        <v>Store purchases work</v>
      </c>
      <c r="E860" s="61" t="str">
        <f>IFERROR(__xludf.DUMMYFUNCTION("""COMPUTED_VALUE"""),"Persephone")</f>
        <v>Persephone</v>
      </c>
      <c r="F860" s="41"/>
    </row>
    <row r="861">
      <c r="A861" s="59" t="str">
        <f>IFERROR(__xludf.DUMMYFUNCTION("""COMPUTED_VALUE"""),"Hello Hello Japanese")</f>
        <v>Hello Hello Japanese</v>
      </c>
      <c r="B861" s="60">
        <f>IFERROR(__xludf.DUMMYFUNCTION("""COMPUTED_VALUE"""),1.3)</f>
        <v>1.3</v>
      </c>
      <c r="C861" s="61" t="str">
        <f>IFERROR(__xludf.DUMMYFUNCTION("""COMPUTED_VALUE"""),"Yes")</f>
        <v>Yes</v>
      </c>
      <c r="D861" s="62" t="str">
        <f>IFERROR(__xludf.DUMMYFUNCTION("""COMPUTED_VALUE"""),"U can purchase all the lessons")</f>
        <v>U can purchase all the lessons</v>
      </c>
      <c r="E861" s="61"/>
      <c r="F861" s="41"/>
    </row>
    <row r="862">
      <c r="A862" s="59" t="str">
        <f>IFERROR(__xludf.DUMMYFUNCTION("""COMPUTED_VALUE"""),"Hokusai Audio Editor")</f>
        <v>Hokusai Audio Editor</v>
      </c>
      <c r="B862" s="60"/>
      <c r="C862" s="61" t="str">
        <f>IFERROR(__xludf.DUMMYFUNCTION("""COMPUTED_VALUE"""),"Yes")</f>
        <v>Yes</v>
      </c>
      <c r="D862" s="62" t="str">
        <f>IFERROR(__xludf.DUMMYFUNCTION("""COMPUTED_VALUE"""),"It said Unable to retrieve... but when you click Show All packs, it is Installed, relaunch the app and you'll see.")</f>
        <v>It said Unable to retrieve... but when you click Show All packs, it is Installed, relaunch the app and you'll see.</v>
      </c>
      <c r="E862" s="61"/>
      <c r="F862" s="41"/>
    </row>
    <row r="863">
      <c r="A863" s="59" t="str">
        <f>IFERROR(__xludf.DUMMYFUNCTION("""COMPUTED_VALUE"""),"I Am T-Pain")</f>
        <v>I Am T-Pain</v>
      </c>
      <c r="B863" s="60"/>
      <c r="C863" s="61" t="str">
        <f>IFERROR(__xludf.DUMMYFUNCTION("""COMPUTED_VALUE"""),"Yes")</f>
        <v>Yes</v>
      </c>
      <c r="D863" s="62" t="str">
        <f>IFERROR(__xludf.DUMMYFUNCTION("""COMPUTED_VALUE"""),"All works fine, purchase all songs!")</f>
        <v>All works fine, purchase all songs!</v>
      </c>
      <c r="E863" s="61"/>
      <c r="F863" s="41"/>
    </row>
    <row r="864">
      <c r="A864" s="59" t="str">
        <f>IFERROR(__xludf.DUMMYFUNCTION("""COMPUTED_VALUE"""),"Ice Rage")</f>
        <v>Ice Rage</v>
      </c>
      <c r="B864" s="60"/>
      <c r="C864" s="61" t="str">
        <f>IFERROR(__xludf.DUMMYFUNCTION("""COMPUTED_VALUE"""),"Yes")</f>
        <v>Yes</v>
      </c>
      <c r="D864" s="62"/>
      <c r="E864" s="61" t="str">
        <f>IFERROR(__xludf.DUMMYFUNCTION("""COMPUTED_VALUE"""),"DST")</f>
        <v>DST</v>
      </c>
      <c r="F864" s="41"/>
    </row>
    <row r="865">
      <c r="A865" s="59" t="str">
        <f>IFERROR(__xludf.DUMMYFUNCTION("""COMPUTED_VALUE"""),"iGo North America")</f>
        <v>iGo North America</v>
      </c>
      <c r="B865" s="60"/>
      <c r="C865" s="61" t="str">
        <f>IFERROR(__xludf.DUMMYFUNCTION("""COMPUTED_VALUE"""),"Yes")</f>
        <v>Yes</v>
      </c>
      <c r="D865" s="62" t="str">
        <f>IFERROR(__xludf.DUMMYFUNCTION("""COMPUTED_VALUE"""),"Free")</f>
        <v>Free</v>
      </c>
      <c r="E865" s="61" t="str">
        <f>IFERROR(__xludf.DUMMYFUNCTION("""COMPUTED_VALUE"""),"Free")</f>
        <v>Free</v>
      </c>
      <c r="F865" s="41"/>
    </row>
    <row r="866">
      <c r="A866" s="59" t="str">
        <f>IFERROR(__xludf.DUMMYFUNCTION("""COMPUTED_VALUE"""),"iMailG")</f>
        <v>iMailG</v>
      </c>
      <c r="B866" s="60"/>
      <c r="C866" s="61" t="str">
        <f>IFERROR(__xludf.DUMMYFUNCTION("""COMPUTED_VALUE"""),"Yes")</f>
        <v>Yes</v>
      </c>
      <c r="D866" s="62" t="str">
        <f>IFERROR(__xludf.DUMMYFUNCTION("""COMPUTED_VALUE"""),"Push notifications use server check and will not work")</f>
        <v>Push notifications use server check and will not work</v>
      </c>
      <c r="E866" s="61" t="str">
        <f>IFERROR(__xludf.DUMMYFUNCTION("""COMPUTED_VALUE"""),"Persephone")</f>
        <v>Persephone</v>
      </c>
      <c r="F866" s="41"/>
    </row>
    <row r="867">
      <c r="A867" s="59" t="str">
        <f>IFERROR(__xludf.DUMMYFUNCTION("""COMPUTED_VALUE"""),"Jean's Boutique 2")</f>
        <v>Jean's Boutique 2</v>
      </c>
      <c r="B867" s="60"/>
      <c r="C867" s="61" t="str">
        <f>IFERROR(__xludf.DUMMYFUNCTION("""COMPUTED_VALUE"""),"Yes")</f>
        <v>Yes</v>
      </c>
      <c r="D867" s="62"/>
      <c r="E867" s="61"/>
      <c r="F867" s="41"/>
    </row>
    <row r="868">
      <c r="A868" s="59" t="str">
        <f>IFERROR(__xludf.DUMMYFUNCTION("""COMPUTED_VALUE"""),"JetCarStunts")</f>
        <v>JetCarStunts</v>
      </c>
      <c r="B868" s="60"/>
      <c r="C868" s="61" t="str">
        <f>IFERROR(__xludf.DUMMYFUNCTION("""COMPUTED_VALUE"""),"Yes")</f>
        <v>Yes</v>
      </c>
      <c r="D868" s="62" t="str">
        <f>IFERROR(__xludf.DUMMYFUNCTION("""COMPUTED_VALUE"""),"Additional Levelpack Downloadable.")</f>
        <v>Additional Levelpack Downloadable.</v>
      </c>
      <c r="E868" s="61"/>
      <c r="F868" s="41"/>
    </row>
    <row r="869">
      <c r="A869" s="59" t="str">
        <f>IFERROR(__xludf.DUMMYFUNCTION("""COMPUTED_VALUE"""),"JotNot")</f>
        <v>JotNot</v>
      </c>
      <c r="B869" s="60"/>
      <c r="C869" s="61" t="str">
        <f>IFERROR(__xludf.DUMMYFUNCTION("""COMPUTED_VALUE"""),"Yes")</f>
        <v>Yes</v>
      </c>
      <c r="D869" s="62" t="str">
        <f>IFERROR(__xludf.DUMMYFUNCTION("""COMPUTED_VALUE"""),"Full app unlocks")</f>
        <v>Full app unlocks</v>
      </c>
      <c r="E869" s="61" t="str">
        <f>IFERROR(__xludf.DUMMYFUNCTION("""COMPUTED_VALUE"""),"Persephone")</f>
        <v>Persephone</v>
      </c>
      <c r="F869" s="41"/>
    </row>
    <row r="870">
      <c r="A870" s="59" t="str">
        <f>IFERROR(__xludf.DUMMYFUNCTION("""COMPUTED_VALUE"""),"Kids World Map")</f>
        <v>Kids World Map</v>
      </c>
      <c r="B870" s="60"/>
      <c r="C870" s="61" t="str">
        <f>IFERROR(__xludf.DUMMYFUNCTION("""COMPUTED_VALUE"""),"Yes")</f>
        <v>Yes</v>
      </c>
      <c r="D870" s="62" t="str">
        <f>IFERROR(__xludf.DUMMYFUNCTION("""COMPUTED_VALUE"""),"Able to buy credits")</f>
        <v>Able to buy credits</v>
      </c>
      <c r="E870" s="61"/>
      <c r="F870" s="41"/>
    </row>
    <row r="871">
      <c r="A871" s="59" t="str">
        <f>IFERROR(__xludf.DUMMYFUNCTION("""COMPUTED_VALUE"""),"Land of Zombies")</f>
        <v>Land of Zombies</v>
      </c>
      <c r="B871" s="60"/>
      <c r="C871" s="61" t="str">
        <f>IFERROR(__xludf.DUMMYFUNCTION("""COMPUTED_VALUE"""),"Yes")</f>
        <v>Yes</v>
      </c>
      <c r="D871" s="62" t="str">
        <f>IFERROR(__xludf.DUMMYFUNCTION("""COMPUTED_VALUE"""),"Works on all")</f>
        <v>Works on all</v>
      </c>
      <c r="E871" s="61" t="str">
        <f>IFERROR(__xludf.DUMMYFUNCTION("""COMPUTED_VALUE"""),"JanJR10785")</f>
        <v>JanJR10785</v>
      </c>
      <c r="F871" s="41"/>
    </row>
    <row r="872">
      <c r="A872" s="59" t="str">
        <f>IFERROR(__xludf.DUMMYFUNCTION("""COMPUTED_VALUE"""),"Lane Splitter")</f>
        <v>Lane Splitter</v>
      </c>
      <c r="B872" s="60"/>
      <c r="C872" s="61" t="str">
        <f>IFERROR(__xludf.DUMMYFUNCTION("""COMPUTED_VALUE"""),"Yes")</f>
        <v>Yes</v>
      </c>
      <c r="D872" s="62" t="str">
        <f>IFERROR(__xludf.DUMMYFUNCTION("""COMPUTED_VALUE"""),"Buy all characters")</f>
        <v>Buy all characters</v>
      </c>
      <c r="E872" s="61"/>
      <c r="F872" s="41"/>
    </row>
    <row r="873">
      <c r="A873" s="59" t="str">
        <f>IFERROR(__xludf.DUMMYFUNCTION("""COMPUTED_VALUE"""),"Mage Gauntlet")</f>
        <v>Mage Gauntlet</v>
      </c>
      <c r="B873" s="60"/>
      <c r="C873" s="61" t="str">
        <f>IFERROR(__xludf.DUMMYFUNCTION("""COMPUTED_VALUE"""),"Yes")</f>
        <v>Yes</v>
      </c>
      <c r="D873" s="62"/>
      <c r="E873" s="61"/>
      <c r="F873" s="41"/>
    </row>
    <row r="874">
      <c r="A874" s="59" t="str">
        <f>IFERROR(__xludf.DUMMYFUNCTION("""COMPUTED_VALUE"""),"Magnetic Billiards: Blueprint")</f>
        <v>Magnetic Billiards: Blueprint</v>
      </c>
      <c r="B874" s="60"/>
      <c r="C874" s="61" t="str">
        <f>IFERROR(__xludf.DUMMYFUNCTION("""COMPUTED_VALUE"""),"Yes")</f>
        <v>Yes</v>
      </c>
      <c r="D874" s="62"/>
      <c r="E874" s="61"/>
      <c r="F874" s="41"/>
    </row>
    <row r="875">
      <c r="A875" s="59" t="str">
        <f>IFERROR(__xludf.DUMMYFUNCTION("""COMPUTED_VALUE"""),"Make A Zombie")</f>
        <v>Make A Zombie</v>
      </c>
      <c r="B875" s="60"/>
      <c r="C875" s="61" t="str">
        <f>IFERROR(__xludf.DUMMYFUNCTION("""COMPUTED_VALUE"""),"Yes")</f>
        <v>Yes</v>
      </c>
      <c r="D875" s="62" t="str">
        <f>IFERROR(__xludf.DUMMYFUNCTION("""COMPUTED_VALUE"""),"Works well.")</f>
        <v>Works well.</v>
      </c>
      <c r="E875" s="61"/>
      <c r="F875" s="41"/>
    </row>
    <row r="876">
      <c r="A876" s="59" t="str">
        <f>IFERROR(__xludf.DUMMYFUNCTION("""COMPUTED_VALUE"""),"Make An Animal")</f>
        <v>Make An Animal</v>
      </c>
      <c r="B876" s="60"/>
      <c r="C876" s="61" t="str">
        <f>IFERROR(__xludf.DUMMYFUNCTION("""COMPUTED_VALUE"""),"Yes")</f>
        <v>Yes</v>
      </c>
      <c r="D876" s="62"/>
      <c r="E876" s="61"/>
      <c r="F876" s="41"/>
    </row>
    <row r="877">
      <c r="A877" s="59" t="str">
        <f>IFERROR(__xludf.DUMMYFUNCTION("""COMPUTED_VALUE"""),"Meta 11-12")</f>
        <v>Meta 11-12</v>
      </c>
      <c r="B877" s="60"/>
      <c r="C877" s="61" t="str">
        <f>IFERROR(__xludf.DUMMYFUNCTION("""COMPUTED_VALUE"""),"Yes")</f>
        <v>Yes</v>
      </c>
      <c r="D877" s="62" t="str">
        <f>IFERROR(__xludf.DUMMYFUNCTION("""COMPUTED_VALUE"""),"Works flawless, get everything within in-app purchase")</f>
        <v>Works flawless, get everything within in-app purchase</v>
      </c>
      <c r="E877" s="61" t="str">
        <f>IFERROR(__xludf.DUMMYFUNCTION("""COMPUTED_VALUE"""),"LuckyLuq")</f>
        <v>LuckyLuq</v>
      </c>
      <c r="F877" s="41"/>
    </row>
    <row r="878">
      <c r="A878" s="59" t="str">
        <f>IFERROR(__xludf.DUMMYFUNCTION("""COMPUTED_VALUE"""),"Michael Jackson: The Experience")</f>
        <v>Michael Jackson: The Experience</v>
      </c>
      <c r="B878" s="60"/>
      <c r="C878" s="61" t="str">
        <f>IFERROR(__xludf.DUMMYFUNCTION("""COMPUTED_VALUE"""),"Yes")</f>
        <v>Yes</v>
      </c>
      <c r="D878" s="62" t="str">
        <f>IFERROR(__xludf.DUMMYFUNCTION("""COMPUTED_VALUE"""),"Works perfectly for all purchases")</f>
        <v>Works perfectly for all purchases</v>
      </c>
      <c r="E878" s="61" t="str">
        <f>IFERROR(__xludf.DUMMYFUNCTION("""COMPUTED_VALUE"""),"Arleno")</f>
        <v>Arleno</v>
      </c>
      <c r="F878" s="41"/>
    </row>
    <row r="879">
      <c r="A879" s="59" t="str">
        <f>IFERROR(__xludf.DUMMYFUNCTION("""COMPUTED_VALUE"""),"Microsoft OneNote")</f>
        <v>Microsoft OneNote</v>
      </c>
      <c r="B879" s="60"/>
      <c r="C879" s="61" t="str">
        <f>IFERROR(__xludf.DUMMYFUNCTION("""COMPUTED_VALUE"""),"Yes")</f>
        <v>Yes</v>
      </c>
      <c r="D879" s="62"/>
      <c r="E879" s="61"/>
      <c r="F879" s="41"/>
    </row>
    <row r="880">
      <c r="A880" s="59" t="str">
        <f>IFERROR(__xludf.DUMMYFUNCTION("""COMPUTED_VALUE"""),"Mixologist")</f>
        <v>Mixologist</v>
      </c>
      <c r="B880" s="60"/>
      <c r="C880" s="61" t="str">
        <f>IFERROR(__xludf.DUMMYFUNCTION("""COMPUTED_VALUE"""),"Yes")</f>
        <v>Yes</v>
      </c>
      <c r="D880" s="62"/>
      <c r="E880" s="61"/>
      <c r="F880" s="41"/>
    </row>
    <row r="881">
      <c r="A881" s="59" t="str">
        <f>IFERROR(__xludf.DUMMYFUNCTION("""COMPUTED_VALUE"""),"Monster Zombie 2: Undead Hunter")</f>
        <v>Monster Zombie 2: Undead Hunter</v>
      </c>
      <c r="B881" s="60"/>
      <c r="C881" s="61" t="str">
        <f>IFERROR(__xludf.DUMMYFUNCTION("""COMPUTED_VALUE"""),"Yes")</f>
        <v>Yes</v>
      </c>
      <c r="D881" s="62"/>
      <c r="E881" s="61"/>
      <c r="F881" s="41"/>
    </row>
    <row r="882">
      <c r="A882" s="59" t="str">
        <f>IFERROR(__xludf.DUMMYFUNCTION("""COMPUTED_VALUE"""),"MonTowers")</f>
        <v>MonTowers</v>
      </c>
      <c r="B882" s="60" t="str">
        <f>IFERROR(__xludf.DUMMYFUNCTION("""COMPUTED_VALUE"""),"1.2.1")</f>
        <v>1.2.1</v>
      </c>
      <c r="C882" s="61" t="str">
        <f>IFERROR(__xludf.DUMMYFUNCTION("""COMPUTED_VALUE"""),"Yes")</f>
        <v>Yes</v>
      </c>
      <c r="D882" s="62" t="str">
        <f>IFERROR(__xludf.DUMMYFUNCTION("""COMPUTED_VALUE"""),"Can Buy Coins")</f>
        <v>Can Buy Coins</v>
      </c>
      <c r="E882" s="61"/>
      <c r="F882" s="41"/>
    </row>
    <row r="883">
      <c r="A883" s="59" t="str">
        <f>IFERROR(__xludf.DUMMYFUNCTION("""COMPUTED_VALUE"""),"My Car Salon Pro")</f>
        <v>My Car Salon Pro</v>
      </c>
      <c r="B883" s="60"/>
      <c r="C883" s="61" t="str">
        <f>IFERROR(__xludf.DUMMYFUNCTION("""COMPUTED_VALUE"""),"Yes")</f>
        <v>Yes</v>
      </c>
      <c r="D883" s="62"/>
      <c r="E883" s="61"/>
      <c r="F883" s="41"/>
    </row>
    <row r="884">
      <c r="A884" s="59" t="str">
        <f>IFERROR(__xludf.DUMMYFUNCTION("""COMPUTED_VALUE"""),"MyBrute")</f>
        <v>MyBrute</v>
      </c>
      <c r="B884" s="60"/>
      <c r="C884" s="61" t="str">
        <f>IFERROR(__xludf.DUMMYFUNCTION("""COMPUTED_VALUE"""),"Yes")</f>
        <v>Yes</v>
      </c>
      <c r="D884" s="62" t="str">
        <f>IFERROR(__xludf.DUMMYFUNCTION("""COMPUTED_VALUE"""),"Can buy everything")</f>
        <v>Can buy everything</v>
      </c>
      <c r="E884" s="61"/>
      <c r="F884" s="41"/>
    </row>
    <row r="885">
      <c r="A885" s="59" t="str">
        <f>IFERROR(__xludf.DUMMYFUNCTION("""COMPUTED_VALUE"""),"MyScript Memo")</f>
        <v>MyScript Memo</v>
      </c>
      <c r="B885" s="60"/>
      <c r="C885" s="61" t="str">
        <f>IFERROR(__xludf.DUMMYFUNCTION("""COMPUTED_VALUE"""),"Yes")</f>
        <v>Yes</v>
      </c>
      <c r="D885" s="62" t="str">
        <f>IFERROR(__xludf.DUMMYFUNCTION("""COMPUTED_VALUE"""),"Can unlock export as text")</f>
        <v>Can unlock export as text</v>
      </c>
      <c r="E885" s="61"/>
      <c r="F885" s="41"/>
    </row>
    <row r="886">
      <c r="A886" s="59" t="str">
        <f>IFERROR(__xludf.DUMMYFUNCTION("""COMPUTED_VALUE"""),"Ninja Fishing")</f>
        <v>Ninja Fishing</v>
      </c>
      <c r="B886" s="60"/>
      <c r="C886" s="61" t="str">
        <f>IFERROR(__xludf.DUMMYFUNCTION("""COMPUTED_VALUE"""),"Yes")</f>
        <v>Yes</v>
      </c>
      <c r="D886" s="62" t="str">
        <f>IFERROR(__xludf.DUMMYFUNCTION("""COMPUTED_VALUE"""),"Works for buying all items and coins")</f>
        <v>Works for buying all items and coins</v>
      </c>
      <c r="E886" s="61" t="str">
        <f>IFERROR(__xludf.DUMMYFUNCTION("""COMPUTED_VALUE"""),"SpyKiIIer")</f>
        <v>SpyKiIIer</v>
      </c>
      <c r="F886" s="41"/>
    </row>
    <row r="887">
      <c r="A887" s="59" t="str">
        <f>IFERROR(__xludf.DUMMYFUNCTION("""COMPUTED_VALUE"""),"Paper Glider")</f>
        <v>Paper Glider</v>
      </c>
      <c r="B887" s="60"/>
      <c r="C887" s="61" t="str">
        <f>IFERROR(__xludf.DUMMYFUNCTION("""COMPUTED_VALUE"""),"Yes")</f>
        <v>Yes</v>
      </c>
      <c r="D887" s="62" t="str">
        <f>IFERROR(__xludf.DUMMYFUNCTION("""COMPUTED_VALUE"""),"Purchase everything")</f>
        <v>Purchase everything</v>
      </c>
      <c r="E887" s="61"/>
      <c r="F887" s="41"/>
    </row>
    <row r="888">
      <c r="A888" s="59" t="str">
        <f>IFERROR(__xludf.DUMMYFUNCTION("""COMPUTED_VALUE"""),"Penguin Airborne")</f>
        <v>Penguin Airborne</v>
      </c>
      <c r="B888" s="60"/>
      <c r="C888" s="61" t="str">
        <f>IFERROR(__xludf.DUMMYFUNCTION("""COMPUTED_VALUE"""),"Yes")</f>
        <v>Yes</v>
      </c>
      <c r="D888" s="62"/>
      <c r="E888" s="61"/>
      <c r="F888" s="41"/>
    </row>
    <row r="889">
      <c r="A889" s="59" t="str">
        <f>IFERROR(__xludf.DUMMYFUNCTION("""COMPUTED_VALUE"""),"PhotoFrame")</f>
        <v>PhotoFrame</v>
      </c>
      <c r="B889" s="60"/>
      <c r="C889" s="61" t="str">
        <f>IFERROR(__xludf.DUMMYFUNCTION("""COMPUTED_VALUE"""),"Yes")</f>
        <v>Yes</v>
      </c>
      <c r="D889" s="62" t="str">
        <f>IFERROR(__xludf.DUMMYFUNCTION("""COMPUTED_VALUE"""),"Yes.  you can buy all frames")</f>
        <v>Yes.  you can buy all frames</v>
      </c>
      <c r="E889" s="61"/>
      <c r="F889" s="41"/>
    </row>
    <row r="890">
      <c r="A890" s="59" t="str">
        <f>IFERROR(__xludf.DUMMYFUNCTION("""COMPUTED_VALUE"""),"Planner")</f>
        <v>Planner</v>
      </c>
      <c r="B890" s="60"/>
      <c r="C890" s="61" t="str">
        <f>IFERROR(__xludf.DUMMYFUNCTION("""COMPUTED_VALUE"""),"Yes")</f>
        <v>Yes</v>
      </c>
      <c r="D890" s="62" t="str">
        <f>IFERROR(__xludf.DUMMYFUNCTION("""COMPUTED_VALUE"""),"download the free version then upgrade to pro.")</f>
        <v>download the free version then upgrade to pro.</v>
      </c>
      <c r="E890" s="61" t="str">
        <f>IFERROR(__xludf.DUMMYFUNCTION("""COMPUTED_VALUE"""),"remastered")</f>
        <v>remastered</v>
      </c>
      <c r="F890" s="41"/>
    </row>
    <row r="891">
      <c r="A891" s="59" t="str">
        <f>IFERROR(__xludf.DUMMYFUNCTION("""COMPUTED_VALUE"""),"Pocket Frogs")</f>
        <v>Pocket Frogs</v>
      </c>
      <c r="B891" s="60"/>
      <c r="C891" s="61" t="str">
        <f>IFERROR(__xludf.DUMMYFUNCTION("""COMPUTED_VALUE"""),"Yes")</f>
        <v>Yes</v>
      </c>
      <c r="D891" s="62"/>
      <c r="E891" s="61"/>
      <c r="F891" s="41"/>
    </row>
    <row r="892">
      <c r="A892" s="59" t="str">
        <f>IFERROR(__xludf.DUMMYFUNCTION("""COMPUTED_VALUE"""),"Pokerist")</f>
        <v>Pokerist</v>
      </c>
      <c r="B892" s="60"/>
      <c r="C892" s="61" t="str">
        <f>IFERROR(__xludf.DUMMYFUNCTION("""COMPUTED_VALUE"""),"Yes")</f>
        <v>Yes</v>
      </c>
      <c r="D892" s="62"/>
      <c r="E892" s="61"/>
      <c r="F892" s="41"/>
    </row>
    <row r="893">
      <c r="A893" s="59" t="str">
        <f>IFERROR(__xludf.DUMMYFUNCTION("""COMPUTED_VALUE"""),"PonPon DLX")</f>
        <v>PonPon DLX</v>
      </c>
      <c r="B893" s="60"/>
      <c r="C893" s="61" t="str">
        <f>IFERROR(__xludf.DUMMYFUNCTION("""COMPUTED_VALUE"""),"Yes")</f>
        <v>Yes</v>
      </c>
      <c r="D893" s="62" t="str">
        <f>IFERROR(__xludf.DUMMYFUNCTION("""COMPUTED_VALUE"""),"Store purchases work")</f>
        <v>Store purchases work</v>
      </c>
      <c r="E893" s="61" t="str">
        <f>IFERROR(__xludf.DUMMYFUNCTION("""COMPUTED_VALUE"""),"Persephone")</f>
        <v>Persephone</v>
      </c>
      <c r="F893" s="41"/>
    </row>
    <row r="894">
      <c r="A894" s="59" t="str">
        <f>IFERROR(__xludf.DUMMYFUNCTION("""COMPUTED_VALUE"""),"Powder Monkeys")</f>
        <v>Powder Monkeys</v>
      </c>
      <c r="B894" s="60"/>
      <c r="C894" s="61" t="str">
        <f>IFERROR(__xludf.DUMMYFUNCTION("""COMPUTED_VALUE"""),"Yes")</f>
        <v>Yes</v>
      </c>
      <c r="D894" s="62"/>
      <c r="E894" s="61"/>
      <c r="F894" s="41"/>
    </row>
    <row r="895">
      <c r="A895" s="59" t="str">
        <f>IFERROR(__xludf.DUMMYFUNCTION("""COMPUTED_VALUE"""),"PS3 Trophy")</f>
        <v>PS3 Trophy</v>
      </c>
      <c r="B895" s="60"/>
      <c r="C895" s="61" t="str">
        <f>IFERROR(__xludf.DUMMYFUNCTION("""COMPUTED_VALUE"""),"Yes")</f>
        <v>Yes</v>
      </c>
      <c r="D895" s="62"/>
      <c r="E895" s="61"/>
      <c r="F895" s="41"/>
    </row>
    <row r="896">
      <c r="A896" s="59" t="str">
        <f>IFERROR(__xludf.DUMMYFUNCTION("""COMPUTED_VALUE"""),"Pucca's Restaurant")</f>
        <v>Pucca's Restaurant</v>
      </c>
      <c r="B896" s="60" t="str">
        <f>IFERROR(__xludf.DUMMYFUNCTION("""COMPUTED_VALUE"""),"3.0.0")</f>
        <v>3.0.0</v>
      </c>
      <c r="C896" s="61" t="str">
        <f>IFERROR(__xludf.DUMMYFUNCTION("""COMPUTED_VALUE"""),"Yes")</f>
        <v>Yes</v>
      </c>
      <c r="D896" s="62" t="str">
        <f>IFERROR(__xludf.DUMMYFUNCTION("""COMPUTED_VALUE"""),"just turn on airplane mode then purchase")</f>
        <v>just turn on airplane mode then purchase</v>
      </c>
      <c r="E896" s="61" t="str">
        <f>IFERROR(__xludf.DUMMYFUNCTION("""COMPUTED_VALUE"""),"Chaos")</f>
        <v>Chaos</v>
      </c>
      <c r="F896" s="41"/>
    </row>
    <row r="897">
      <c r="A897" s="59" t="str">
        <f>IFERROR(__xludf.DUMMYFUNCTION("""COMPUTED_VALUE"""),"Puzzle Quest Chapters 1 &amp; 2")</f>
        <v>Puzzle Quest Chapters 1 &amp; 2</v>
      </c>
      <c r="B897" s="60"/>
      <c r="C897" s="61" t="str">
        <f>IFERROR(__xludf.DUMMYFUNCTION("""COMPUTED_VALUE"""),"Yes")</f>
        <v>Yes</v>
      </c>
      <c r="D897" s="62"/>
      <c r="E897" s="61" t="str">
        <f>IFERROR(__xludf.DUMMYFUNCTION("""COMPUTED_VALUE"""),"KimsunZ")</f>
        <v>KimsunZ</v>
      </c>
      <c r="F897" s="41"/>
    </row>
    <row r="898">
      <c r="A898" s="59" t="str">
        <f>IFERROR(__xludf.DUMMYFUNCTION("""COMPUTED_VALUE"""),"Q Pang")</f>
        <v>Q Pang</v>
      </c>
      <c r="B898" s="60"/>
      <c r="C898" s="61" t="str">
        <f>IFERROR(__xludf.DUMMYFUNCTION("""COMPUTED_VALUE"""),"Yes")</f>
        <v>Yes</v>
      </c>
      <c r="D898" s="62" t="str">
        <f>IFERROR(__xludf.DUMMYFUNCTION("""COMPUTED_VALUE"""),"purchase extra coins infinitely to upgrade abilities")</f>
        <v>purchase extra coins infinitely to upgrade abilities</v>
      </c>
      <c r="E898" s="61" t="str">
        <f>IFERROR(__xludf.DUMMYFUNCTION("""COMPUTED_VALUE"""),"gustao")</f>
        <v>gustao</v>
      </c>
      <c r="F898" s="41"/>
    </row>
    <row r="899">
      <c r="A899" s="59" t="str">
        <f>IFERROR(__xludf.DUMMYFUNCTION("""COMPUTED_VALUE"""),"Race Penguin")</f>
        <v>Race Penguin</v>
      </c>
      <c r="B899" s="60"/>
      <c r="C899" s="61" t="str">
        <f>IFERROR(__xludf.DUMMYFUNCTION("""COMPUTED_VALUE"""),"Yes")</f>
        <v>Yes</v>
      </c>
      <c r="D899" s="62" t="str">
        <f>IFERROR(__xludf.DUMMYFUNCTION("""COMPUTED_VALUE"""),"InApp purchases work")</f>
        <v>InApp purchases work</v>
      </c>
      <c r="E899" s="61"/>
      <c r="F899" s="41"/>
    </row>
    <row r="900">
      <c r="A900" s="59" t="str">
        <f>IFERROR(__xludf.DUMMYFUNCTION("""COMPUTED_VALUE"""),"Rack Stare")</f>
        <v>Rack Stare</v>
      </c>
      <c r="B900" s="60"/>
      <c r="C900" s="61" t="str">
        <f>IFERROR(__xludf.DUMMYFUNCTION("""COMPUTED_VALUE"""),"Yes")</f>
        <v>Yes</v>
      </c>
      <c r="D900" s="62" t="str">
        <f>IFERROR(__xludf.DUMMYFUNCTION("""COMPUTED_VALUE"""),"Unlock levels work")</f>
        <v>Unlock levels work</v>
      </c>
      <c r="E900" s="61" t="str">
        <f>IFERROR(__xludf.DUMMYFUNCTION("""COMPUTED_VALUE"""),"Persephone")</f>
        <v>Persephone</v>
      </c>
      <c r="F900" s="41"/>
    </row>
    <row r="901">
      <c r="A901" s="59" t="str">
        <f>IFERROR(__xludf.DUMMYFUNCTION("""COMPUTED_VALUE"""),"Recess™")</f>
        <v>Recess™</v>
      </c>
      <c r="B901" s="60"/>
      <c r="C901" s="61" t="str">
        <f>IFERROR(__xludf.DUMMYFUNCTION("""COMPUTED_VALUE"""),"Yes")</f>
        <v>Yes</v>
      </c>
      <c r="D901" s="62"/>
      <c r="E901" s="61"/>
      <c r="F901" s="41"/>
    </row>
    <row r="902">
      <c r="A902" s="59" t="str">
        <f>IFERROR(__xludf.DUMMYFUNCTION("""COMPUTED_VALUE"""),"RemoteX PowerManager")</f>
        <v>RemoteX PowerManager</v>
      </c>
      <c r="B902" s="60"/>
      <c r="C902" s="61" t="str">
        <f>IFERROR(__xludf.DUMMYFUNCTION("""COMPUTED_VALUE"""),"Yes")</f>
        <v>Yes</v>
      </c>
      <c r="D902" s="62"/>
      <c r="E902" s="61"/>
      <c r="F902" s="41"/>
    </row>
    <row r="903">
      <c r="A903" s="59" t="str">
        <f>IFERROR(__xludf.DUMMYFUNCTION("""COMPUTED_VALUE"""),"Retina HD")</f>
        <v>Retina HD</v>
      </c>
      <c r="B903" s="60"/>
      <c r="C903" s="61" t="str">
        <f>IFERROR(__xludf.DUMMYFUNCTION("""COMPUTED_VALUE"""),"Yes")</f>
        <v>Yes</v>
      </c>
      <c r="D903" s="62" t="str">
        <f>IFERROR(__xludf.DUMMYFUNCTION("""COMPUTED_VALUE"""),"Store purchases work")</f>
        <v>Store purchases work</v>
      </c>
      <c r="E903" s="61" t="str">
        <f>IFERROR(__xludf.DUMMYFUNCTION("""COMPUTED_VALUE"""),"Persephone")</f>
        <v>Persephone</v>
      </c>
      <c r="F903" s="41"/>
    </row>
    <row r="904">
      <c r="A904" s="59" t="str">
        <f>IFERROR(__xludf.DUMMYFUNCTION("""COMPUTED_VALUE"""),"RoadAndTrack")</f>
        <v>RoadAndTrack</v>
      </c>
      <c r="B904" s="60"/>
      <c r="C904" s="61" t="str">
        <f>IFERROR(__xludf.DUMMYFUNCTION("""COMPUTED_VALUE"""),"Yes")</f>
        <v>Yes</v>
      </c>
      <c r="D904" s="62"/>
      <c r="E904" s="61"/>
      <c r="F904" s="41"/>
    </row>
    <row r="905">
      <c r="A905" s="59" t="str">
        <f>IFERROR(__xludf.DUMMYFUNCTION("""COMPUTED_VALUE"""),"Rugby Kicks")</f>
        <v>Rugby Kicks</v>
      </c>
      <c r="B905" s="60"/>
      <c r="C905" s="61" t="str">
        <f>IFERROR(__xludf.DUMMYFUNCTION("""COMPUTED_VALUE"""),"Yes")</f>
        <v>Yes</v>
      </c>
      <c r="D905" s="62"/>
      <c r="E905" s="61"/>
      <c r="F905" s="41"/>
    </row>
    <row r="906">
      <c r="A906" s="59" t="str">
        <f>IFERROR(__xludf.DUMMYFUNCTION("""COMPUTED_VALUE"""),"Siegecraft")</f>
        <v>Siegecraft</v>
      </c>
      <c r="B906" s="60"/>
      <c r="C906" s="61" t="str">
        <f>IFERROR(__xludf.DUMMYFUNCTION("""COMPUTED_VALUE"""),"Yes")</f>
        <v>Yes</v>
      </c>
      <c r="D906" s="62"/>
      <c r="E906" s="61"/>
      <c r="F906" s="41"/>
    </row>
    <row r="907">
      <c r="A907" s="59" t="str">
        <f>IFERROR(__xludf.DUMMYFUNCTION("""COMPUTED_VALUE"""),"Silent Film Director")</f>
        <v>Silent Film Director</v>
      </c>
      <c r="B907" s="60"/>
      <c r="C907" s="61" t="str">
        <f>IFERROR(__xludf.DUMMYFUNCTION("""COMPUTED_VALUE"""),"Yes")</f>
        <v>Yes</v>
      </c>
      <c r="D907" s="62"/>
      <c r="E907" s="61"/>
      <c r="F907" s="41"/>
    </row>
    <row r="908">
      <c r="A908" s="59" t="str">
        <f>IFERROR(__xludf.DUMMYFUNCTION("""COMPUTED_VALUE"""),"Smurf village")</f>
        <v>Smurf village</v>
      </c>
      <c r="B908" s="60"/>
      <c r="C908" s="61" t="str">
        <f>IFERROR(__xludf.DUMMYFUNCTION("""COMPUTED_VALUE"""),"Yes")</f>
        <v>Yes</v>
      </c>
      <c r="D908" s="62"/>
      <c r="E908" s="61"/>
      <c r="F908" s="41"/>
    </row>
    <row r="909">
      <c r="A909" s="59" t="str">
        <f>IFERROR(__xludf.DUMMYFUNCTION("""COMPUTED_VALUE"""),"Star Blitz")</f>
        <v>Star Blitz</v>
      </c>
      <c r="B909" s="60"/>
      <c r="C909" s="61" t="str">
        <f>IFERROR(__xludf.DUMMYFUNCTION("""COMPUTED_VALUE"""),"Yes")</f>
        <v>Yes</v>
      </c>
      <c r="D909" s="62"/>
      <c r="E909" s="61" t="str">
        <f>IFERROR(__xludf.DUMMYFUNCTION("""COMPUTED_VALUE"""),"darwin88")</f>
        <v>darwin88</v>
      </c>
      <c r="F909" s="41"/>
    </row>
    <row r="910">
      <c r="A910" s="59" t="str">
        <f>IFERROR(__xludf.DUMMYFUNCTION("""COMPUTED_VALUE"""),"swackett")</f>
        <v>swackett</v>
      </c>
      <c r="B910" s="60"/>
      <c r="C910" s="61" t="str">
        <f>IFERROR(__xludf.DUMMYFUNCTION("""COMPUTED_VALUE"""),"Yes")</f>
        <v>Yes</v>
      </c>
      <c r="D910" s="62" t="str">
        <f>IFERROR(__xludf.DUMMYFUNCTION("""COMPUTED_VALUE"""),"disable ads permanently")</f>
        <v>disable ads permanently</v>
      </c>
      <c r="E910" s="61" t="str">
        <f>IFERROR(__xludf.DUMMYFUNCTION("""COMPUTED_VALUE"""),"gustao")</f>
        <v>gustao</v>
      </c>
      <c r="F910" s="41"/>
    </row>
    <row r="911">
      <c r="A911" s="59" t="str">
        <f>IFERROR(__xludf.DUMMYFUNCTION("""COMPUTED_VALUE"""),"Sylo Synthesiser")</f>
        <v>Sylo Synthesiser</v>
      </c>
      <c r="B911" s="60"/>
      <c r="C911" s="61" t="str">
        <f>IFERROR(__xludf.DUMMYFUNCTION("""COMPUTED_VALUE"""),"Yes")</f>
        <v>Yes</v>
      </c>
      <c r="D911" s="62"/>
      <c r="E911" s="61"/>
      <c r="F911" s="41"/>
    </row>
    <row r="912">
      <c r="A912" s="59" t="str">
        <f>IFERROR(__xludf.DUMMYFUNCTION("""COMPUTED_VALUE"""),"Talking Pierre the Parrot")</f>
        <v>Talking Pierre the Parrot</v>
      </c>
      <c r="B912" s="60"/>
      <c r="C912" s="61" t="str">
        <f>IFERROR(__xludf.DUMMYFUNCTION("""COMPUTED_VALUE"""),"Yes")</f>
        <v>Yes</v>
      </c>
      <c r="D912" s="62"/>
      <c r="E912" s="61"/>
      <c r="F912" s="41"/>
    </row>
    <row r="913">
      <c r="A913" s="59" t="str">
        <f>IFERROR(__xludf.DUMMYFUNCTION("""COMPUTED_VALUE"""),"Talking Tom &amp; Ben News")</f>
        <v>Talking Tom &amp; Ben News</v>
      </c>
      <c r="B913" s="60"/>
      <c r="C913" s="61" t="str">
        <f>IFERROR(__xludf.DUMMYFUNCTION("""COMPUTED_VALUE"""),"Yes")</f>
        <v>Yes</v>
      </c>
      <c r="D913" s="62"/>
      <c r="E913" s="61"/>
      <c r="F913" s="41"/>
    </row>
    <row r="914">
      <c r="A914" s="59" t="str">
        <f>IFERROR(__xludf.DUMMYFUNCTION("""COMPUTED_VALUE"""),"Talking Tom &amp; Ben News for iPad")</f>
        <v>Talking Tom &amp; Ben News for iPad</v>
      </c>
      <c r="B914" s="60"/>
      <c r="C914" s="61" t="str">
        <f>IFERROR(__xludf.DUMMYFUNCTION("""COMPUTED_VALUE"""),"Yes")</f>
        <v>Yes</v>
      </c>
      <c r="D914" s="62"/>
      <c r="E914" s="61"/>
      <c r="F914" s="41"/>
    </row>
    <row r="915">
      <c r="A915" s="59" t="str">
        <f>IFERROR(__xludf.DUMMYFUNCTION("""COMPUTED_VALUE"""),"tangram!")</f>
        <v>tangram!</v>
      </c>
      <c r="B915" s="60"/>
      <c r="C915" s="61" t="str">
        <f>IFERROR(__xludf.DUMMYFUNCTION("""COMPUTED_VALUE"""),"Yes")</f>
        <v>Yes</v>
      </c>
      <c r="D915" s="62" t="str">
        <f>IFERROR(__xludf.DUMMYFUNCTION("""COMPUTED_VALUE"""),"unlock all the 200 new puzzles")</f>
        <v>unlock all the 200 new puzzles</v>
      </c>
      <c r="E915" s="61" t="str">
        <f>IFERROR(__xludf.DUMMYFUNCTION("""COMPUTED_VALUE"""),"gustao")</f>
        <v>gustao</v>
      </c>
      <c r="F915" s="41"/>
    </row>
    <row r="916">
      <c r="A916" s="59" t="str">
        <f>IFERROR(__xludf.DUMMYFUNCTION("""COMPUTED_VALUE"""),"Tap Resort")</f>
        <v>Tap Resort</v>
      </c>
      <c r="B916" s="60"/>
      <c r="C916" s="61" t="str">
        <f>IFERROR(__xludf.DUMMYFUNCTION("""COMPUTED_VALUE"""),"Yes")</f>
        <v>Yes</v>
      </c>
      <c r="D916" s="62"/>
      <c r="E916" s="61"/>
      <c r="F916" s="41"/>
    </row>
    <row r="917">
      <c r="A917" s="59" t="str">
        <f>IFERROR(__xludf.DUMMYFUNCTION("""COMPUTED_VALUE"""),"The Cube")</f>
        <v>The Cube</v>
      </c>
      <c r="B917" s="60"/>
      <c r="C917" s="61" t="str">
        <f>IFERROR(__xludf.DUMMYFUNCTION("""COMPUTED_VALUE"""),"Yes")</f>
        <v>Yes</v>
      </c>
      <c r="D917" s="62"/>
      <c r="E917" s="61" t="str">
        <f>IFERROR(__xludf.DUMMYFUNCTION("""COMPUTED_VALUE"""),"Yes")</f>
        <v>Yes</v>
      </c>
      <c r="F917" s="41"/>
    </row>
    <row r="918">
      <c r="A918" s="59" t="str">
        <f>IFERROR(__xludf.DUMMYFUNCTION("""COMPUTED_VALUE"""),"The Sims 3")</f>
        <v>The Sims 3</v>
      </c>
      <c r="B918" s="60"/>
      <c r="C918" s="61" t="str">
        <f>IFERROR(__xludf.DUMMYFUNCTION("""COMPUTED_VALUE"""),"Yes")</f>
        <v>Yes</v>
      </c>
      <c r="D918" s="62" t="str">
        <f>IFERROR(__xludf.DUMMYFUNCTION("""COMPUTED_VALUE"""),"Works good")</f>
        <v>Works good</v>
      </c>
      <c r="E918" s="61"/>
      <c r="F918" s="41"/>
    </row>
    <row r="919">
      <c r="A919" s="59" t="str">
        <f>IFERROR(__xludf.DUMMYFUNCTION("""COMPUTED_VALUE"""),"Tiki Cart 3D")</f>
        <v>Tiki Cart 3D</v>
      </c>
      <c r="B919" s="60"/>
      <c r="C919" s="61" t="str">
        <f>IFERROR(__xludf.DUMMYFUNCTION("""COMPUTED_VALUE"""),"Yes")</f>
        <v>Yes</v>
      </c>
      <c r="D919" s="62" t="str">
        <f>IFERROR(__xludf.DUMMYFUNCTION("""COMPUTED_VALUE"""),"download all circuts, cars, and tikis")</f>
        <v>download all circuts, cars, and tikis</v>
      </c>
      <c r="E919" s="61" t="str">
        <f>IFERROR(__xludf.DUMMYFUNCTION("""COMPUTED_VALUE"""),"Carnage")</f>
        <v>Carnage</v>
      </c>
      <c r="F919" s="41"/>
    </row>
    <row r="920">
      <c r="A920" s="59" t="str">
        <f>IFERROR(__xludf.DUMMYFUNCTION("""COMPUTED_VALUE"""),"Tiki Tokem 2")</f>
        <v>Tiki Tokem 2</v>
      </c>
      <c r="B920" s="60"/>
      <c r="C920" s="61" t="str">
        <f>IFERROR(__xludf.DUMMYFUNCTION("""COMPUTED_VALUE"""),"Yes")</f>
        <v>Yes</v>
      </c>
      <c r="D920" s="62"/>
      <c r="E920" s="61"/>
      <c r="F920" s="41"/>
    </row>
    <row r="921">
      <c r="A921" s="59" t="str">
        <f>IFERROR(__xludf.DUMMYFUNCTION("""COMPUTED_VALUE"""),"TomTom Australia")</f>
        <v>TomTom Australia</v>
      </c>
      <c r="B921" s="60"/>
      <c r="C921" s="61" t="str">
        <f>IFERROR(__xludf.DUMMYFUNCTION("""COMPUTED_VALUE"""),"Yes")</f>
        <v>Yes</v>
      </c>
      <c r="D921" s="62" t="str">
        <f>IFERROR(__xludf.DUMMYFUNCTION("""COMPUTED_VALUE"""),"can purchase extra voice, like Homer")</f>
        <v>can purchase extra voice, like Homer</v>
      </c>
      <c r="E921" s="61"/>
      <c r="F921" s="41"/>
    </row>
    <row r="922">
      <c r="A922" s="59" t="str">
        <f>IFERROR(__xludf.DUMMYFUNCTION("""COMPUTED_VALUE"""),"TomTom UK")</f>
        <v>TomTom UK</v>
      </c>
      <c r="B922" s="60">
        <f>IFERROR(__xludf.DUMMYFUNCTION("""COMPUTED_VALUE"""),1.1)</f>
        <v>1.1</v>
      </c>
      <c r="C922" s="61" t="str">
        <f>IFERROR(__xludf.DUMMYFUNCTION("""COMPUTED_VALUE"""),"Yes")</f>
        <v>Yes</v>
      </c>
      <c r="D922" s="62" t="str">
        <f>IFERROR(__xludf.DUMMYFUNCTION("""COMPUTED_VALUE"""),"Can purchase anything, voices, cameras, traffic :)")</f>
        <v>Can purchase anything, voices, cameras, traffic :)</v>
      </c>
      <c r="E922" s="61"/>
      <c r="F922" s="41"/>
    </row>
    <row r="923">
      <c r="A923" s="59" t="str">
        <f>IFERROR(__xludf.DUMMYFUNCTION("""COMPUTED_VALUE"""),"ToonPAINT")</f>
        <v>ToonPAINT</v>
      </c>
      <c r="B923" s="60"/>
      <c r="C923" s="61" t="str">
        <f>IFERROR(__xludf.DUMMYFUNCTION("""COMPUTED_VALUE"""),"Yes")</f>
        <v>Yes</v>
      </c>
      <c r="D923" s="62" t="str">
        <f>IFERROR(__xludf.DUMMYFUNCTION("""COMPUTED_VALUE"""),"In app purchase of additional features")</f>
        <v>In app purchase of additional features</v>
      </c>
      <c r="E923" s="61"/>
      <c r="F923" s="41"/>
    </row>
    <row r="924">
      <c r="A924" s="59" t="str">
        <f>IFERROR(__xludf.DUMMYFUNCTION("""COMPUTED_VALUE"""),"Transphotos")</f>
        <v>Transphotos</v>
      </c>
      <c r="B924" s="60"/>
      <c r="C924" s="61" t="str">
        <f>IFERROR(__xludf.DUMMYFUNCTION("""COMPUTED_VALUE"""),"Yes")</f>
        <v>Yes</v>
      </c>
      <c r="D924" s="62" t="str">
        <f>IFERROR(__xludf.DUMMYFUNCTION("""COMPUTED_VALUE"""),"Gives you all filters")</f>
        <v>Gives you all filters</v>
      </c>
      <c r="E924" s="61"/>
      <c r="F924" s="41"/>
    </row>
    <row r="925">
      <c r="A925" s="59" t="str">
        <f>IFERROR(__xludf.DUMMYFUNCTION("""COMPUTED_VALUE"""),"Trenches II")</f>
        <v>Trenches II</v>
      </c>
      <c r="B925" s="60"/>
      <c r="C925" s="61" t="str">
        <f>IFERROR(__xludf.DUMMYFUNCTION("""COMPUTED_VALUE"""),"Yes")</f>
        <v>Yes</v>
      </c>
      <c r="D925" s="62" t="str">
        <f>IFERROR(__xludf.DUMMYFUNCTION("""COMPUTED_VALUE"""),"Compra Todas Las Ventajas")</f>
        <v>Compra Todas Las Ventajas</v>
      </c>
      <c r="E925" s="61" t="str">
        <f>IFERROR(__xludf.DUMMYFUNCTION("""COMPUTED_VALUE"""),"Rsp")</f>
        <v>Rsp</v>
      </c>
      <c r="F925" s="41"/>
    </row>
    <row r="926">
      <c r="A926" s="59" t="str">
        <f>IFERROR(__xludf.DUMMYFUNCTION("""COMPUTED_VALUE"""),"Tripwolf")</f>
        <v>Tripwolf</v>
      </c>
      <c r="B926" s="60"/>
      <c r="C926" s="61" t="str">
        <f>IFERROR(__xludf.DUMMYFUNCTION("""COMPUTED_VALUE"""),"Yes")</f>
        <v>Yes</v>
      </c>
      <c r="D926" s="62"/>
      <c r="E926" s="61"/>
      <c r="F926" s="41"/>
    </row>
    <row r="927">
      <c r="A927" s="59" t="str">
        <f>IFERROR(__xludf.DUMMYFUNCTION("""COMPUTED_VALUE"""),"Uefa Champions League")</f>
        <v>Uefa Champions League</v>
      </c>
      <c r="B927" s="60"/>
      <c r="C927" s="61" t="str">
        <f>IFERROR(__xludf.DUMMYFUNCTION("""COMPUTED_VALUE"""),"Yes")</f>
        <v>Yes</v>
      </c>
      <c r="D927" s="62" t="str">
        <f>IFERROR(__xludf.DUMMYFUNCTION("""COMPUTED_VALUE"""),"works perfectly with season pass and individual videos")</f>
        <v>works perfectly with season pass and individual videos</v>
      </c>
      <c r="E927" s="61" t="str">
        <f>IFERROR(__xludf.DUMMYFUNCTION("""COMPUTED_VALUE"""),"andre")</f>
        <v>andre</v>
      </c>
      <c r="F927" s="41"/>
    </row>
    <row r="928">
      <c r="A928" s="59" t="str">
        <f>IFERROR(__xludf.DUMMYFUNCTION("""COMPUTED_VALUE"""),"VDM")</f>
        <v>VDM</v>
      </c>
      <c r="B928" s="60"/>
      <c r="C928" s="61" t="str">
        <f>IFERROR(__xludf.DUMMYFUNCTION("""COMPUTED_VALUE"""),"Yes")</f>
        <v>Yes</v>
      </c>
      <c r="D928" s="62"/>
      <c r="E928" s="61" t="str">
        <f>IFERROR(__xludf.DUMMYFUNCTION("""COMPUTED_VALUE"""),"malinois")</f>
        <v>malinois</v>
      </c>
      <c r="F928" s="41"/>
    </row>
    <row r="929">
      <c r="A929" s="59" t="str">
        <f>IFERROR(__xludf.DUMMYFUNCTION("""COMPUTED_VALUE"""),"Vocalive free for Ipad")</f>
        <v>Vocalive free for Ipad</v>
      </c>
      <c r="B929" s="60"/>
      <c r="C929" s="61" t="str">
        <f>IFERROR(__xludf.DUMMYFUNCTION("""COMPUTED_VALUE"""),"Yes")</f>
        <v>Yes</v>
      </c>
      <c r="D929" s="62"/>
      <c r="E929" s="61"/>
      <c r="F929" s="41"/>
    </row>
    <row r="930">
      <c r="A930" s="59" t="str">
        <f>IFERROR(__xludf.DUMMYFUNCTION("""COMPUTED_VALUE"""),"VOE")</f>
        <v>VOE</v>
      </c>
      <c r="B930" s="60"/>
      <c r="C930" s="61" t="str">
        <f>IFERROR(__xludf.DUMMYFUNCTION("""COMPUTED_VALUE"""),"Yes")</f>
        <v>Yes</v>
      </c>
      <c r="D930" s="62"/>
      <c r="E930" s="61"/>
      <c r="F930" s="41"/>
    </row>
    <row r="931">
      <c r="A931" s="59" t="str">
        <f>IFERROR(__xludf.DUMMYFUNCTION("""COMPUTED_VALUE"""),"We Farm")</f>
        <v>We Farm</v>
      </c>
      <c r="B931" s="60"/>
      <c r="C931" s="61" t="str">
        <f>IFERROR(__xludf.DUMMYFUNCTION("""COMPUTED_VALUE"""),"Yes")</f>
        <v>Yes</v>
      </c>
      <c r="D931" s="62"/>
      <c r="E931" s="61"/>
      <c r="F931" s="41"/>
    </row>
    <row r="932">
      <c r="A932" s="59" t="str">
        <f>IFERROR(__xludf.DUMMYFUNCTION("""COMPUTED_VALUE"""),"Yen Press")</f>
        <v>Yen Press</v>
      </c>
      <c r="B932" s="60"/>
      <c r="C932" s="61" t="str">
        <f>IFERROR(__xludf.DUMMYFUNCTION("""COMPUTED_VALUE"""),"Yes")</f>
        <v>Yes</v>
      </c>
      <c r="D932" s="62" t="str">
        <f>IFERROR(__xludf.DUMMYFUNCTION("""COMPUTED_VALUE"""),"May get incomplete downloads but works. Just delete and redownload if happens.")</f>
        <v>May get incomplete downloads but works. Just delete and redownload if happens.</v>
      </c>
      <c r="E932" s="61" t="str">
        <f>IFERROR(__xludf.DUMMYFUNCTION("""COMPUTED_VALUE"""),"ShadowzI")</f>
        <v>ShadowzI</v>
      </c>
      <c r="F932" s="41"/>
    </row>
    <row r="933">
      <c r="A933" s="59" t="str">
        <f>IFERROR(__xludf.DUMMYFUNCTION("""COMPUTED_VALUE"""),"YoFilm")</f>
        <v>YoFilm</v>
      </c>
      <c r="B933" s="60"/>
      <c r="C933" s="61" t="str">
        <f>IFERROR(__xludf.DUMMYFUNCTION("""COMPUTED_VALUE"""),"Yes")</f>
        <v>Yes</v>
      </c>
      <c r="D933" s="62"/>
      <c r="E933" s="61"/>
      <c r="F933" s="41"/>
    </row>
    <row r="934">
      <c r="A934" s="59" t="str">
        <f>IFERROR(__xludf.DUMMYFUNCTION("""COMPUTED_VALUE"""),"Zombie Carnival")</f>
        <v>Zombie Carnival</v>
      </c>
      <c r="B934" s="60"/>
      <c r="C934" s="61" t="str">
        <f>IFERROR(__xludf.DUMMYFUNCTION("""COMPUTED_VALUE"""),"Yes")</f>
        <v>Yes</v>
      </c>
      <c r="D934" s="62" t="str">
        <f>IFERROR(__xludf.DUMMYFUNCTION("""COMPUTED_VALUE"""),"Works on everything, hearts, zombills and the swipe enemies in invading battles")</f>
        <v>Works on everything, hearts, zombills and the swipe enemies in invading battles</v>
      </c>
      <c r="E934" s="61" t="str">
        <f>IFERROR(__xludf.DUMMYFUNCTION("""COMPUTED_VALUE"""),"JanJR10785")</f>
        <v>JanJR10785</v>
      </c>
      <c r="F934" s="41"/>
    </row>
    <row r="935">
      <c r="A935" s="59" t="str">
        <f>IFERROR(__xludf.DUMMYFUNCTION("""COMPUTED_VALUE"""),"Zombie Crisis 2")</f>
        <v>Zombie Crisis 2</v>
      </c>
      <c r="B935" s="60"/>
      <c r="C935" s="61" t="str">
        <f>IFERROR(__xludf.DUMMYFUNCTION("""COMPUTED_VALUE"""),"Yes")</f>
        <v>Yes</v>
      </c>
      <c r="D935" s="62" t="str">
        <f>IFERROR(__xludf.DUMMYFUNCTION("""COMPUTED_VALUE"""),"Works for unlocked inf ammo for all guns")</f>
        <v>Works for unlocked inf ammo for all guns</v>
      </c>
      <c r="E935" s="61"/>
      <c r="F935" s="41"/>
    </row>
    <row r="936">
      <c r="A936" s="59" t="str">
        <f>IFERROR(__xludf.DUMMYFUNCTION("""COMPUTED_VALUE"""),"Zombie Crisis 3D")</f>
        <v>Zombie Crisis 3D</v>
      </c>
      <c r="B936" s="60"/>
      <c r="C936" s="61" t="str">
        <f>IFERROR(__xludf.DUMMYFUNCTION("""COMPUTED_VALUE"""),"Yes")</f>
        <v>Yes</v>
      </c>
      <c r="D936" s="62" t="str">
        <f>IFERROR(__xludf.DUMMYFUNCTION("""COMPUTED_VALUE"""),"Gets you inf ammo for machinegun and shotgun")</f>
        <v>Gets you inf ammo for machinegun and shotgun</v>
      </c>
      <c r="E936" s="61"/>
      <c r="F936" s="41"/>
    </row>
    <row r="937">
      <c r="A937" s="59" t="str">
        <f>IFERROR(__xludf.DUMMYFUNCTION("""COMPUTED_VALUE"""),"Zombie HQ")</f>
        <v>Zombie HQ</v>
      </c>
      <c r="B937" s="60"/>
      <c r="C937" s="61" t="str">
        <f>IFERROR(__xludf.DUMMYFUNCTION("""COMPUTED_VALUE"""),"Yes")</f>
        <v>Yes</v>
      </c>
      <c r="D937" s="62"/>
      <c r="E937" s="61"/>
      <c r="F937" s="41"/>
    </row>
  </sheetData>
  <mergeCells count="2">
    <mergeCell ref="A1:F1"/>
    <mergeCell ref="A2:F2"/>
  </mergeCells>
  <conditionalFormatting sqref="C1">
    <cfRule type="cellIs" dxfId="3" priority="1" operator="equal">
      <formula>"Yes"</formula>
    </cfRule>
  </conditionalFormatting>
  <conditionalFormatting sqref="C3:C869">
    <cfRule type="cellIs" dxfId="3" priority="2" operator="equal">
      <formula>"Yes"</formula>
    </cfRule>
  </conditionalFormatting>
  <conditionalFormatting sqref="C1">
    <cfRule type="containsText" dxfId="4" priority="3" operator="containsText" text="No">
      <formula>NOT(ISERROR(SEARCH(("No"),(C1))))</formula>
    </cfRule>
  </conditionalFormatting>
  <conditionalFormatting sqref="C3:C869">
    <cfRule type="containsText" dxfId="4" priority="4" operator="containsText" text="No">
      <formula>NOT(ISERROR(SEARCH(("No"),(C3))))</formula>
    </cfRule>
  </conditionalFormatting>
  <conditionalFormatting sqref="C1">
    <cfRule type="containsText" dxfId="5" priority="5" operator="containsText" text="Partially">
      <formula>NOT(ISERROR(SEARCH(("Partially"),(C1))))</formula>
    </cfRule>
  </conditionalFormatting>
  <conditionalFormatting sqref="C3:C869">
    <cfRule type="containsText" dxfId="5" priority="6" operator="containsText" text="Partially">
      <formula>NOT(ISERROR(SEARCH(("Partially"),(C3))))</formula>
    </cfRule>
  </conditionalFormatting>
  <hyperlinks>
    <hyperlink r:id="rId1" ref="A67"/>
    <hyperlink r:id="rId2" ref="D12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2" width="17.29"/>
    <col customWidth="1" min="4" max="4" width="16.57"/>
    <col customWidth="1" min="5" max="5" width="29.29"/>
    <col customWidth="1" min="6" max="6" width="20.29"/>
    <col customWidth="1" min="7" max="7" width="29.71"/>
  </cols>
  <sheetData>
    <row r="1" ht="22.5" customHeight="1">
      <c r="A1" s="5" t="s">
        <v>3083</v>
      </c>
    </row>
    <row r="2">
      <c r="A2" s="2" t="str">
        <f>HYPERLINK("http://bit.ly/iapfreesheet","Please keep ALL iAPFree apps in the iAPFree Compatibility list, which can be found by clicking here.")</f>
        <v>Please keep ALL iAPFree apps in the iAPFree Compatibility list, which can be found by clicking here.</v>
      </c>
    </row>
    <row r="3">
      <c r="A3" s="3" t="s">
        <v>3083</v>
      </c>
      <c r="B3" s="3" t="s">
        <v>3084</v>
      </c>
      <c r="C3" s="3" t="s">
        <v>3085</v>
      </c>
      <c r="D3" s="3" t="s">
        <v>3</v>
      </c>
      <c r="E3" s="3" t="s">
        <v>3086</v>
      </c>
      <c r="F3" s="4" t="s">
        <v>5</v>
      </c>
      <c r="G3" s="3" t="s">
        <v>3087</v>
      </c>
    </row>
    <row r="4">
      <c r="A4" s="65">
        <v>41182.54960648148</v>
      </c>
      <c r="B4" s="66" t="s">
        <v>3088</v>
      </c>
      <c r="C4" s="13" t="s">
        <v>659</v>
      </c>
      <c r="D4" s="67" t="s">
        <v>9</v>
      </c>
      <c r="E4" s="13" t="s">
        <v>3089</v>
      </c>
      <c r="F4" s="13" t="s">
        <v>3090</v>
      </c>
      <c r="G4" s="68">
        <v>41182.0</v>
      </c>
    </row>
    <row r="5">
      <c r="A5" s="69">
        <v>41182.55185185185</v>
      </c>
      <c r="B5" s="6" t="s">
        <v>3088</v>
      </c>
      <c r="C5" s="6" t="s">
        <v>659</v>
      </c>
      <c r="D5" s="27" t="s">
        <v>19</v>
      </c>
      <c r="E5" s="6" t="s">
        <v>3089</v>
      </c>
      <c r="F5" s="6" t="s">
        <v>3090</v>
      </c>
      <c r="G5" s="24">
        <v>41182.0</v>
      </c>
    </row>
    <row r="6">
      <c r="A6" s="69">
        <v>41184.05453703704</v>
      </c>
      <c r="B6" s="6" t="s">
        <v>3091</v>
      </c>
      <c r="C6" s="12"/>
      <c r="D6" s="6" t="s">
        <v>9</v>
      </c>
      <c r="E6" s="6" t="s">
        <v>3092</v>
      </c>
      <c r="F6" s="12"/>
      <c r="G6" s="24">
        <v>40918.0</v>
      </c>
    </row>
    <row r="7">
      <c r="A7" s="69">
        <v>41184.055138888885</v>
      </c>
      <c r="B7" s="6" t="s">
        <v>3093</v>
      </c>
      <c r="C7" s="12"/>
      <c r="D7" s="6" t="s">
        <v>9</v>
      </c>
      <c r="E7" s="6" t="s">
        <v>3094</v>
      </c>
      <c r="F7" s="12"/>
      <c r="G7" s="24">
        <v>40918.0</v>
      </c>
    </row>
    <row r="8">
      <c r="A8" s="69">
        <v>41184.05552083333</v>
      </c>
      <c r="B8" s="6" t="s">
        <v>3095</v>
      </c>
      <c r="C8" s="12"/>
      <c r="D8" s="6" t="s">
        <v>19</v>
      </c>
      <c r="E8" s="12"/>
      <c r="F8" s="12"/>
      <c r="G8" s="24">
        <v>40918.0</v>
      </c>
    </row>
    <row r="9">
      <c r="A9" s="69">
        <v>41184.05578703704</v>
      </c>
      <c r="B9" s="6" t="s">
        <v>3096</v>
      </c>
      <c r="C9" s="12"/>
      <c r="D9" s="6" t="s">
        <v>9</v>
      </c>
      <c r="E9" s="12"/>
      <c r="F9" s="12"/>
      <c r="G9" s="24">
        <v>40918.0</v>
      </c>
    </row>
    <row r="10">
      <c r="A10" s="69">
        <v>41184.05638888889</v>
      </c>
      <c r="B10" s="6" t="s">
        <v>3097</v>
      </c>
      <c r="C10" s="12"/>
      <c r="D10" s="6" t="s">
        <v>19</v>
      </c>
      <c r="E10" s="12"/>
      <c r="F10" s="12"/>
      <c r="G10" s="24">
        <v>40918.0</v>
      </c>
    </row>
    <row r="11">
      <c r="A11" s="69">
        <v>41184.429560185185</v>
      </c>
      <c r="B11" s="6" t="s">
        <v>3098</v>
      </c>
      <c r="C11" s="12"/>
      <c r="D11" s="6" t="s">
        <v>9</v>
      </c>
      <c r="E11" s="6" t="s">
        <v>3099</v>
      </c>
      <c r="F11" s="6" t="s">
        <v>3100</v>
      </c>
      <c r="G11" s="24">
        <v>40949.0</v>
      </c>
    </row>
    <row r="12">
      <c r="A12" s="69">
        <v>41186.103854166664</v>
      </c>
      <c r="B12" s="6" t="s">
        <v>3101</v>
      </c>
      <c r="C12" s="6" t="s">
        <v>201</v>
      </c>
      <c r="D12" s="6" t="s">
        <v>19</v>
      </c>
      <c r="E12" s="6" t="s">
        <v>3102</v>
      </c>
      <c r="F12" s="6" t="s">
        <v>540</v>
      </c>
      <c r="G12" s="24">
        <v>41185.0</v>
      </c>
    </row>
    <row r="13">
      <c r="A13" s="69">
        <v>41186.77045138889</v>
      </c>
      <c r="B13" s="6" t="s">
        <v>3103</v>
      </c>
      <c r="C13" s="12"/>
      <c r="D13" s="6" t="s">
        <v>9</v>
      </c>
      <c r="E13" s="6" t="s">
        <v>3104</v>
      </c>
      <c r="F13" s="6" t="s">
        <v>3105</v>
      </c>
      <c r="G13" s="24">
        <v>41187.0</v>
      </c>
    </row>
    <row r="14">
      <c r="A14" s="69">
        <v>41186.8534375</v>
      </c>
      <c r="B14" s="6" t="s">
        <v>3106</v>
      </c>
      <c r="C14" s="12"/>
      <c r="D14" s="6" t="s">
        <v>19</v>
      </c>
      <c r="E14" s="6" t="s">
        <v>3107</v>
      </c>
      <c r="F14" s="6" t="s">
        <v>3105</v>
      </c>
      <c r="G14" s="24">
        <v>41187.0</v>
      </c>
    </row>
    <row r="15">
      <c r="A15" s="69">
        <v>41186.89050925926</v>
      </c>
      <c r="B15" s="6" t="s">
        <v>3108</v>
      </c>
      <c r="C15" s="6" t="s">
        <v>3109</v>
      </c>
      <c r="D15" s="6" t="s">
        <v>9</v>
      </c>
      <c r="E15" s="6" t="s">
        <v>3110</v>
      </c>
      <c r="F15" s="6" t="s">
        <v>3105</v>
      </c>
      <c r="G15" s="24">
        <v>41187.0</v>
      </c>
    </row>
    <row r="16">
      <c r="A16" s="69">
        <v>41186.96092592592</v>
      </c>
      <c r="B16" s="6" t="s">
        <v>3111</v>
      </c>
      <c r="C16" s="6" t="s">
        <v>1311</v>
      </c>
      <c r="D16" s="6" t="s">
        <v>9</v>
      </c>
      <c r="E16" s="6" t="s">
        <v>3112</v>
      </c>
      <c r="F16" s="6" t="s">
        <v>3105</v>
      </c>
      <c r="G16" s="24">
        <v>41187.0</v>
      </c>
    </row>
    <row r="17">
      <c r="A17" s="69">
        <v>41186.963483796295</v>
      </c>
      <c r="B17" s="6" t="s">
        <v>3113</v>
      </c>
      <c r="C17" s="12"/>
      <c r="D17" s="6" t="s">
        <v>9</v>
      </c>
      <c r="E17" s="6" t="s">
        <v>3114</v>
      </c>
      <c r="F17" s="6" t="s">
        <v>3105</v>
      </c>
      <c r="G17" s="24">
        <v>41187.0</v>
      </c>
    </row>
    <row r="18">
      <c r="A18" s="69">
        <v>41187.21662037037</v>
      </c>
      <c r="B18" s="6" t="s">
        <v>3115</v>
      </c>
      <c r="C18" s="6">
        <v>1.6</v>
      </c>
      <c r="D18" s="6" t="s">
        <v>19</v>
      </c>
      <c r="E18" s="6" t="s">
        <v>3116</v>
      </c>
      <c r="F18" s="6" t="s">
        <v>3117</v>
      </c>
      <c r="G18" s="24">
        <v>41187.0</v>
      </c>
    </row>
    <row r="19">
      <c r="A19" s="69">
        <v>41191.58021990741</v>
      </c>
      <c r="B19" s="6" t="s">
        <v>3118</v>
      </c>
      <c r="C19" s="6" t="s">
        <v>659</v>
      </c>
      <c r="D19" s="6" t="s">
        <v>19</v>
      </c>
      <c r="E19" s="12"/>
      <c r="F19" s="12"/>
      <c r="G19" s="24">
        <v>41191.0</v>
      </c>
    </row>
    <row r="20">
      <c r="A20" s="69">
        <v>41191.955243055556</v>
      </c>
      <c r="B20" s="6" t="s">
        <v>797</v>
      </c>
      <c r="C20" s="6" t="s">
        <v>3119</v>
      </c>
      <c r="D20" s="6" t="s">
        <v>19</v>
      </c>
      <c r="E20" s="6" t="s">
        <v>3120</v>
      </c>
      <c r="F20" s="12"/>
      <c r="G20" s="24">
        <v>41162.0</v>
      </c>
    </row>
    <row r="21">
      <c r="A21" s="69">
        <v>41192.99618055556</v>
      </c>
      <c r="B21" s="6" t="s">
        <v>3121</v>
      </c>
      <c r="C21" s="6" t="s">
        <v>3122</v>
      </c>
      <c r="D21" s="6" t="s">
        <v>9</v>
      </c>
      <c r="E21" s="6" t="s">
        <v>3123</v>
      </c>
      <c r="F21" s="6" t="s">
        <v>3124</v>
      </c>
      <c r="G21" s="24">
        <v>41193.0</v>
      </c>
    </row>
    <row r="22">
      <c r="A22" s="69">
        <v>41192.997199074074</v>
      </c>
      <c r="B22" s="6" t="s">
        <v>3125</v>
      </c>
      <c r="C22" s="6" t="s">
        <v>3126</v>
      </c>
      <c r="D22" s="6" t="s">
        <v>9</v>
      </c>
      <c r="E22" s="6" t="s">
        <v>3127</v>
      </c>
      <c r="F22" s="6" t="s">
        <v>3124</v>
      </c>
      <c r="G22" s="24">
        <v>41193.0</v>
      </c>
    </row>
    <row r="23">
      <c r="A23" s="69">
        <v>41194.08280092593</v>
      </c>
      <c r="B23" s="6" t="s">
        <v>3128</v>
      </c>
      <c r="C23" s="12"/>
      <c r="D23" s="6" t="s">
        <v>19</v>
      </c>
      <c r="E23" s="6" t="s">
        <v>3129</v>
      </c>
      <c r="F23" s="6" t="s">
        <v>3130</v>
      </c>
      <c r="G23" s="24">
        <v>41194.0</v>
      </c>
    </row>
    <row r="24">
      <c r="A24" s="69">
        <v>41194.545752314814</v>
      </c>
      <c r="B24" s="6" t="s">
        <v>3131</v>
      </c>
      <c r="C24" s="6" t="s">
        <v>953</v>
      </c>
      <c r="D24" s="6" t="s">
        <v>9</v>
      </c>
      <c r="E24" s="6" t="s">
        <v>3132</v>
      </c>
      <c r="F24" s="6" t="s">
        <v>3133</v>
      </c>
      <c r="G24" s="24">
        <v>41194.0</v>
      </c>
    </row>
    <row r="25">
      <c r="A25" s="69">
        <v>41195.05877314815</v>
      </c>
      <c r="B25" s="6" t="s">
        <v>3134</v>
      </c>
      <c r="C25" s="6" t="s">
        <v>3135</v>
      </c>
      <c r="D25" s="6" t="s">
        <v>19</v>
      </c>
      <c r="E25" s="6" t="s">
        <v>3136</v>
      </c>
      <c r="F25" s="6" t="s">
        <v>3137</v>
      </c>
      <c r="G25" s="24">
        <v>41192.0</v>
      </c>
    </row>
    <row r="26">
      <c r="A26" s="69">
        <v>41195.97173611111</v>
      </c>
      <c r="B26" s="6" t="s">
        <v>3138</v>
      </c>
      <c r="C26" s="12"/>
      <c r="D26" s="6" t="s">
        <v>9</v>
      </c>
      <c r="E26" s="6" t="s">
        <v>3139</v>
      </c>
      <c r="F26" s="6" t="s">
        <v>3140</v>
      </c>
      <c r="G26" s="24">
        <v>41195.0</v>
      </c>
    </row>
    <row r="27">
      <c r="A27" s="69">
        <v>41200.23569444445</v>
      </c>
      <c r="B27" s="6" t="s">
        <v>3141</v>
      </c>
      <c r="C27" s="6">
        <v>4.7</v>
      </c>
      <c r="D27" s="6" t="s">
        <v>9</v>
      </c>
      <c r="E27" s="6" t="s">
        <v>3142</v>
      </c>
      <c r="F27" s="6" t="s">
        <v>3143</v>
      </c>
      <c r="G27" s="24">
        <v>41200.0</v>
      </c>
    </row>
    <row r="28">
      <c r="A28" s="69">
        <v>41200.53239583333</v>
      </c>
      <c r="B28" s="6" t="s">
        <v>3144</v>
      </c>
      <c r="C28" s="6" t="s">
        <v>3145</v>
      </c>
      <c r="D28" s="6" t="s">
        <v>9</v>
      </c>
      <c r="E28" s="6" t="s">
        <v>3146</v>
      </c>
      <c r="F28" s="6" t="s">
        <v>3147</v>
      </c>
      <c r="G28" s="24">
        <v>41200.0</v>
      </c>
    </row>
    <row r="29">
      <c r="A29" s="69">
        <v>41200.56233796296</v>
      </c>
      <c r="B29" s="6" t="s">
        <v>3148</v>
      </c>
      <c r="C29" s="6" t="s">
        <v>8</v>
      </c>
      <c r="D29" s="6" t="s">
        <v>19</v>
      </c>
      <c r="E29" s="6" t="s">
        <v>3149</v>
      </c>
      <c r="F29" s="6" t="s">
        <v>1125</v>
      </c>
      <c r="G29" s="24">
        <v>41200.0</v>
      </c>
    </row>
    <row r="30">
      <c r="A30" s="69">
        <v>41203.20290509259</v>
      </c>
      <c r="B30" s="6" t="s">
        <v>3150</v>
      </c>
      <c r="C30" s="6" t="s">
        <v>3151</v>
      </c>
      <c r="D30" s="6" t="s">
        <v>9</v>
      </c>
      <c r="E30" s="6" t="s">
        <v>3152</v>
      </c>
      <c r="F30" s="6" t="s">
        <v>3153</v>
      </c>
      <c r="G30" s="24">
        <v>41202.0</v>
      </c>
    </row>
    <row r="31">
      <c r="A31" s="69">
        <v>41203.541863425926</v>
      </c>
      <c r="B31" s="6" t="s">
        <v>3154</v>
      </c>
      <c r="C31" s="6" t="s">
        <v>3155</v>
      </c>
      <c r="D31" s="6" t="s">
        <v>19</v>
      </c>
      <c r="E31" s="6" t="s">
        <v>3156</v>
      </c>
      <c r="F31" s="6" t="s">
        <v>3157</v>
      </c>
      <c r="G31" s="24">
        <v>41203.0</v>
      </c>
    </row>
    <row r="32">
      <c r="A32" s="69">
        <v>41203.54572916667</v>
      </c>
      <c r="B32" s="6" t="s">
        <v>3158</v>
      </c>
      <c r="C32" s="6" t="s">
        <v>3159</v>
      </c>
      <c r="D32" s="6" t="s">
        <v>9</v>
      </c>
      <c r="E32" s="6" t="s">
        <v>3160</v>
      </c>
      <c r="F32" s="6" t="s">
        <v>3157</v>
      </c>
      <c r="G32" s="24">
        <v>41203.0</v>
      </c>
    </row>
    <row r="33">
      <c r="A33" s="69">
        <v>41203.54824074074</v>
      </c>
      <c r="B33" s="6" t="s">
        <v>3161</v>
      </c>
      <c r="C33" s="6" t="s">
        <v>3159</v>
      </c>
      <c r="D33" s="6" t="s">
        <v>9</v>
      </c>
      <c r="E33" s="6" t="s">
        <v>3162</v>
      </c>
      <c r="F33" s="6" t="s">
        <v>3157</v>
      </c>
      <c r="G33" s="24">
        <v>41203.0</v>
      </c>
    </row>
    <row r="34">
      <c r="A34" s="69">
        <v>41203.70287037037</v>
      </c>
      <c r="B34" s="6" t="s">
        <v>3163</v>
      </c>
      <c r="C34" s="12"/>
      <c r="D34" s="6" t="s">
        <v>9</v>
      </c>
      <c r="E34" s="6" t="s">
        <v>3164</v>
      </c>
      <c r="F34" s="6" t="s">
        <v>1125</v>
      </c>
      <c r="G34" s="24">
        <v>41202.0</v>
      </c>
    </row>
    <row r="35">
      <c r="A35" s="69">
        <v>41203.703206018516</v>
      </c>
      <c r="B35" s="6" t="s">
        <v>3163</v>
      </c>
      <c r="C35" s="6">
        <v>2.2</v>
      </c>
      <c r="D35" s="6" t="s">
        <v>9</v>
      </c>
      <c r="E35" s="6" t="s">
        <v>3164</v>
      </c>
      <c r="F35" s="6" t="s">
        <v>1125</v>
      </c>
      <c r="G35" s="24">
        <v>41202.0</v>
      </c>
    </row>
    <row r="36">
      <c r="A36" s="69">
        <v>41205.03947916667</v>
      </c>
      <c r="B36" s="6" t="s">
        <v>3165</v>
      </c>
      <c r="C36" s="6" t="s">
        <v>1864</v>
      </c>
      <c r="D36" s="6" t="s">
        <v>19</v>
      </c>
      <c r="E36" s="6" t="s">
        <v>3166</v>
      </c>
      <c r="F36" s="6" t="s">
        <v>3167</v>
      </c>
      <c r="G36" s="45" t="s">
        <v>3168</v>
      </c>
    </row>
    <row r="37">
      <c r="A37" s="69">
        <v>41212.9533912037</v>
      </c>
      <c r="B37" s="6" t="s">
        <v>3169</v>
      </c>
      <c r="C37" s="6">
        <v>1.0</v>
      </c>
      <c r="D37" s="6" t="s">
        <v>9</v>
      </c>
      <c r="E37" s="12"/>
      <c r="F37" s="6" t="s">
        <v>3170</v>
      </c>
      <c r="G37" s="24">
        <v>41212.0</v>
      </c>
    </row>
    <row r="38">
      <c r="A38" s="69">
        <v>41213.709016203706</v>
      </c>
      <c r="B38" s="6" t="s">
        <v>3171</v>
      </c>
      <c r="C38" s="6" t="s">
        <v>3172</v>
      </c>
      <c r="D38" s="6" t="s">
        <v>19</v>
      </c>
      <c r="E38" s="6" t="s">
        <v>3173</v>
      </c>
      <c r="F38" s="12"/>
      <c r="G38" s="45" t="s">
        <v>3174</v>
      </c>
    </row>
    <row r="39">
      <c r="A39" s="69">
        <v>41215.1671875</v>
      </c>
      <c r="B39" s="6" t="s">
        <v>2702</v>
      </c>
      <c r="C39" s="6">
        <v>1.4</v>
      </c>
      <c r="D39" s="6" t="s">
        <v>19</v>
      </c>
      <c r="E39" s="6" t="s">
        <v>3175</v>
      </c>
      <c r="F39" s="6" t="s">
        <v>3176</v>
      </c>
      <c r="G39" s="24">
        <v>40919.0</v>
      </c>
    </row>
    <row r="40">
      <c r="A40" s="69">
        <v>41216.11703703704</v>
      </c>
      <c r="B40" s="6" t="s">
        <v>3177</v>
      </c>
      <c r="C40" s="6" t="s">
        <v>2036</v>
      </c>
      <c r="D40" s="6" t="s">
        <v>3178</v>
      </c>
      <c r="E40" s="6" t="s">
        <v>3179</v>
      </c>
      <c r="F40" s="6" t="s">
        <v>1974</v>
      </c>
      <c r="G40" s="24">
        <v>41216.0</v>
      </c>
    </row>
    <row r="41">
      <c r="A41" s="69">
        <v>41217.38039351852</v>
      </c>
      <c r="B41" s="6" t="s">
        <v>3180</v>
      </c>
      <c r="C41" s="6" t="s">
        <v>207</v>
      </c>
      <c r="D41" s="6" t="s">
        <v>9</v>
      </c>
      <c r="E41" s="6" t="s">
        <v>3181</v>
      </c>
      <c r="F41" s="6" t="s">
        <v>3182</v>
      </c>
      <c r="G41" s="24">
        <v>41010.0</v>
      </c>
    </row>
    <row r="42">
      <c r="A42" s="69">
        <v>41217.39844907408</v>
      </c>
      <c r="B42" s="6" t="s">
        <v>3183</v>
      </c>
      <c r="C42" s="6" t="s">
        <v>1364</v>
      </c>
      <c r="D42" s="6" t="s">
        <v>9</v>
      </c>
      <c r="E42" s="12"/>
      <c r="F42" s="6" t="s">
        <v>1125</v>
      </c>
      <c r="G42" s="24">
        <v>41217.0</v>
      </c>
    </row>
    <row r="43">
      <c r="A43" s="69">
        <v>41218.59758101852</v>
      </c>
      <c r="B43" s="6" t="s">
        <v>167</v>
      </c>
      <c r="C43" s="6">
        <v>3.1</v>
      </c>
      <c r="D43" s="6" t="s">
        <v>19</v>
      </c>
      <c r="E43" s="6" t="s">
        <v>3184</v>
      </c>
      <c r="F43" s="6" t="s">
        <v>3185</v>
      </c>
      <c r="G43" s="45" t="s">
        <v>3186</v>
      </c>
    </row>
    <row r="44">
      <c r="A44" s="69">
        <v>41219.22189814815</v>
      </c>
      <c r="B44" s="6" t="s">
        <v>3187</v>
      </c>
      <c r="C44" s="6" t="s">
        <v>3188</v>
      </c>
      <c r="D44" s="6" t="s">
        <v>9</v>
      </c>
      <c r="E44" s="6" t="s">
        <v>3189</v>
      </c>
      <c r="F44" s="6" t="s">
        <v>3190</v>
      </c>
      <c r="G44" s="24">
        <v>41405.0</v>
      </c>
    </row>
    <row r="45">
      <c r="A45" s="69">
        <v>41220.462476851855</v>
      </c>
      <c r="B45" s="6" t="s">
        <v>3191</v>
      </c>
      <c r="C45" s="6" t="s">
        <v>659</v>
      </c>
      <c r="D45" s="6" t="s">
        <v>19</v>
      </c>
      <c r="E45" s="12"/>
      <c r="F45" s="12"/>
      <c r="G45" s="24">
        <v>41101.0</v>
      </c>
    </row>
    <row r="46">
      <c r="A46" s="69">
        <v>41220.829513888886</v>
      </c>
      <c r="B46" s="6" t="s">
        <v>3192</v>
      </c>
      <c r="C46" s="6" t="s">
        <v>3193</v>
      </c>
      <c r="D46" s="6" t="s">
        <v>19</v>
      </c>
      <c r="E46" s="6" t="s">
        <v>3194</v>
      </c>
      <c r="F46" s="6" t="s">
        <v>3195</v>
      </c>
      <c r="G46" s="24">
        <v>41221.0</v>
      </c>
    </row>
    <row r="47">
      <c r="A47" s="69">
        <v>41220.88271990741</v>
      </c>
      <c r="B47" s="6" t="s">
        <v>3196</v>
      </c>
      <c r="C47" s="6">
        <v>1.02</v>
      </c>
      <c r="D47" s="6" t="s">
        <v>9</v>
      </c>
      <c r="E47" s="6" t="s">
        <v>3197</v>
      </c>
      <c r="F47" s="6" t="s">
        <v>1410</v>
      </c>
      <c r="G47" s="24">
        <v>41220.0</v>
      </c>
    </row>
    <row r="48">
      <c r="A48" s="69">
        <v>41220.890381944446</v>
      </c>
      <c r="B48" s="6" t="s">
        <v>3198</v>
      </c>
      <c r="C48" s="6" t="s">
        <v>3199</v>
      </c>
      <c r="D48" s="6" t="s">
        <v>9</v>
      </c>
      <c r="E48" s="6" t="s">
        <v>3200</v>
      </c>
      <c r="F48" s="6" t="s">
        <v>1410</v>
      </c>
      <c r="G48" s="24">
        <v>41220.0</v>
      </c>
    </row>
    <row r="49">
      <c r="A49" s="69">
        <v>41221.713483796295</v>
      </c>
      <c r="B49" s="6" t="s">
        <v>3201</v>
      </c>
      <c r="C49" s="6">
        <v>1.0</v>
      </c>
      <c r="D49" s="6" t="s">
        <v>9</v>
      </c>
      <c r="E49" s="6" t="s">
        <v>3202</v>
      </c>
      <c r="F49" s="6" t="s">
        <v>3203</v>
      </c>
      <c r="G49" s="24">
        <v>8112012.0</v>
      </c>
    </row>
    <row r="50">
      <c r="A50" s="69">
        <v>41222.322280092594</v>
      </c>
      <c r="B50" s="6" t="s">
        <v>1948</v>
      </c>
      <c r="C50" s="6" t="s">
        <v>3204</v>
      </c>
      <c r="D50" s="6" t="s">
        <v>19</v>
      </c>
      <c r="E50" s="12"/>
      <c r="F50" s="6" t="s">
        <v>3203</v>
      </c>
      <c r="G50" s="24">
        <v>41163.0</v>
      </c>
    </row>
    <row r="51">
      <c r="A51" s="69">
        <v>41226.61</v>
      </c>
      <c r="B51" s="6" t="s">
        <v>3205</v>
      </c>
      <c r="C51" s="6" t="s">
        <v>8</v>
      </c>
      <c r="D51" s="6" t="s">
        <v>19</v>
      </c>
      <c r="E51" s="12"/>
      <c r="F51" s="12"/>
      <c r="G51" s="24">
        <v>41226.0</v>
      </c>
    </row>
    <row r="52">
      <c r="A52" s="69">
        <v>41227.37672453704</v>
      </c>
      <c r="B52" s="6" t="s">
        <v>1948</v>
      </c>
      <c r="C52" s="6" t="s">
        <v>3204</v>
      </c>
      <c r="D52" s="6" t="s">
        <v>19</v>
      </c>
      <c r="E52" s="6" t="s">
        <v>3206</v>
      </c>
      <c r="F52" s="6" t="s">
        <v>3203</v>
      </c>
      <c r="G52" s="45" t="s">
        <v>3207</v>
      </c>
    </row>
    <row r="53">
      <c r="A53" s="69">
        <v>41227.377280092594</v>
      </c>
      <c r="B53" s="6" t="s">
        <v>3208</v>
      </c>
      <c r="C53" s="6">
        <v>1.0</v>
      </c>
      <c r="D53" s="6" t="s">
        <v>19</v>
      </c>
      <c r="E53" s="12"/>
      <c r="F53" s="12"/>
      <c r="G53" s="24">
        <v>1.4112012E7</v>
      </c>
    </row>
    <row r="54">
      <c r="A54" s="69">
        <v>41228.57703703704</v>
      </c>
      <c r="B54" s="6" t="s">
        <v>3209</v>
      </c>
      <c r="C54" s="6" t="s">
        <v>953</v>
      </c>
      <c r="D54" s="6" t="s">
        <v>19</v>
      </c>
      <c r="E54" s="6" t="s">
        <v>3210</v>
      </c>
      <c r="F54" s="6" t="s">
        <v>1125</v>
      </c>
      <c r="G54" s="24">
        <v>41228.0</v>
      </c>
    </row>
    <row r="55">
      <c r="A55" s="69">
        <v>41229.10901620371</v>
      </c>
      <c r="B55" s="6" t="s">
        <v>3211</v>
      </c>
      <c r="C55" s="6">
        <v>1.1</v>
      </c>
      <c r="D55" s="6" t="s">
        <v>9</v>
      </c>
      <c r="E55" s="12"/>
      <c r="F55" s="6" t="s">
        <v>3212</v>
      </c>
      <c r="G55" s="24">
        <v>41228.0</v>
      </c>
    </row>
    <row r="56">
      <c r="A56" s="69">
        <v>41229.21608796297</v>
      </c>
      <c r="B56" s="6" t="s">
        <v>3213</v>
      </c>
      <c r="C56" s="6">
        <v>1.8</v>
      </c>
      <c r="D56" s="6" t="s">
        <v>9</v>
      </c>
      <c r="E56" s="6" t="s">
        <v>3214</v>
      </c>
      <c r="F56" s="6" t="s">
        <v>3215</v>
      </c>
      <c r="G56" s="24">
        <v>41224.0</v>
      </c>
    </row>
    <row r="57">
      <c r="A57" s="69">
        <v>41230.639918981484</v>
      </c>
      <c r="B57" s="6" t="s">
        <v>3216</v>
      </c>
      <c r="C57" s="6" t="s">
        <v>8</v>
      </c>
      <c r="D57" s="6" t="s">
        <v>19</v>
      </c>
      <c r="E57" s="12"/>
      <c r="F57" s="6" t="s">
        <v>3217</v>
      </c>
      <c r="G57" s="24">
        <v>41230.0</v>
      </c>
    </row>
    <row r="58">
      <c r="A58" s="69">
        <v>41231.99019675926</v>
      </c>
      <c r="B58" s="6" t="s">
        <v>3218</v>
      </c>
      <c r="C58" s="6" t="s">
        <v>3219</v>
      </c>
      <c r="D58" s="6" t="s">
        <v>19</v>
      </c>
      <c r="E58" s="6" t="s">
        <v>3220</v>
      </c>
      <c r="F58" s="6" t="s">
        <v>3221</v>
      </c>
      <c r="G58" s="24">
        <v>41231.0</v>
      </c>
    </row>
    <row r="59">
      <c r="A59" s="69">
        <v>41232.43664351852</v>
      </c>
      <c r="B59" s="6" t="s">
        <v>3222</v>
      </c>
      <c r="C59" s="6" t="s">
        <v>910</v>
      </c>
      <c r="D59" s="6" t="s">
        <v>9</v>
      </c>
      <c r="E59" s="6" t="s">
        <v>3223</v>
      </c>
      <c r="F59" s="6" t="s">
        <v>3143</v>
      </c>
      <c r="G59" s="45" t="s">
        <v>3224</v>
      </c>
    </row>
    <row r="60">
      <c r="A60" s="69">
        <v>41232.85266203704</v>
      </c>
      <c r="B60" s="6" t="s">
        <v>3225</v>
      </c>
      <c r="C60" s="6">
        <v>1.0</v>
      </c>
      <c r="D60" s="6" t="s">
        <v>9</v>
      </c>
      <c r="E60" s="12"/>
      <c r="F60" s="12"/>
      <c r="G60" s="24">
        <v>41232.0</v>
      </c>
    </row>
    <row r="61">
      <c r="A61" s="69">
        <v>41233.41841435185</v>
      </c>
      <c r="B61" s="6" t="s">
        <v>3226</v>
      </c>
      <c r="C61" s="6" t="s">
        <v>142</v>
      </c>
      <c r="D61" s="6" t="s">
        <v>120</v>
      </c>
      <c r="E61" s="6" t="s">
        <v>3227</v>
      </c>
      <c r="F61" s="6" t="s">
        <v>3228</v>
      </c>
      <c r="G61" s="24">
        <v>41233.0</v>
      </c>
    </row>
    <row r="62">
      <c r="A62" s="69">
        <v>41233.49896990741</v>
      </c>
      <c r="B62" s="6" t="s">
        <v>2590</v>
      </c>
      <c r="C62" s="6" t="s">
        <v>3229</v>
      </c>
      <c r="D62" s="6" t="s">
        <v>19</v>
      </c>
      <c r="E62" s="12"/>
      <c r="F62" s="6" t="s">
        <v>3230</v>
      </c>
      <c r="G62" s="45" t="s">
        <v>3231</v>
      </c>
    </row>
    <row r="63">
      <c r="A63" s="69">
        <v>41234.278136574074</v>
      </c>
      <c r="B63" s="6" t="s">
        <v>3232</v>
      </c>
      <c r="C63" s="6" t="s">
        <v>1511</v>
      </c>
      <c r="D63" s="6" t="s">
        <v>9</v>
      </c>
      <c r="E63" s="6" t="s">
        <v>3233</v>
      </c>
      <c r="F63" s="6" t="s">
        <v>3234</v>
      </c>
      <c r="G63" s="24">
        <v>41234.0</v>
      </c>
    </row>
    <row r="64">
      <c r="A64" s="69">
        <v>41235.06365740741</v>
      </c>
      <c r="B64" s="6" t="s">
        <v>3205</v>
      </c>
      <c r="C64" s="6" t="s">
        <v>8</v>
      </c>
      <c r="D64" s="6" t="s">
        <v>19</v>
      </c>
      <c r="E64" s="12"/>
      <c r="F64" s="6" t="s">
        <v>3235</v>
      </c>
      <c r="G64" s="24">
        <v>41226.0</v>
      </c>
    </row>
    <row r="65">
      <c r="A65" s="69">
        <v>41236.42650462963</v>
      </c>
      <c r="B65" s="6" t="s">
        <v>3236</v>
      </c>
      <c r="C65" s="12"/>
      <c r="D65" s="6" t="s">
        <v>9</v>
      </c>
      <c r="E65" s="12"/>
      <c r="F65" s="12"/>
      <c r="G65" s="45" t="s">
        <v>3237</v>
      </c>
    </row>
    <row r="66">
      <c r="A66" s="69">
        <v>41237.54997685185</v>
      </c>
      <c r="B66" s="6" t="s">
        <v>3238</v>
      </c>
      <c r="C66" s="6">
        <v>1.0</v>
      </c>
      <c r="D66" s="6" t="s">
        <v>19</v>
      </c>
      <c r="E66" s="6" t="s">
        <v>3239</v>
      </c>
      <c r="F66" s="12"/>
      <c r="G66" s="45" t="s">
        <v>3240</v>
      </c>
    </row>
    <row r="67">
      <c r="A67" s="69">
        <v>41237.94935185185</v>
      </c>
      <c r="B67" s="6" t="s">
        <v>3241</v>
      </c>
      <c r="C67" s="6" t="s">
        <v>8</v>
      </c>
      <c r="D67" s="6" t="s">
        <v>19</v>
      </c>
      <c r="E67" s="6" t="s">
        <v>3242</v>
      </c>
      <c r="F67" s="6" t="s">
        <v>3243</v>
      </c>
      <c r="G67" s="45" t="s">
        <v>3244</v>
      </c>
    </row>
    <row r="68">
      <c r="A68" s="69">
        <v>41238.9669212963</v>
      </c>
      <c r="B68" s="6" t="s">
        <v>3245</v>
      </c>
      <c r="C68" s="6">
        <v>1.0</v>
      </c>
      <c r="D68" s="6" t="s">
        <v>9</v>
      </c>
      <c r="E68" s="12"/>
      <c r="F68" s="6" t="s">
        <v>3246</v>
      </c>
      <c r="G68" s="45" t="s">
        <v>3247</v>
      </c>
    </row>
    <row r="69">
      <c r="A69" s="69">
        <v>41240.1499537037</v>
      </c>
      <c r="B69" s="6" t="s">
        <v>3248</v>
      </c>
      <c r="C69" s="6" t="s">
        <v>3249</v>
      </c>
      <c r="D69" s="6" t="s">
        <v>19</v>
      </c>
      <c r="E69" s="12"/>
      <c r="F69" s="6" t="s">
        <v>3250</v>
      </c>
      <c r="G69" s="45" t="s">
        <v>3251</v>
      </c>
    </row>
    <row r="70">
      <c r="A70" s="69">
        <v>41240.31686342593</v>
      </c>
      <c r="B70" s="6" t="s">
        <v>3241</v>
      </c>
      <c r="C70" s="6" t="s">
        <v>8</v>
      </c>
      <c r="D70" s="6" t="s">
        <v>19</v>
      </c>
      <c r="E70" s="12"/>
      <c r="F70" s="12"/>
      <c r="G70" s="45" t="s">
        <v>3252</v>
      </c>
    </row>
    <row r="71">
      <c r="A71" s="69">
        <v>41240.32418981481</v>
      </c>
      <c r="B71" s="6" t="s">
        <v>3108</v>
      </c>
      <c r="C71" s="6">
        <v>1.28</v>
      </c>
      <c r="D71" s="6" t="s">
        <v>19</v>
      </c>
      <c r="E71" s="6" t="s">
        <v>3253</v>
      </c>
      <c r="F71" s="12"/>
      <c r="G71" s="24">
        <v>41239.0</v>
      </c>
    </row>
    <row r="72">
      <c r="A72" s="69">
        <v>41240.35395833333</v>
      </c>
      <c r="B72" s="6" t="s">
        <v>3254</v>
      </c>
      <c r="C72" s="6">
        <v>4.21</v>
      </c>
      <c r="D72" s="6" t="s">
        <v>19</v>
      </c>
      <c r="E72" s="6" t="s">
        <v>3255</v>
      </c>
      <c r="F72" s="6" t="s">
        <v>3256</v>
      </c>
      <c r="G72" s="24">
        <v>41239.0</v>
      </c>
    </row>
    <row r="73">
      <c r="A73" s="69">
        <v>41245.63936342593</v>
      </c>
      <c r="B73" s="6" t="s">
        <v>797</v>
      </c>
      <c r="C73" s="6" t="s">
        <v>3257</v>
      </c>
      <c r="D73" s="6" t="s">
        <v>19</v>
      </c>
      <c r="E73" s="6" t="s">
        <v>3258</v>
      </c>
      <c r="F73" s="12"/>
      <c r="G73" s="24">
        <v>40951.0</v>
      </c>
    </row>
    <row r="74">
      <c r="A74" s="69">
        <v>41245.77391203704</v>
      </c>
      <c r="B74" s="6" t="s">
        <v>3098</v>
      </c>
      <c r="C74" s="6" t="s">
        <v>3259</v>
      </c>
      <c r="D74" s="6" t="s">
        <v>9</v>
      </c>
      <c r="E74" s="12"/>
      <c r="F74" s="6" t="s">
        <v>3260</v>
      </c>
      <c r="G74" s="24">
        <v>41245.0</v>
      </c>
    </row>
    <row r="75">
      <c r="A75" s="69">
        <v>41247.34878472222</v>
      </c>
      <c r="B75" s="6" t="s">
        <v>2191</v>
      </c>
      <c r="C75" s="6" t="s">
        <v>3261</v>
      </c>
      <c r="D75" s="6" t="s">
        <v>9</v>
      </c>
      <c r="E75" s="6" t="s">
        <v>3262</v>
      </c>
      <c r="F75" s="6" t="s">
        <v>3263</v>
      </c>
      <c r="G75" s="24">
        <v>41247.0</v>
      </c>
    </row>
    <row r="76">
      <c r="A76" s="69">
        <v>41247.350023148145</v>
      </c>
      <c r="B76" s="6" t="s">
        <v>3264</v>
      </c>
      <c r="C76" s="6">
        <v>4.0</v>
      </c>
      <c r="D76" s="6" t="s">
        <v>9</v>
      </c>
      <c r="E76" s="6" t="s">
        <v>3265</v>
      </c>
      <c r="F76" s="6" t="s">
        <v>3263</v>
      </c>
      <c r="G76" s="24">
        <v>41247.0</v>
      </c>
    </row>
    <row r="77">
      <c r="A77" s="69">
        <v>41247.72692129629</v>
      </c>
      <c r="B77" s="6" t="s">
        <v>3266</v>
      </c>
      <c r="C77" s="6">
        <v>1.4</v>
      </c>
      <c r="D77" s="6" t="s">
        <v>120</v>
      </c>
      <c r="E77" s="12"/>
      <c r="F77" s="6" t="s">
        <v>3267</v>
      </c>
      <c r="G77" s="24">
        <v>1.2052012E7</v>
      </c>
    </row>
    <row r="78">
      <c r="A78" s="69">
        <v>41247.72693287037</v>
      </c>
      <c r="B78" s="6" t="s">
        <v>3266</v>
      </c>
      <c r="C78" s="6">
        <v>1.4</v>
      </c>
      <c r="D78" s="6" t="s">
        <v>120</v>
      </c>
      <c r="E78" s="12"/>
      <c r="F78" s="6" t="s">
        <v>3267</v>
      </c>
      <c r="G78" s="24">
        <v>1.2052012E7</v>
      </c>
    </row>
    <row r="79">
      <c r="A79" s="69">
        <v>41248.14158564815</v>
      </c>
      <c r="B79" s="6" t="s">
        <v>3268</v>
      </c>
      <c r="C79" s="6" t="s">
        <v>645</v>
      </c>
      <c r="D79" s="6" t="s">
        <v>9</v>
      </c>
      <c r="E79" s="6" t="s">
        <v>3269</v>
      </c>
      <c r="F79" s="6" t="s">
        <v>3270</v>
      </c>
      <c r="G79" s="24">
        <v>41248.0</v>
      </c>
    </row>
    <row r="80">
      <c r="A80" s="69">
        <v>41248.14625</v>
      </c>
      <c r="B80" s="6" t="s">
        <v>3271</v>
      </c>
      <c r="C80" s="6" t="s">
        <v>201</v>
      </c>
      <c r="D80" s="6" t="s">
        <v>9</v>
      </c>
      <c r="E80" s="6" t="s">
        <v>3269</v>
      </c>
      <c r="F80" s="6" t="s">
        <v>3270</v>
      </c>
      <c r="G80" s="24">
        <v>41248.0</v>
      </c>
    </row>
    <row r="81">
      <c r="A81" s="69">
        <v>41248.15204861111</v>
      </c>
      <c r="B81" s="6" t="s">
        <v>3272</v>
      </c>
      <c r="C81" s="6">
        <v>1.9</v>
      </c>
      <c r="D81" s="6" t="s">
        <v>19</v>
      </c>
      <c r="E81" s="6" t="s">
        <v>3273</v>
      </c>
      <c r="F81" s="6" t="s">
        <v>3270</v>
      </c>
      <c r="G81" s="24">
        <v>41248.0</v>
      </c>
    </row>
    <row r="82">
      <c r="A82" s="69">
        <v>41248.162152777775</v>
      </c>
      <c r="B82" s="6" t="s">
        <v>3274</v>
      </c>
      <c r="C82" s="6" t="s">
        <v>286</v>
      </c>
      <c r="D82" s="6" t="s">
        <v>9</v>
      </c>
      <c r="E82" s="6" t="s">
        <v>3275</v>
      </c>
      <c r="F82" s="6" t="s">
        <v>3270</v>
      </c>
      <c r="G82" s="24">
        <v>41248.0</v>
      </c>
    </row>
    <row r="83">
      <c r="A83" s="69">
        <v>41249.08456018518</v>
      </c>
      <c r="B83" s="6" t="s">
        <v>3276</v>
      </c>
      <c r="C83" s="12"/>
      <c r="D83" s="6" t="s">
        <v>9</v>
      </c>
      <c r="E83" s="12"/>
      <c r="F83" s="12"/>
      <c r="G83" s="24">
        <v>41246.0</v>
      </c>
    </row>
    <row r="84">
      <c r="A84" s="69">
        <v>41249.08484953704</v>
      </c>
      <c r="B84" s="6" t="s">
        <v>3148</v>
      </c>
      <c r="C84" s="12"/>
      <c r="D84" s="6" t="s">
        <v>19</v>
      </c>
      <c r="E84" s="12"/>
      <c r="F84" s="12"/>
      <c r="G84" s="24">
        <v>41246.0</v>
      </c>
    </row>
    <row r="85">
      <c r="A85" s="69">
        <v>41250.38138888889</v>
      </c>
      <c r="B85" s="6" t="s">
        <v>3277</v>
      </c>
      <c r="C85" s="12"/>
      <c r="D85" s="6" t="s">
        <v>19</v>
      </c>
      <c r="E85" s="12"/>
      <c r="F85" s="6" t="s">
        <v>3278</v>
      </c>
      <c r="G85" s="24">
        <v>41250.0</v>
      </c>
    </row>
    <row r="86">
      <c r="A86" s="69">
        <v>41252.09391203704</v>
      </c>
      <c r="B86" s="6" t="s">
        <v>3279</v>
      </c>
      <c r="C86" s="6">
        <v>1.33</v>
      </c>
      <c r="D86" s="6" t="s">
        <v>9</v>
      </c>
      <c r="E86" s="6" t="s">
        <v>3280</v>
      </c>
      <c r="F86" s="6" t="s">
        <v>3263</v>
      </c>
      <c r="G86" s="24">
        <v>41251.0</v>
      </c>
    </row>
    <row r="87">
      <c r="A87" s="69">
        <v>41255.85523148148</v>
      </c>
      <c r="B87" s="6" t="s">
        <v>3281</v>
      </c>
      <c r="C87" s="6">
        <v>1.6</v>
      </c>
      <c r="D87" s="6" t="s">
        <v>19</v>
      </c>
      <c r="E87" s="6" t="s">
        <v>3282</v>
      </c>
      <c r="F87" s="6" t="s">
        <v>3283</v>
      </c>
      <c r="G87" s="24">
        <v>41254.0</v>
      </c>
    </row>
    <row r="88">
      <c r="A88" s="69">
        <v>41256.43618055555</v>
      </c>
      <c r="B88" s="6" t="s">
        <v>3284</v>
      </c>
      <c r="C88" s="6" t="s">
        <v>8</v>
      </c>
      <c r="D88" s="6" t="s">
        <v>19</v>
      </c>
      <c r="E88" s="12"/>
      <c r="F88" s="6" t="s">
        <v>1125</v>
      </c>
      <c r="G88" s="24">
        <v>41256.0</v>
      </c>
    </row>
    <row r="89">
      <c r="A89" s="69">
        <v>41258.624247685184</v>
      </c>
      <c r="B89" s="6" t="s">
        <v>3285</v>
      </c>
      <c r="C89" s="6" t="s">
        <v>727</v>
      </c>
      <c r="D89" s="6" t="s">
        <v>9</v>
      </c>
      <c r="E89" s="6" t="s">
        <v>3286</v>
      </c>
      <c r="F89" s="6" t="s">
        <v>3287</v>
      </c>
      <c r="G89" s="24">
        <v>41259.0</v>
      </c>
    </row>
    <row r="90">
      <c r="A90" s="69">
        <v>41258.62520833333</v>
      </c>
      <c r="B90" s="6" t="s">
        <v>3288</v>
      </c>
      <c r="C90" s="6">
        <v>1.1</v>
      </c>
      <c r="D90" s="6" t="s">
        <v>9</v>
      </c>
      <c r="E90" s="6" t="s">
        <v>3289</v>
      </c>
      <c r="F90" s="6" t="s">
        <v>3263</v>
      </c>
      <c r="G90" s="24">
        <v>41259.0</v>
      </c>
    </row>
    <row r="91">
      <c r="A91" s="69">
        <v>41258.63135416667</v>
      </c>
      <c r="B91" s="6" t="s">
        <v>3290</v>
      </c>
      <c r="C91" s="6">
        <v>2.0</v>
      </c>
      <c r="D91" s="6" t="s">
        <v>9</v>
      </c>
      <c r="E91" s="6" t="s">
        <v>3291</v>
      </c>
      <c r="F91" s="6" t="s">
        <v>3263</v>
      </c>
      <c r="G91" s="24">
        <v>41259.0</v>
      </c>
    </row>
    <row r="92">
      <c r="A92" s="69">
        <v>41258.868738425925</v>
      </c>
      <c r="B92" s="6" t="s">
        <v>3292</v>
      </c>
      <c r="C92" s="6" t="s">
        <v>3204</v>
      </c>
      <c r="D92" s="6" t="s">
        <v>3293</v>
      </c>
      <c r="E92" s="12"/>
      <c r="F92" s="6" t="s">
        <v>1766</v>
      </c>
      <c r="G92" s="45" t="s">
        <v>3294</v>
      </c>
    </row>
    <row r="93">
      <c r="A93" s="69">
        <v>41261.283530092594</v>
      </c>
      <c r="B93" s="6" t="s">
        <v>3295</v>
      </c>
      <c r="C93" s="6" t="s">
        <v>3296</v>
      </c>
      <c r="D93" s="6" t="s">
        <v>19</v>
      </c>
      <c r="E93" s="6" t="s">
        <v>3297</v>
      </c>
      <c r="F93" s="6" t="s">
        <v>3298</v>
      </c>
      <c r="G93" s="24">
        <v>41261.0</v>
      </c>
    </row>
    <row r="94">
      <c r="A94" s="69">
        <v>41262.979537037034</v>
      </c>
      <c r="B94" s="6" t="s">
        <v>3299</v>
      </c>
      <c r="C94" s="6">
        <v>1.2</v>
      </c>
      <c r="D94" s="6" t="s">
        <v>9</v>
      </c>
      <c r="E94" s="6" t="s">
        <v>3300</v>
      </c>
      <c r="F94" s="6" t="s">
        <v>3301</v>
      </c>
      <c r="G94" s="45" t="s">
        <v>3302</v>
      </c>
    </row>
    <row r="95">
      <c r="A95" s="69">
        <v>41268.47466435185</v>
      </c>
      <c r="B95" s="6" t="s">
        <v>3303</v>
      </c>
      <c r="C95" s="6" t="s">
        <v>207</v>
      </c>
      <c r="D95" s="6" t="s">
        <v>19</v>
      </c>
      <c r="E95" s="6" t="s">
        <v>3304</v>
      </c>
      <c r="F95" s="6" t="s">
        <v>3305</v>
      </c>
      <c r="G95" s="24">
        <v>41268.0</v>
      </c>
    </row>
    <row r="96">
      <c r="A96" s="69">
        <v>41269.49988425926</v>
      </c>
      <c r="B96" s="6" t="s">
        <v>3306</v>
      </c>
      <c r="C96" s="6" t="s">
        <v>286</v>
      </c>
      <c r="D96" s="6" t="s">
        <v>9</v>
      </c>
      <c r="E96" s="12"/>
      <c r="F96" s="6" t="s">
        <v>3307</v>
      </c>
      <c r="G96" s="45" t="s">
        <v>3308</v>
      </c>
    </row>
    <row r="97">
      <c r="A97" s="69">
        <v>41269.507106481484</v>
      </c>
      <c r="B97" s="6" t="s">
        <v>2147</v>
      </c>
      <c r="C97" s="6" t="s">
        <v>3309</v>
      </c>
      <c r="D97" s="6" t="s">
        <v>9</v>
      </c>
      <c r="E97" s="6" t="s">
        <v>3310</v>
      </c>
      <c r="F97" s="6" t="s">
        <v>3307</v>
      </c>
      <c r="G97" s="45" t="s">
        <v>3308</v>
      </c>
    </row>
    <row r="98">
      <c r="A98" s="69">
        <v>41271.72802083333</v>
      </c>
      <c r="B98" s="6" t="s">
        <v>2107</v>
      </c>
      <c r="C98" s="6" t="s">
        <v>3311</v>
      </c>
      <c r="D98" s="6" t="s">
        <v>19</v>
      </c>
      <c r="E98" s="6" t="s">
        <v>3312</v>
      </c>
      <c r="F98" s="6" t="s">
        <v>3313</v>
      </c>
      <c r="G98" s="24">
        <v>41272.0</v>
      </c>
    </row>
    <row r="99">
      <c r="A99" s="69">
        <v>41273.56964120371</v>
      </c>
      <c r="B99" s="6" t="s">
        <v>3314</v>
      </c>
      <c r="C99" s="6">
        <v>1.1</v>
      </c>
      <c r="D99" s="6" t="s">
        <v>9</v>
      </c>
      <c r="E99" s="6" t="s">
        <v>3315</v>
      </c>
      <c r="F99" s="6" t="s">
        <v>3263</v>
      </c>
      <c r="G99" s="24">
        <v>41273.0</v>
      </c>
    </row>
    <row r="100">
      <c r="A100" s="69">
        <v>41273.57273148148</v>
      </c>
      <c r="B100" s="6" t="s">
        <v>2248</v>
      </c>
      <c r="C100" s="6">
        <v>1.5</v>
      </c>
      <c r="D100" s="6" t="s">
        <v>9</v>
      </c>
      <c r="E100" s="6" t="s">
        <v>3316</v>
      </c>
      <c r="F100" s="6" t="s">
        <v>3263</v>
      </c>
      <c r="G100" s="24">
        <v>41273.0</v>
      </c>
    </row>
    <row r="101">
      <c r="A101" s="69">
        <v>41273.57444444444</v>
      </c>
      <c r="B101" s="6" t="s">
        <v>3317</v>
      </c>
      <c r="C101" s="6">
        <v>1.7</v>
      </c>
      <c r="D101" s="6" t="s">
        <v>9</v>
      </c>
      <c r="E101" s="6" t="s">
        <v>3318</v>
      </c>
      <c r="F101" s="6" t="s">
        <v>3263</v>
      </c>
      <c r="G101" s="24">
        <v>41273.0</v>
      </c>
    </row>
    <row r="102">
      <c r="A102" s="69">
        <v>41276.94684027778</v>
      </c>
      <c r="B102" s="6" t="s">
        <v>3319</v>
      </c>
      <c r="C102" s="6" t="s">
        <v>3320</v>
      </c>
      <c r="D102" s="6" t="s">
        <v>19</v>
      </c>
      <c r="E102" s="12"/>
      <c r="F102" s="12"/>
      <c r="G102" s="24">
        <v>41275.0</v>
      </c>
    </row>
    <row r="103">
      <c r="A103" s="69">
        <v>41277.98731481482</v>
      </c>
      <c r="B103" s="6" t="s">
        <v>3321</v>
      </c>
      <c r="C103" s="12"/>
      <c r="D103" s="6" t="s">
        <v>9</v>
      </c>
      <c r="E103" s="12"/>
      <c r="F103" s="12"/>
      <c r="G103" s="24">
        <v>41334.0</v>
      </c>
    </row>
    <row r="104">
      <c r="A104" s="69">
        <v>41279.577685185184</v>
      </c>
      <c r="B104" s="6" t="s">
        <v>3322</v>
      </c>
      <c r="C104" s="6" t="s">
        <v>3323</v>
      </c>
      <c r="D104" s="6" t="s">
        <v>9</v>
      </c>
      <c r="E104" s="12"/>
      <c r="F104" s="6" t="s">
        <v>1125</v>
      </c>
      <c r="G104" s="24">
        <v>41279.0</v>
      </c>
    </row>
    <row r="105">
      <c r="A105" s="69">
        <v>41279.672488425924</v>
      </c>
      <c r="B105" s="6" t="s">
        <v>718</v>
      </c>
      <c r="C105" s="6" t="s">
        <v>3324</v>
      </c>
      <c r="D105" s="6" t="s">
        <v>19</v>
      </c>
      <c r="E105" s="6" t="s">
        <v>3325</v>
      </c>
      <c r="F105" s="6" t="s">
        <v>3326</v>
      </c>
      <c r="G105" s="24">
        <v>41279.0</v>
      </c>
    </row>
    <row r="106">
      <c r="A106" s="69">
        <v>41280.479525462964</v>
      </c>
      <c r="B106" s="6" t="s">
        <v>3327</v>
      </c>
      <c r="C106" s="6">
        <v>1.0</v>
      </c>
      <c r="D106" s="6" t="s">
        <v>9</v>
      </c>
      <c r="E106" s="12"/>
      <c r="F106" s="6" t="s">
        <v>1125</v>
      </c>
      <c r="G106" s="24">
        <v>41280.0</v>
      </c>
    </row>
    <row r="107">
      <c r="A107" s="69">
        <v>41281.520474537036</v>
      </c>
      <c r="B107" s="6" t="s">
        <v>3328</v>
      </c>
      <c r="C107" s="12"/>
      <c r="D107" s="6" t="s">
        <v>19</v>
      </c>
      <c r="E107" s="6" t="s">
        <v>3329</v>
      </c>
      <c r="F107" s="6" t="s">
        <v>3330</v>
      </c>
      <c r="G107" s="24">
        <v>41281.0</v>
      </c>
    </row>
    <row r="108">
      <c r="A108" s="69">
        <v>41281.522627314815</v>
      </c>
      <c r="B108" s="6" t="s">
        <v>3331</v>
      </c>
      <c r="C108" s="12"/>
      <c r="D108" s="6" t="s">
        <v>9</v>
      </c>
      <c r="E108" s="6" t="s">
        <v>3332</v>
      </c>
      <c r="F108" s="6" t="s">
        <v>3330</v>
      </c>
      <c r="G108" s="24">
        <v>41281.0</v>
      </c>
    </row>
    <row r="109">
      <c r="A109" s="69">
        <v>41281.52318287037</v>
      </c>
      <c r="B109" s="6" t="s">
        <v>3333</v>
      </c>
      <c r="C109" s="12"/>
      <c r="D109" s="6" t="s">
        <v>9</v>
      </c>
      <c r="E109" s="6" t="s">
        <v>3334</v>
      </c>
      <c r="F109" s="6" t="s">
        <v>3330</v>
      </c>
      <c r="G109" s="24">
        <v>41281.0</v>
      </c>
    </row>
    <row r="110">
      <c r="A110" s="69">
        <v>41286.0084375</v>
      </c>
      <c r="B110" s="6" t="s">
        <v>3335</v>
      </c>
      <c r="C110" s="6" t="s">
        <v>3336</v>
      </c>
      <c r="D110" s="6" t="s">
        <v>9</v>
      </c>
      <c r="E110" s="6" t="s">
        <v>3337</v>
      </c>
      <c r="F110" s="6" t="s">
        <v>3338</v>
      </c>
      <c r="G110" s="24">
        <v>41285.0</v>
      </c>
    </row>
    <row r="111">
      <c r="A111" s="69">
        <v>41287.35513888889</v>
      </c>
      <c r="B111" s="6" t="s">
        <v>3339</v>
      </c>
      <c r="C111" s="6">
        <v>1.2</v>
      </c>
      <c r="D111" s="6" t="s">
        <v>9</v>
      </c>
      <c r="E111" s="12"/>
      <c r="F111" s="6" t="s">
        <v>1125</v>
      </c>
      <c r="G111" s="45" t="s">
        <v>3340</v>
      </c>
    </row>
    <row r="112">
      <c r="A112" s="69">
        <v>41287.71696759259</v>
      </c>
      <c r="B112" s="6" t="s">
        <v>3341</v>
      </c>
      <c r="C112" s="6">
        <v>1.3</v>
      </c>
      <c r="D112" s="6" t="s">
        <v>9</v>
      </c>
      <c r="E112" s="6" t="s">
        <v>3342</v>
      </c>
      <c r="F112" s="6" t="s">
        <v>3343</v>
      </c>
      <c r="G112" s="24">
        <v>41287.0</v>
      </c>
    </row>
    <row r="113">
      <c r="A113" s="69">
        <v>41292.31549768519</v>
      </c>
      <c r="B113" s="6" t="s">
        <v>3344</v>
      </c>
      <c r="C113" s="6" t="s">
        <v>8</v>
      </c>
      <c r="D113" s="6" t="s">
        <v>19</v>
      </c>
      <c r="E113" s="6" t="s">
        <v>3345</v>
      </c>
      <c r="F113" s="6" t="s">
        <v>3346</v>
      </c>
      <c r="G113" s="45" t="s">
        <v>3347</v>
      </c>
    </row>
    <row r="114">
      <c r="A114" s="69">
        <v>41295.25304398148</v>
      </c>
      <c r="B114" s="6" t="s">
        <v>3348</v>
      </c>
      <c r="C114" s="6">
        <v>1.0</v>
      </c>
      <c r="D114" s="6" t="s">
        <v>9</v>
      </c>
      <c r="E114" s="6" t="s">
        <v>3349</v>
      </c>
      <c r="F114" s="6" t="s">
        <v>3350</v>
      </c>
      <c r="G114" s="45" t="s">
        <v>3347</v>
      </c>
    </row>
    <row r="115">
      <c r="A115" s="69">
        <v>41301.52832175926</v>
      </c>
      <c r="B115" s="6" t="s">
        <v>3351</v>
      </c>
      <c r="C115" s="12"/>
      <c r="D115" s="6" t="s">
        <v>9</v>
      </c>
      <c r="E115" s="6" t="s">
        <v>3352</v>
      </c>
      <c r="F115" s="6" t="s">
        <v>3353</v>
      </c>
      <c r="G115" s="45" t="s">
        <v>3354</v>
      </c>
    </row>
    <row r="116">
      <c r="A116" s="69">
        <v>41303.18466435185</v>
      </c>
      <c r="B116" s="6" t="s">
        <v>3355</v>
      </c>
      <c r="C116" s="6" t="s">
        <v>481</v>
      </c>
      <c r="D116" s="6" t="s">
        <v>9</v>
      </c>
      <c r="E116" s="6" t="s">
        <v>3356</v>
      </c>
      <c r="F116" s="12"/>
      <c r="G116" s="24">
        <v>41302.0</v>
      </c>
    </row>
    <row r="117">
      <c r="A117" s="69">
        <v>41303.58804398148</v>
      </c>
      <c r="B117" s="6" t="s">
        <v>3357</v>
      </c>
      <c r="C117" s="6">
        <v>1.0</v>
      </c>
      <c r="D117" s="6" t="s">
        <v>9</v>
      </c>
      <c r="E117" s="12"/>
      <c r="F117" s="6" t="s">
        <v>3358</v>
      </c>
      <c r="G117" s="24">
        <v>41303.0</v>
      </c>
    </row>
    <row r="118">
      <c r="A118" s="69">
        <v>41308.15210648148</v>
      </c>
      <c r="B118" s="6" t="s">
        <v>3359</v>
      </c>
      <c r="C118" s="6">
        <v>1.01</v>
      </c>
      <c r="D118" s="6" t="s">
        <v>19</v>
      </c>
      <c r="E118" s="6" t="s">
        <v>3360</v>
      </c>
      <c r="F118" s="6" t="s">
        <v>3361</v>
      </c>
      <c r="G118" s="45" t="s">
        <v>3362</v>
      </c>
    </row>
    <row r="119">
      <c r="A119" s="69">
        <v>41309.854537037034</v>
      </c>
      <c r="B119" s="6" t="s">
        <v>3363</v>
      </c>
      <c r="C119" s="6" t="s">
        <v>659</v>
      </c>
      <c r="D119" s="6" t="s">
        <v>9</v>
      </c>
      <c r="E119" s="6" t="s">
        <v>2787</v>
      </c>
      <c r="F119" s="6" t="s">
        <v>3364</v>
      </c>
      <c r="G119" s="24">
        <v>41309.0</v>
      </c>
    </row>
    <row r="120">
      <c r="A120" s="69">
        <v>41311.103414351855</v>
      </c>
      <c r="B120" s="6" t="s">
        <v>3365</v>
      </c>
      <c r="C120" s="6">
        <v>1.4</v>
      </c>
      <c r="D120" s="6" t="s">
        <v>9</v>
      </c>
      <c r="E120" s="12"/>
      <c r="F120" s="6" t="s">
        <v>3366</v>
      </c>
      <c r="G120" s="24">
        <v>41311.0</v>
      </c>
    </row>
    <row r="121">
      <c r="A121" s="69">
        <v>41311.10454861111</v>
      </c>
      <c r="B121" s="6" t="s">
        <v>3367</v>
      </c>
      <c r="C121" s="6" t="s">
        <v>500</v>
      </c>
      <c r="D121" s="6" t="s">
        <v>9</v>
      </c>
      <c r="E121" s="12"/>
      <c r="F121" s="6" t="s">
        <v>3366</v>
      </c>
      <c r="G121" s="24">
        <v>41311.0</v>
      </c>
    </row>
    <row r="122">
      <c r="A122" s="69">
        <v>41312.97864583333</v>
      </c>
      <c r="B122" s="6" t="s">
        <v>3368</v>
      </c>
      <c r="C122" s="6" t="s">
        <v>3369</v>
      </c>
      <c r="D122" s="6" t="s">
        <v>19</v>
      </c>
      <c r="E122" s="6" t="s">
        <v>3370</v>
      </c>
      <c r="F122" s="12"/>
      <c r="G122" s="24">
        <v>41312.0</v>
      </c>
    </row>
    <row r="123">
      <c r="A123" s="69">
        <v>41313.52333333333</v>
      </c>
      <c r="B123" s="6" t="s">
        <v>3371</v>
      </c>
      <c r="C123" s="6" t="s">
        <v>8</v>
      </c>
      <c r="D123" s="6" t="s">
        <v>19</v>
      </c>
      <c r="E123" s="6" t="s">
        <v>3372</v>
      </c>
      <c r="F123" s="6" t="s">
        <v>3373</v>
      </c>
      <c r="G123" s="24">
        <v>41313.0</v>
      </c>
    </row>
    <row r="124">
      <c r="A124" s="69">
        <v>41317.45112268518</v>
      </c>
      <c r="B124" s="6" t="s">
        <v>3374</v>
      </c>
      <c r="C124" s="6" t="s">
        <v>3219</v>
      </c>
      <c r="D124" s="6" t="s">
        <v>9</v>
      </c>
      <c r="E124" s="6" t="s">
        <v>3375</v>
      </c>
      <c r="F124" s="6" t="s">
        <v>3376</v>
      </c>
      <c r="G124" s="24">
        <v>41317.0</v>
      </c>
    </row>
    <row r="125">
      <c r="A125" s="69">
        <v>41317.45263888889</v>
      </c>
      <c r="B125" s="6" t="s">
        <v>1112</v>
      </c>
      <c r="C125" s="6" t="s">
        <v>3377</v>
      </c>
      <c r="D125" s="6" t="s">
        <v>9</v>
      </c>
      <c r="E125" s="6" t="s">
        <v>3375</v>
      </c>
      <c r="F125" s="6" t="s">
        <v>3376</v>
      </c>
      <c r="G125" s="24">
        <v>41317.0</v>
      </c>
    </row>
    <row r="126">
      <c r="A126" s="69">
        <v>41317.671875</v>
      </c>
      <c r="B126" s="6" t="s">
        <v>3378</v>
      </c>
      <c r="C126" s="6" t="s">
        <v>3204</v>
      </c>
      <c r="D126" s="6" t="s">
        <v>19</v>
      </c>
      <c r="E126" s="12"/>
      <c r="F126" s="6" t="s">
        <v>3379</v>
      </c>
      <c r="G126" s="24">
        <v>41610.0</v>
      </c>
    </row>
    <row r="127">
      <c r="A127" s="69">
        <v>41318.04472222222</v>
      </c>
      <c r="B127" s="6" t="s">
        <v>3380</v>
      </c>
      <c r="C127" s="12"/>
      <c r="D127" s="6" t="s">
        <v>19</v>
      </c>
      <c r="E127" s="12"/>
      <c r="F127" s="6" t="s">
        <v>3381</v>
      </c>
      <c r="G127" s="24">
        <v>41610.0</v>
      </c>
    </row>
    <row r="128">
      <c r="A128" s="69">
        <v>41319.700150462966</v>
      </c>
      <c r="B128" s="6" t="s">
        <v>3382</v>
      </c>
      <c r="C128" s="6" t="s">
        <v>3383</v>
      </c>
      <c r="D128" s="6" t="s">
        <v>19</v>
      </c>
      <c r="E128" s="6" t="s">
        <v>186</v>
      </c>
      <c r="F128" s="6" t="s">
        <v>3384</v>
      </c>
      <c r="G128" s="24">
        <v>41319.0</v>
      </c>
    </row>
    <row r="129">
      <c r="A129" s="69">
        <v>41319.880844907406</v>
      </c>
      <c r="B129" s="6" t="s">
        <v>3385</v>
      </c>
      <c r="C129" s="6">
        <v>1.4</v>
      </c>
      <c r="D129" s="6" t="s">
        <v>19</v>
      </c>
      <c r="E129" s="6" t="s">
        <v>3386</v>
      </c>
      <c r="F129" s="6" t="s">
        <v>3387</v>
      </c>
      <c r="G129" s="24">
        <v>41319.0</v>
      </c>
    </row>
    <row r="130">
      <c r="A130" s="69">
        <v>41319.88568287037</v>
      </c>
      <c r="B130" s="6" t="s">
        <v>3388</v>
      </c>
      <c r="C130" s="6">
        <v>1.48</v>
      </c>
      <c r="D130" s="6" t="s">
        <v>19</v>
      </c>
      <c r="E130" s="6" t="s">
        <v>3389</v>
      </c>
      <c r="F130" s="6" t="s">
        <v>3387</v>
      </c>
      <c r="G130" s="45" t="s">
        <v>3390</v>
      </c>
    </row>
    <row r="131">
      <c r="A131" s="69">
        <v>41319.88752314815</v>
      </c>
      <c r="B131" s="6" t="s">
        <v>3391</v>
      </c>
      <c r="C131" s="6">
        <v>1.6</v>
      </c>
      <c r="D131" s="6" t="s">
        <v>19</v>
      </c>
      <c r="E131" s="12"/>
      <c r="F131" s="6" t="s">
        <v>3387</v>
      </c>
      <c r="G131" s="24">
        <v>41319.0</v>
      </c>
    </row>
    <row r="132">
      <c r="A132" s="69">
        <v>41320.50821759259</v>
      </c>
      <c r="B132" s="6" t="s">
        <v>3392</v>
      </c>
      <c r="C132" s="6">
        <v>1.0</v>
      </c>
      <c r="D132" s="6" t="s">
        <v>19</v>
      </c>
      <c r="E132" s="6" t="s">
        <v>3393</v>
      </c>
      <c r="F132" s="6" t="s">
        <v>3394</v>
      </c>
      <c r="G132" s="24">
        <v>41088.0</v>
      </c>
    </row>
    <row r="133">
      <c r="A133" s="69">
        <v>41320.73259259259</v>
      </c>
      <c r="B133" s="6" t="s">
        <v>3395</v>
      </c>
      <c r="C133" s="6" t="s">
        <v>201</v>
      </c>
      <c r="D133" s="6" t="s">
        <v>19</v>
      </c>
      <c r="E133" s="6" t="s">
        <v>3396</v>
      </c>
      <c r="F133" s="12"/>
      <c r="G133" s="24">
        <v>41320.0</v>
      </c>
    </row>
    <row r="134">
      <c r="A134" s="69">
        <v>41321.13165509259</v>
      </c>
      <c r="B134" s="6" t="s">
        <v>718</v>
      </c>
      <c r="C134" s="6" t="s">
        <v>3397</v>
      </c>
      <c r="D134" s="6" t="s">
        <v>19</v>
      </c>
      <c r="E134" s="6" t="s">
        <v>3398</v>
      </c>
      <c r="F134" s="6" t="s">
        <v>3399</v>
      </c>
      <c r="G134" s="45" t="s">
        <v>3400</v>
      </c>
    </row>
    <row r="135">
      <c r="A135" s="69">
        <v>41321.69247685185</v>
      </c>
      <c r="B135" s="6" t="s">
        <v>3401</v>
      </c>
      <c r="C135" s="6" t="s">
        <v>3402</v>
      </c>
      <c r="D135" s="6" t="s">
        <v>19</v>
      </c>
      <c r="E135" s="12"/>
      <c r="F135" s="6" t="s">
        <v>3403</v>
      </c>
      <c r="G135" s="45" t="s">
        <v>3404</v>
      </c>
    </row>
    <row r="136">
      <c r="A136" s="69">
        <v>41327.52444444445</v>
      </c>
      <c r="B136" s="6" t="s">
        <v>3405</v>
      </c>
      <c r="C136" s="6" t="s">
        <v>3406</v>
      </c>
      <c r="D136" s="6" t="s">
        <v>19</v>
      </c>
      <c r="E136" s="6" t="s">
        <v>3407</v>
      </c>
      <c r="F136" s="6" t="s">
        <v>3408</v>
      </c>
      <c r="G136" s="24">
        <v>41327.0</v>
      </c>
    </row>
    <row r="137">
      <c r="A137" s="69">
        <v>41328.59636574074</v>
      </c>
      <c r="B137" s="6" t="s">
        <v>552</v>
      </c>
      <c r="C137" s="6">
        <v>1.8</v>
      </c>
      <c r="D137" s="6" t="s">
        <v>19</v>
      </c>
      <c r="E137" s="12"/>
      <c r="F137" s="6" t="s">
        <v>3409</v>
      </c>
      <c r="G137" s="24">
        <v>41327.0</v>
      </c>
    </row>
    <row r="138">
      <c r="A138" s="69">
        <v>41329.248344907406</v>
      </c>
      <c r="B138" s="6" t="s">
        <v>3410</v>
      </c>
      <c r="C138" s="6" t="s">
        <v>3411</v>
      </c>
      <c r="D138" s="6" t="s">
        <v>19</v>
      </c>
      <c r="E138" s="6" t="s">
        <v>3412</v>
      </c>
      <c r="F138" s="6" t="s">
        <v>3413</v>
      </c>
      <c r="G138" s="24">
        <v>41329.0</v>
      </c>
    </row>
    <row r="139">
      <c r="A139" s="69">
        <v>41329.248819444445</v>
      </c>
      <c r="B139" s="6" t="s">
        <v>3410</v>
      </c>
      <c r="C139" s="6" t="s">
        <v>3414</v>
      </c>
      <c r="D139" s="6" t="s">
        <v>19</v>
      </c>
      <c r="E139" s="6" t="s">
        <v>3412</v>
      </c>
      <c r="F139" s="6" t="s">
        <v>3413</v>
      </c>
      <c r="G139" s="24">
        <v>41329.0</v>
      </c>
    </row>
    <row r="140">
      <c r="A140" s="69">
        <v>41331.7178125</v>
      </c>
      <c r="B140" s="6" t="s">
        <v>3415</v>
      </c>
      <c r="C140" s="6">
        <v>1.2</v>
      </c>
      <c r="D140" s="6" t="s">
        <v>9</v>
      </c>
      <c r="E140" s="12"/>
      <c r="F140" s="12"/>
      <c r="G140" s="24">
        <v>41331.0</v>
      </c>
    </row>
    <row r="141">
      <c r="A141" s="69">
        <v>41332.649513888886</v>
      </c>
      <c r="B141" s="6" t="s">
        <v>3416</v>
      </c>
      <c r="C141" s="6" t="s">
        <v>3145</v>
      </c>
      <c r="D141" s="6" t="s">
        <v>9</v>
      </c>
      <c r="E141" s="6" t="s">
        <v>3417</v>
      </c>
      <c r="F141" s="6" t="s">
        <v>3418</v>
      </c>
      <c r="G141" s="45" t="s">
        <v>3419</v>
      </c>
    </row>
    <row r="142">
      <c r="A142" s="69">
        <v>41332.65284722222</v>
      </c>
      <c r="B142" s="6" t="s">
        <v>3420</v>
      </c>
      <c r="C142" s="6">
        <v>1.1</v>
      </c>
      <c r="D142" s="6" t="s">
        <v>9</v>
      </c>
      <c r="E142" s="6" t="s">
        <v>3421</v>
      </c>
      <c r="F142" s="6" t="s">
        <v>3418</v>
      </c>
      <c r="G142" s="45" t="s">
        <v>3419</v>
      </c>
    </row>
    <row r="143">
      <c r="A143" s="69">
        <v>41336.36039351852</v>
      </c>
      <c r="B143" s="6" t="s">
        <v>3422</v>
      </c>
      <c r="C143" s="12"/>
      <c r="D143" s="6" t="s">
        <v>19</v>
      </c>
      <c r="E143" s="12"/>
      <c r="F143" s="12"/>
      <c r="G143" s="24">
        <v>41336.0</v>
      </c>
    </row>
    <row r="144">
      <c r="A144" s="69">
        <v>41337.04886574074</v>
      </c>
      <c r="B144" s="6" t="s">
        <v>3423</v>
      </c>
      <c r="C144" s="6" t="s">
        <v>3424</v>
      </c>
      <c r="D144" s="6" t="s">
        <v>19</v>
      </c>
      <c r="E144" s="12"/>
      <c r="F144" s="6" t="s">
        <v>3425</v>
      </c>
      <c r="G144" s="24">
        <v>406578.0</v>
      </c>
    </row>
    <row r="145">
      <c r="A145" s="69">
        <v>41338.667858796296</v>
      </c>
      <c r="B145" s="6" t="s">
        <v>3426</v>
      </c>
      <c r="C145" s="6" t="s">
        <v>3427</v>
      </c>
      <c r="D145" s="6" t="s">
        <v>19</v>
      </c>
      <c r="E145" s="6" t="s">
        <v>3428</v>
      </c>
      <c r="F145" s="6" t="s">
        <v>3429</v>
      </c>
      <c r="G145" s="24">
        <v>41338.0</v>
      </c>
    </row>
    <row r="146">
      <c r="A146" s="69">
        <v>41340.984502314815</v>
      </c>
      <c r="B146" s="6" t="s">
        <v>3430</v>
      </c>
      <c r="C146" s="6" t="s">
        <v>3431</v>
      </c>
      <c r="D146" s="6" t="s">
        <v>19</v>
      </c>
      <c r="E146" s="12"/>
      <c r="F146" s="6" t="s">
        <v>3432</v>
      </c>
      <c r="G146" s="24">
        <v>41341.0</v>
      </c>
    </row>
    <row r="147">
      <c r="A147" s="69">
        <v>41342.4587962963</v>
      </c>
      <c r="B147" s="6" t="s">
        <v>3433</v>
      </c>
      <c r="C147" s="6" t="s">
        <v>286</v>
      </c>
      <c r="D147" s="6" t="s">
        <v>19</v>
      </c>
      <c r="E147" s="6" t="s">
        <v>3434</v>
      </c>
      <c r="F147" s="6" t="s">
        <v>3435</v>
      </c>
      <c r="G147" s="24">
        <v>41520.0</v>
      </c>
    </row>
    <row r="148">
      <c r="A148" s="69">
        <v>41343.84631944444</v>
      </c>
      <c r="B148" s="6" t="s">
        <v>2620</v>
      </c>
      <c r="C148" s="6" t="s">
        <v>3436</v>
      </c>
      <c r="D148" s="6" t="s">
        <v>9</v>
      </c>
      <c r="E148" s="6" t="s">
        <v>3437</v>
      </c>
      <c r="F148" s="6" t="s">
        <v>3438</v>
      </c>
      <c r="G148" s="24">
        <v>41344.0</v>
      </c>
    </row>
    <row r="149">
      <c r="A149" s="69">
        <v>41345.542037037034</v>
      </c>
      <c r="B149" s="6" t="s">
        <v>3439</v>
      </c>
      <c r="C149" s="6" t="s">
        <v>701</v>
      </c>
      <c r="D149" s="6" t="s">
        <v>19</v>
      </c>
      <c r="E149" s="12"/>
      <c r="F149" s="6" t="s">
        <v>3440</v>
      </c>
      <c r="G149" s="24">
        <v>41611.0</v>
      </c>
    </row>
    <row r="150">
      <c r="A150" s="69">
        <v>41349.43859953704</v>
      </c>
      <c r="B150" s="6" t="s">
        <v>3441</v>
      </c>
      <c r="C150" s="6">
        <v>1.2</v>
      </c>
      <c r="D150" s="6" t="s">
        <v>9</v>
      </c>
      <c r="E150" s="6" t="s">
        <v>3442</v>
      </c>
      <c r="F150" s="6" t="s">
        <v>3443</v>
      </c>
      <c r="G150" s="45" t="s">
        <v>3444</v>
      </c>
    </row>
    <row r="151">
      <c r="A151" s="69">
        <v>41349.43880787037</v>
      </c>
      <c r="B151" s="6" t="s">
        <v>3441</v>
      </c>
      <c r="C151" s="6">
        <v>1.2</v>
      </c>
      <c r="D151" s="6" t="s">
        <v>9</v>
      </c>
      <c r="E151" s="6" t="s">
        <v>3442</v>
      </c>
      <c r="F151" s="6" t="s">
        <v>3443</v>
      </c>
      <c r="G151" s="45" t="s">
        <v>3444</v>
      </c>
    </row>
    <row r="152">
      <c r="A152" s="69">
        <v>41350.24459490741</v>
      </c>
      <c r="B152" s="6" t="s">
        <v>3276</v>
      </c>
      <c r="C152" s="6" t="s">
        <v>3445</v>
      </c>
      <c r="D152" s="6" t="s">
        <v>9</v>
      </c>
      <c r="E152" s="6" t="s">
        <v>3446</v>
      </c>
      <c r="F152" s="6" t="s">
        <v>3447</v>
      </c>
      <c r="G152" s="45" t="s">
        <v>3448</v>
      </c>
    </row>
    <row r="153">
      <c r="A153" s="69">
        <v>41350.770891203705</v>
      </c>
      <c r="B153" s="6" t="s">
        <v>3449</v>
      </c>
      <c r="C153" s="6">
        <v>1.1</v>
      </c>
      <c r="D153" s="6" t="s">
        <v>19</v>
      </c>
      <c r="E153" s="6" t="s">
        <v>3450</v>
      </c>
      <c r="F153" s="6" t="s">
        <v>3451</v>
      </c>
      <c r="G153" s="24">
        <v>41351.0</v>
      </c>
    </row>
    <row r="154">
      <c r="A154" s="69">
        <v>41353.03224537037</v>
      </c>
      <c r="B154" s="6" t="s">
        <v>3452</v>
      </c>
      <c r="C154" s="6" t="s">
        <v>3453</v>
      </c>
      <c r="D154" s="6" t="s">
        <v>19</v>
      </c>
      <c r="E154" s="12"/>
      <c r="F154" s="6" t="s">
        <v>3454</v>
      </c>
      <c r="G154" s="24">
        <v>41352.0</v>
      </c>
    </row>
    <row r="155">
      <c r="A155" s="69">
        <v>41353.03341435185</v>
      </c>
      <c r="B155" s="6" t="s">
        <v>3455</v>
      </c>
      <c r="C155" s="6" t="s">
        <v>244</v>
      </c>
      <c r="D155" s="6" t="s">
        <v>19</v>
      </c>
      <c r="E155" s="6" t="s">
        <v>3456</v>
      </c>
      <c r="F155" s="6" t="s">
        <v>3454</v>
      </c>
      <c r="G155" s="24">
        <v>41352.0</v>
      </c>
    </row>
    <row r="156">
      <c r="A156" s="69">
        <v>41353.04613425926</v>
      </c>
      <c r="B156" s="6" t="s">
        <v>1788</v>
      </c>
      <c r="C156" s="6">
        <v>1.12</v>
      </c>
      <c r="D156" s="6" t="s">
        <v>19</v>
      </c>
      <c r="E156" s="6" t="s">
        <v>186</v>
      </c>
      <c r="F156" s="6" t="s">
        <v>3454</v>
      </c>
      <c r="G156" s="24">
        <v>41352.0</v>
      </c>
    </row>
    <row r="157">
      <c r="A157" s="69">
        <v>41355.77318287037</v>
      </c>
      <c r="B157" s="6" t="s">
        <v>3457</v>
      </c>
      <c r="C157" s="6">
        <v>1.03</v>
      </c>
      <c r="D157" s="6" t="s">
        <v>19</v>
      </c>
      <c r="E157" s="12"/>
      <c r="F157" s="6" t="s">
        <v>3458</v>
      </c>
      <c r="G157" s="24">
        <v>41356.0</v>
      </c>
    </row>
    <row r="158">
      <c r="A158" s="69">
        <v>41355.99982638889</v>
      </c>
      <c r="B158" s="70" t="s">
        <v>3459</v>
      </c>
      <c r="C158" s="6">
        <v>3.0</v>
      </c>
      <c r="D158" s="6" t="s">
        <v>9</v>
      </c>
      <c r="E158" s="6" t="s">
        <v>3460</v>
      </c>
      <c r="F158" s="6" t="s">
        <v>3461</v>
      </c>
      <c r="G158" s="24">
        <v>41355.0</v>
      </c>
    </row>
    <row r="159">
      <c r="A159" s="69">
        <v>41360.141701388886</v>
      </c>
      <c r="B159" s="6" t="s">
        <v>3276</v>
      </c>
      <c r="C159" s="6" t="s">
        <v>3324</v>
      </c>
      <c r="D159" s="6" t="s">
        <v>19</v>
      </c>
      <c r="E159" s="6" t="s">
        <v>3462</v>
      </c>
      <c r="F159" s="6" t="s">
        <v>3463</v>
      </c>
      <c r="G159" s="24">
        <v>41356.0</v>
      </c>
    </row>
    <row r="160">
      <c r="A160" s="69">
        <v>41360.29969907407</v>
      </c>
      <c r="B160" s="6" t="s">
        <v>3464</v>
      </c>
      <c r="C160" s="6" t="s">
        <v>723</v>
      </c>
      <c r="D160" s="6" t="s">
        <v>19</v>
      </c>
      <c r="E160" s="12"/>
      <c r="F160" s="12"/>
      <c r="G160" s="45" t="s">
        <v>3465</v>
      </c>
    </row>
    <row r="161">
      <c r="A161" s="69">
        <v>41363.83505787037</v>
      </c>
      <c r="B161" s="6" t="s">
        <v>3466</v>
      </c>
      <c r="C161" s="6">
        <v>5.0</v>
      </c>
      <c r="D161" s="6" t="s">
        <v>19</v>
      </c>
      <c r="E161" s="6" t="s">
        <v>3467</v>
      </c>
      <c r="F161" s="12"/>
      <c r="G161" s="45" t="s">
        <v>3468</v>
      </c>
    </row>
    <row r="162">
      <c r="A162" s="69">
        <v>41364.68340277778</v>
      </c>
      <c r="B162" s="6" t="s">
        <v>3469</v>
      </c>
      <c r="C162" s="6">
        <v>1.06</v>
      </c>
      <c r="D162" s="6" t="s">
        <v>19</v>
      </c>
      <c r="E162" s="6" t="s">
        <v>3470</v>
      </c>
      <c r="F162" s="6" t="s">
        <v>79</v>
      </c>
      <c r="G162" s="24">
        <v>41364.0</v>
      </c>
    </row>
    <row r="163">
      <c r="A163" s="69">
        <v>41365.777094907404</v>
      </c>
      <c r="B163" s="6" t="s">
        <v>3471</v>
      </c>
      <c r="C163" s="6" t="s">
        <v>201</v>
      </c>
      <c r="D163" s="6" t="s">
        <v>19</v>
      </c>
      <c r="E163" s="6" t="s">
        <v>3472</v>
      </c>
      <c r="F163" s="6" t="s">
        <v>3473</v>
      </c>
      <c r="G163" s="24">
        <v>41278.0</v>
      </c>
    </row>
    <row r="164">
      <c r="A164" s="69">
        <v>41365.78097222222</v>
      </c>
      <c r="B164" s="6" t="s">
        <v>3276</v>
      </c>
      <c r="C164" s="6" t="s">
        <v>3324</v>
      </c>
      <c r="D164" s="6" t="s">
        <v>9</v>
      </c>
      <c r="E164" s="6" t="s">
        <v>3474</v>
      </c>
      <c r="F164" s="6" t="s">
        <v>3473</v>
      </c>
      <c r="G164" s="24">
        <v>41278.0</v>
      </c>
    </row>
    <row r="165">
      <c r="A165" s="69">
        <v>41366.54556712963</v>
      </c>
      <c r="B165" s="6" t="s">
        <v>3475</v>
      </c>
      <c r="C165" s="6" t="s">
        <v>8</v>
      </c>
      <c r="D165" s="6" t="s">
        <v>9</v>
      </c>
      <c r="E165" s="6" t="s">
        <v>3476</v>
      </c>
      <c r="F165" s="6" t="s">
        <v>3477</v>
      </c>
      <c r="G165" s="24">
        <v>41309.0</v>
      </c>
    </row>
    <row r="166">
      <c r="A166" s="69">
        <v>41366.5474537037</v>
      </c>
      <c r="B166" s="6" t="s">
        <v>3238</v>
      </c>
      <c r="C166" s="6">
        <v>1.3</v>
      </c>
      <c r="D166" s="6" t="s">
        <v>9</v>
      </c>
      <c r="E166" s="6" t="s">
        <v>3478</v>
      </c>
      <c r="F166" s="6" t="s">
        <v>3477</v>
      </c>
      <c r="G166" s="24">
        <v>41309.0</v>
      </c>
    </row>
    <row r="167">
      <c r="A167" s="69">
        <v>41366.55079861111</v>
      </c>
      <c r="B167" s="6" t="s">
        <v>3479</v>
      </c>
      <c r="C167" s="6">
        <v>1.0</v>
      </c>
      <c r="D167" s="6" t="s">
        <v>9</v>
      </c>
      <c r="E167" s="6" t="s">
        <v>3480</v>
      </c>
      <c r="F167" s="6" t="s">
        <v>3477</v>
      </c>
      <c r="G167" s="24">
        <v>41309.0</v>
      </c>
    </row>
    <row r="168">
      <c r="A168" s="69">
        <v>41366.551666666666</v>
      </c>
      <c r="B168" s="6" t="s">
        <v>2158</v>
      </c>
      <c r="C168" s="6" t="s">
        <v>3145</v>
      </c>
      <c r="D168" s="6" t="s">
        <v>9</v>
      </c>
      <c r="E168" s="12"/>
      <c r="F168" s="6" t="s">
        <v>3477</v>
      </c>
      <c r="G168" s="24">
        <v>41278.0</v>
      </c>
    </row>
    <row r="169">
      <c r="A169" s="69">
        <v>41366.55269675926</v>
      </c>
      <c r="B169" s="6" t="s">
        <v>2739</v>
      </c>
      <c r="C169" s="6" t="s">
        <v>3481</v>
      </c>
      <c r="D169" s="6" t="s">
        <v>9</v>
      </c>
      <c r="E169" s="12"/>
      <c r="F169" s="6" t="s">
        <v>3477</v>
      </c>
      <c r="G169" s="24">
        <v>41309.0</v>
      </c>
    </row>
    <row r="170">
      <c r="A170" s="69">
        <v>41367.65167824074</v>
      </c>
      <c r="B170" s="6" t="s">
        <v>3482</v>
      </c>
      <c r="C170" s="6">
        <v>1.31</v>
      </c>
      <c r="D170" s="6" t="s">
        <v>9</v>
      </c>
      <c r="E170" s="6" t="s">
        <v>3483</v>
      </c>
      <c r="F170" s="6" t="s">
        <v>3473</v>
      </c>
      <c r="G170" s="24">
        <v>41367.0</v>
      </c>
    </row>
    <row r="171">
      <c r="A171" s="69">
        <v>41367.652974537035</v>
      </c>
      <c r="B171" s="6" t="s">
        <v>3484</v>
      </c>
      <c r="C171" s="6" t="s">
        <v>659</v>
      </c>
      <c r="D171" s="6" t="s">
        <v>9</v>
      </c>
      <c r="E171" s="6" t="s">
        <v>3485</v>
      </c>
      <c r="F171" s="6" t="s">
        <v>3473</v>
      </c>
      <c r="G171" s="24">
        <v>41367.0</v>
      </c>
    </row>
    <row r="172">
      <c r="A172" s="69">
        <v>41367.67799768518</v>
      </c>
      <c r="B172" s="6" t="s">
        <v>3150</v>
      </c>
      <c r="C172" s="6" t="s">
        <v>3486</v>
      </c>
      <c r="D172" s="6" t="s">
        <v>9</v>
      </c>
      <c r="E172" s="6" t="s">
        <v>3487</v>
      </c>
      <c r="F172" s="6" t="s">
        <v>3473</v>
      </c>
      <c r="G172" s="24">
        <v>41367.0</v>
      </c>
    </row>
    <row r="173">
      <c r="A173" s="69">
        <v>41367.67886574074</v>
      </c>
      <c r="B173" s="6" t="s">
        <v>332</v>
      </c>
      <c r="C173" s="6" t="s">
        <v>3383</v>
      </c>
      <c r="D173" s="6" t="s">
        <v>19</v>
      </c>
      <c r="E173" s="6" t="s">
        <v>3488</v>
      </c>
      <c r="F173" s="6" t="s">
        <v>3473</v>
      </c>
      <c r="G173" s="24">
        <v>41367.0</v>
      </c>
    </row>
    <row r="174">
      <c r="A174" s="69">
        <v>41367.67954861111</v>
      </c>
      <c r="B174" s="6" t="s">
        <v>3489</v>
      </c>
      <c r="C174" s="6" t="s">
        <v>3490</v>
      </c>
      <c r="D174" s="6" t="s">
        <v>19</v>
      </c>
      <c r="E174" s="6" t="s">
        <v>3488</v>
      </c>
      <c r="F174" s="6" t="s">
        <v>3473</v>
      </c>
      <c r="G174" s="24">
        <v>41367.0</v>
      </c>
    </row>
    <row r="175">
      <c r="A175" s="69">
        <v>41367.685266203705</v>
      </c>
      <c r="B175" s="6" t="s">
        <v>3491</v>
      </c>
      <c r="C175" s="6" t="s">
        <v>3492</v>
      </c>
      <c r="D175" s="6" t="s">
        <v>120</v>
      </c>
      <c r="E175" s="6" t="s">
        <v>3493</v>
      </c>
      <c r="F175" s="6" t="s">
        <v>3473</v>
      </c>
      <c r="G175" s="24">
        <v>41367.0</v>
      </c>
    </row>
    <row r="176">
      <c r="A176" s="69">
        <v>41367.710648148146</v>
      </c>
      <c r="B176" s="6" t="s">
        <v>3494</v>
      </c>
      <c r="C176" s="6" t="s">
        <v>3495</v>
      </c>
      <c r="D176" s="6" t="s">
        <v>9</v>
      </c>
      <c r="E176" s="6" t="s">
        <v>3496</v>
      </c>
      <c r="F176" s="6" t="s">
        <v>3473</v>
      </c>
      <c r="G176" s="24">
        <v>41367.0</v>
      </c>
    </row>
    <row r="177">
      <c r="A177" s="69">
        <v>41367.71792824074</v>
      </c>
      <c r="B177" s="6" t="s">
        <v>1453</v>
      </c>
      <c r="C177" s="6" t="s">
        <v>3497</v>
      </c>
      <c r="D177" s="6" t="s">
        <v>9</v>
      </c>
      <c r="E177" s="6" t="s">
        <v>3498</v>
      </c>
      <c r="F177" s="6" t="s">
        <v>3473</v>
      </c>
      <c r="G177" s="24">
        <v>41367.0</v>
      </c>
    </row>
    <row r="178">
      <c r="A178" s="69">
        <v>41367.7184837963</v>
      </c>
      <c r="B178" s="6" t="s">
        <v>128</v>
      </c>
      <c r="C178" s="6">
        <v>1.1</v>
      </c>
      <c r="D178" s="6" t="s">
        <v>9</v>
      </c>
      <c r="E178" s="6" t="s">
        <v>3498</v>
      </c>
      <c r="F178" s="6" t="s">
        <v>3473</v>
      </c>
      <c r="G178" s="24">
        <v>41367.0</v>
      </c>
    </row>
    <row r="179">
      <c r="A179" s="69">
        <v>41367.72238425926</v>
      </c>
      <c r="B179" s="6" t="s">
        <v>3499</v>
      </c>
      <c r="C179" s="6" t="s">
        <v>3119</v>
      </c>
      <c r="D179" s="6" t="s">
        <v>19</v>
      </c>
      <c r="E179" s="6" t="s">
        <v>3472</v>
      </c>
      <c r="F179" s="6" t="s">
        <v>3473</v>
      </c>
      <c r="G179" s="24">
        <v>41367.0</v>
      </c>
    </row>
    <row r="180">
      <c r="A180" s="69">
        <v>41367.74182870371</v>
      </c>
      <c r="B180" s="6" t="s">
        <v>3500</v>
      </c>
      <c r="C180" s="6" t="s">
        <v>723</v>
      </c>
      <c r="D180" s="6" t="s">
        <v>120</v>
      </c>
      <c r="E180" s="6" t="s">
        <v>3501</v>
      </c>
      <c r="F180" s="6" t="s">
        <v>3473</v>
      </c>
      <c r="G180" s="24">
        <v>41367.0</v>
      </c>
    </row>
    <row r="181">
      <c r="A181" s="69">
        <v>41369.74385416666</v>
      </c>
      <c r="B181" s="6" t="s">
        <v>3502</v>
      </c>
      <c r="C181" s="6" t="s">
        <v>3503</v>
      </c>
      <c r="D181" s="6" t="s">
        <v>19</v>
      </c>
      <c r="E181" s="6" t="s">
        <v>3504</v>
      </c>
      <c r="F181" s="6" t="s">
        <v>3473</v>
      </c>
      <c r="G181" s="24">
        <v>41367.0</v>
      </c>
    </row>
    <row r="182">
      <c r="A182" s="69">
        <v>41377.56270833333</v>
      </c>
      <c r="B182" s="6" t="s">
        <v>3505</v>
      </c>
      <c r="C182" s="6">
        <v>2.7</v>
      </c>
      <c r="D182" s="6" t="s">
        <v>9</v>
      </c>
      <c r="E182" s="6" t="s">
        <v>3506</v>
      </c>
      <c r="F182" s="6" t="s">
        <v>3507</v>
      </c>
      <c r="G182" s="45" t="s">
        <v>3508</v>
      </c>
    </row>
    <row r="183">
      <c r="A183" s="69">
        <v>41378.53083333333</v>
      </c>
      <c r="B183" s="6" t="s">
        <v>3509</v>
      </c>
      <c r="C183" s="6" t="s">
        <v>3510</v>
      </c>
      <c r="D183" s="6" t="s">
        <v>19</v>
      </c>
      <c r="E183" s="12"/>
      <c r="F183" s="6" t="s">
        <v>3511</v>
      </c>
      <c r="G183" s="24">
        <v>41377.0</v>
      </c>
    </row>
    <row r="184">
      <c r="A184" s="69">
        <v>41379.99964120371</v>
      </c>
      <c r="B184" s="6" t="s">
        <v>3512</v>
      </c>
      <c r="C184" s="6" t="s">
        <v>1511</v>
      </c>
      <c r="D184" s="6" t="s">
        <v>19</v>
      </c>
      <c r="E184" s="6" t="s">
        <v>3513</v>
      </c>
      <c r="F184" s="6" t="s">
        <v>3514</v>
      </c>
      <c r="G184" s="24">
        <v>41379.0</v>
      </c>
    </row>
    <row r="185">
      <c r="A185" s="69">
        <v>41385.18703703704</v>
      </c>
      <c r="B185" s="6" t="s">
        <v>3515</v>
      </c>
      <c r="C185" s="6">
        <v>1.15</v>
      </c>
      <c r="D185" s="6" t="s">
        <v>9</v>
      </c>
      <c r="E185" s="6" t="s">
        <v>3516</v>
      </c>
      <c r="F185" s="6" t="s">
        <v>3517</v>
      </c>
      <c r="G185" s="45" t="s">
        <v>3518</v>
      </c>
    </row>
    <row r="186">
      <c r="A186" s="69">
        <v>41385.188263888886</v>
      </c>
      <c r="B186" s="6" t="s">
        <v>3519</v>
      </c>
      <c r="C186" s="6" t="s">
        <v>3520</v>
      </c>
      <c r="D186" s="6" t="s">
        <v>3521</v>
      </c>
      <c r="E186" s="6" t="s">
        <v>3522</v>
      </c>
      <c r="F186" s="6" t="s">
        <v>3523</v>
      </c>
      <c r="G186" s="24" t="s">
        <v>3524</v>
      </c>
    </row>
    <row r="187">
      <c r="A187" s="69">
        <v>41385.18918981482</v>
      </c>
      <c r="B187" s="6" t="s">
        <v>3525</v>
      </c>
      <c r="C187" s="6" t="s">
        <v>3336</v>
      </c>
      <c r="D187" s="6" t="s">
        <v>9</v>
      </c>
      <c r="E187" s="6" t="s">
        <v>3526</v>
      </c>
      <c r="F187" s="6" t="s">
        <v>3527</v>
      </c>
      <c r="G187" s="24">
        <v>2145520.0</v>
      </c>
    </row>
    <row r="188">
      <c r="A188" s="69">
        <v>41389.703125</v>
      </c>
      <c r="B188" s="6" t="s">
        <v>3509</v>
      </c>
      <c r="C188" s="6">
        <v>1.1</v>
      </c>
      <c r="D188" s="6" t="s">
        <v>19</v>
      </c>
      <c r="E188" s="6" t="s">
        <v>3528</v>
      </c>
      <c r="F188" s="6" t="s">
        <v>3529</v>
      </c>
      <c r="G188" s="45" t="s">
        <v>3530</v>
      </c>
    </row>
    <row r="189">
      <c r="A189" s="69">
        <v>41391.455659722225</v>
      </c>
      <c r="B189" s="6" t="s">
        <v>3531</v>
      </c>
      <c r="C189" s="6">
        <v>1.1</v>
      </c>
      <c r="D189" s="6" t="s">
        <v>19</v>
      </c>
      <c r="E189" s="6" t="s">
        <v>3532</v>
      </c>
      <c r="F189" s="6" t="s">
        <v>3533</v>
      </c>
      <c r="G189" s="45" t="s">
        <v>3534</v>
      </c>
    </row>
    <row r="190">
      <c r="A190" s="69">
        <v>41392.6690625</v>
      </c>
      <c r="B190" s="6" t="s">
        <v>3535</v>
      </c>
      <c r="C190" s="6" t="s">
        <v>3536</v>
      </c>
      <c r="D190" s="6" t="s">
        <v>3537</v>
      </c>
      <c r="E190" s="12"/>
      <c r="F190" s="6" t="s">
        <v>3538</v>
      </c>
      <c r="G190" s="24">
        <v>41393.0</v>
      </c>
    </row>
    <row r="191">
      <c r="A191" s="69">
        <v>41395.53398148148</v>
      </c>
      <c r="B191" s="6" t="s">
        <v>3539</v>
      </c>
      <c r="C191" s="6">
        <v>1.0</v>
      </c>
      <c r="D191" s="6" t="s">
        <v>19</v>
      </c>
      <c r="E191" s="6" t="s">
        <v>3540</v>
      </c>
      <c r="F191" s="6" t="s">
        <v>3541</v>
      </c>
      <c r="G191" s="24">
        <v>41395.0</v>
      </c>
    </row>
    <row r="192">
      <c r="A192" s="69">
        <v>41395.53736111111</v>
      </c>
      <c r="B192" s="6" t="s">
        <v>3542</v>
      </c>
      <c r="C192" s="12"/>
      <c r="D192" s="6" t="s">
        <v>9</v>
      </c>
      <c r="E192" s="6" t="s">
        <v>3543</v>
      </c>
      <c r="F192" s="6" t="s">
        <v>3541</v>
      </c>
      <c r="G192" s="24">
        <v>41395.0</v>
      </c>
    </row>
    <row r="193">
      <c r="A193" s="69">
        <v>41395.564988425926</v>
      </c>
      <c r="B193" s="6" t="s">
        <v>3144</v>
      </c>
      <c r="C193" s="6" t="s">
        <v>1823</v>
      </c>
      <c r="D193" s="6" t="s">
        <v>9</v>
      </c>
      <c r="E193" s="6" t="s">
        <v>3544</v>
      </c>
      <c r="F193" s="6" t="s">
        <v>3545</v>
      </c>
      <c r="G193" s="24">
        <v>41395.0</v>
      </c>
    </row>
    <row r="194">
      <c r="A194" s="69">
        <v>41395.56627314815</v>
      </c>
      <c r="B194" s="6" t="s">
        <v>3546</v>
      </c>
      <c r="C194" s="6" t="s">
        <v>1723</v>
      </c>
      <c r="D194" s="6" t="s">
        <v>9</v>
      </c>
      <c r="E194" s="6" t="s">
        <v>3547</v>
      </c>
      <c r="F194" s="6" t="s">
        <v>3545</v>
      </c>
      <c r="G194" s="24">
        <v>41395.0</v>
      </c>
    </row>
    <row r="195">
      <c r="A195" s="69">
        <v>41395.56796296296</v>
      </c>
      <c r="B195" s="6" t="s">
        <v>3113</v>
      </c>
      <c r="C195" s="6" t="s">
        <v>1823</v>
      </c>
      <c r="D195" s="6" t="s">
        <v>9</v>
      </c>
      <c r="E195" s="6" t="s">
        <v>3548</v>
      </c>
      <c r="F195" s="6" t="s">
        <v>3545</v>
      </c>
      <c r="G195" s="24">
        <v>41395.0</v>
      </c>
    </row>
    <row r="196">
      <c r="A196" s="69">
        <v>41395.56966435185</v>
      </c>
      <c r="B196" s="6" t="s">
        <v>3549</v>
      </c>
      <c r="C196" s="6">
        <v>1.2</v>
      </c>
      <c r="D196" s="6" t="s">
        <v>9</v>
      </c>
      <c r="E196" s="6" t="s">
        <v>3550</v>
      </c>
      <c r="F196" s="6" t="s">
        <v>3545</v>
      </c>
      <c r="G196" s="24">
        <v>41395.0</v>
      </c>
    </row>
    <row r="197">
      <c r="A197" s="69">
        <v>41395.57134259259</v>
      </c>
      <c r="B197" s="6" t="s">
        <v>3551</v>
      </c>
      <c r="C197" s="6" t="s">
        <v>3552</v>
      </c>
      <c r="D197" s="6" t="s">
        <v>19</v>
      </c>
      <c r="E197" s="6" t="s">
        <v>3553</v>
      </c>
      <c r="F197" s="6" t="s">
        <v>3545</v>
      </c>
      <c r="G197" s="24">
        <v>41395.0</v>
      </c>
    </row>
    <row r="198">
      <c r="A198" s="69">
        <v>41398.084548611114</v>
      </c>
      <c r="B198" s="6" t="s">
        <v>3554</v>
      </c>
      <c r="C198" s="6" t="s">
        <v>706</v>
      </c>
      <c r="D198" s="6" t="s">
        <v>19</v>
      </c>
      <c r="E198" s="6" t="s">
        <v>3555</v>
      </c>
      <c r="F198" s="6" t="s">
        <v>3556</v>
      </c>
      <c r="G198" s="24">
        <v>41369.0</v>
      </c>
    </row>
    <row r="199">
      <c r="A199" s="69">
        <v>41398.08883101852</v>
      </c>
      <c r="B199" s="6" t="s">
        <v>3557</v>
      </c>
      <c r="C199" s="6" t="s">
        <v>706</v>
      </c>
      <c r="D199" s="6" t="s">
        <v>19</v>
      </c>
      <c r="E199" s="6" t="s">
        <v>3558</v>
      </c>
      <c r="F199" s="6" t="s">
        <v>3556</v>
      </c>
      <c r="G199" s="24">
        <v>41369.0</v>
      </c>
    </row>
    <row r="200">
      <c r="A200" s="69">
        <v>41399.41462962963</v>
      </c>
      <c r="B200" s="6" t="s">
        <v>3559</v>
      </c>
      <c r="C200" s="6" t="s">
        <v>3560</v>
      </c>
      <c r="D200" s="6" t="s">
        <v>9</v>
      </c>
      <c r="E200" s="6" t="s">
        <v>2377</v>
      </c>
      <c r="F200" s="6" t="s">
        <v>3561</v>
      </c>
      <c r="G200" s="24">
        <v>41399.0</v>
      </c>
    </row>
    <row r="201">
      <c r="A201" s="69">
        <v>41399.41584490741</v>
      </c>
      <c r="B201" s="6" t="s">
        <v>3562</v>
      </c>
      <c r="C201" s="6" t="s">
        <v>3155</v>
      </c>
      <c r="D201" s="6" t="s">
        <v>19</v>
      </c>
      <c r="E201" s="6" t="s">
        <v>3563</v>
      </c>
      <c r="F201" s="6" t="s">
        <v>3561</v>
      </c>
      <c r="G201" s="24">
        <v>41399.0</v>
      </c>
    </row>
    <row r="202">
      <c r="A202" s="69">
        <v>41399.420636574076</v>
      </c>
      <c r="B202" s="6" t="s">
        <v>3564</v>
      </c>
      <c r="C202" s="12"/>
      <c r="D202" s="6" t="s">
        <v>9</v>
      </c>
      <c r="E202" s="6" t="s">
        <v>3565</v>
      </c>
      <c r="F202" s="6" t="s">
        <v>3561</v>
      </c>
      <c r="G202" s="24">
        <v>41399.0</v>
      </c>
    </row>
    <row r="203">
      <c r="A203" s="69">
        <v>41399.42255787037</v>
      </c>
      <c r="B203" s="6" t="s">
        <v>3566</v>
      </c>
      <c r="C203" s="6" t="s">
        <v>723</v>
      </c>
      <c r="D203" s="6" t="s">
        <v>9</v>
      </c>
      <c r="E203" s="6" t="s">
        <v>3567</v>
      </c>
      <c r="F203" s="6" t="s">
        <v>3561</v>
      </c>
      <c r="G203" s="24">
        <v>41399.0</v>
      </c>
    </row>
    <row r="204">
      <c r="A204" s="69">
        <v>41399.42333333333</v>
      </c>
      <c r="B204" s="6" t="s">
        <v>3568</v>
      </c>
      <c r="C204" s="6">
        <v>7.3</v>
      </c>
      <c r="D204" s="6" t="s">
        <v>19</v>
      </c>
      <c r="E204" s="6" t="s">
        <v>3569</v>
      </c>
      <c r="F204" s="6" t="s">
        <v>3561</v>
      </c>
      <c r="G204" s="24">
        <v>41399.0</v>
      </c>
    </row>
    <row r="205">
      <c r="A205" s="69">
        <v>41399.43311342593</v>
      </c>
      <c r="B205" s="6" t="s">
        <v>1647</v>
      </c>
      <c r="C205" s="12"/>
      <c r="D205" s="6" t="s">
        <v>19</v>
      </c>
      <c r="E205" s="6" t="s">
        <v>3570</v>
      </c>
      <c r="F205" s="6" t="s">
        <v>3561</v>
      </c>
      <c r="G205" s="24">
        <v>41399.0</v>
      </c>
    </row>
    <row r="206">
      <c r="A206" s="69">
        <v>41399.43425925926</v>
      </c>
      <c r="B206" s="6" t="s">
        <v>3571</v>
      </c>
      <c r="C206" s="12"/>
      <c r="D206" s="6" t="s">
        <v>19</v>
      </c>
      <c r="E206" s="12"/>
      <c r="F206" s="6" t="s">
        <v>3561</v>
      </c>
      <c r="G206" s="24">
        <v>41399.0</v>
      </c>
    </row>
    <row r="207">
      <c r="A207" s="69">
        <v>41402.329513888886</v>
      </c>
      <c r="B207" s="6" t="s">
        <v>3551</v>
      </c>
      <c r="C207" s="6" t="s">
        <v>3552</v>
      </c>
      <c r="D207" s="6" t="s">
        <v>19</v>
      </c>
      <c r="E207" s="6" t="s">
        <v>3553</v>
      </c>
      <c r="F207" s="6" t="s">
        <v>3545</v>
      </c>
      <c r="G207" s="24">
        <v>41395.0</v>
      </c>
    </row>
    <row r="208">
      <c r="A208" s="69">
        <v>41408.674791666665</v>
      </c>
      <c r="B208" s="6" t="s">
        <v>3572</v>
      </c>
      <c r="C208" s="6" t="s">
        <v>659</v>
      </c>
      <c r="D208" s="6" t="s">
        <v>19</v>
      </c>
      <c r="E208" s="6" t="s">
        <v>3573</v>
      </c>
      <c r="F208" s="6" t="s">
        <v>3574</v>
      </c>
      <c r="G208" s="45" t="s">
        <v>3575</v>
      </c>
    </row>
    <row r="209">
      <c r="A209" s="69">
        <v>41413.736134259256</v>
      </c>
      <c r="B209" s="6" t="s">
        <v>3531</v>
      </c>
      <c r="C209" s="6">
        <v>1.1</v>
      </c>
      <c r="D209" s="6" t="s">
        <v>9</v>
      </c>
      <c r="E209" s="6" t="s">
        <v>3576</v>
      </c>
      <c r="F209" s="6" t="s">
        <v>3577</v>
      </c>
      <c r="G209" s="24">
        <v>41413.0</v>
      </c>
    </row>
    <row r="210">
      <c r="A210" s="69">
        <v>41414.13885416667</v>
      </c>
      <c r="B210" s="6" t="s">
        <v>3578</v>
      </c>
      <c r="C210" s="6" t="s">
        <v>3579</v>
      </c>
      <c r="D210" s="6" t="s">
        <v>3580</v>
      </c>
      <c r="E210" s="6" t="s">
        <v>3581</v>
      </c>
      <c r="F210" s="6" t="s">
        <v>3582</v>
      </c>
      <c r="G210" s="24">
        <v>41413.0</v>
      </c>
    </row>
    <row r="211">
      <c r="A211" s="69">
        <v>41414.14771990741</v>
      </c>
      <c r="B211" s="6" t="s">
        <v>3583</v>
      </c>
      <c r="C211" s="6" t="s">
        <v>3584</v>
      </c>
      <c r="D211" s="6" t="s">
        <v>3580</v>
      </c>
      <c r="E211" s="6" t="s">
        <v>3585</v>
      </c>
      <c r="F211" s="6" t="s">
        <v>3582</v>
      </c>
      <c r="G211" s="24">
        <v>41413.0</v>
      </c>
    </row>
    <row r="212">
      <c r="A212" s="69">
        <v>41419.07603009259</v>
      </c>
      <c r="B212" s="6" t="s">
        <v>3586</v>
      </c>
      <c r="C212" s="6" t="s">
        <v>3587</v>
      </c>
      <c r="D212" s="6" t="s">
        <v>9</v>
      </c>
      <c r="E212" s="12"/>
      <c r="F212" s="6" t="s">
        <v>3588</v>
      </c>
      <c r="G212" s="45" t="s">
        <v>3589</v>
      </c>
    </row>
    <row r="213">
      <c r="A213" s="69">
        <v>41419.07613425926</v>
      </c>
      <c r="B213" s="6" t="s">
        <v>3586</v>
      </c>
      <c r="C213" s="6" t="s">
        <v>3587</v>
      </c>
      <c r="D213" s="6" t="s">
        <v>9</v>
      </c>
      <c r="E213" s="12"/>
      <c r="F213" s="6" t="s">
        <v>3588</v>
      </c>
      <c r="G213" s="45" t="s">
        <v>3589</v>
      </c>
    </row>
    <row r="214">
      <c r="A214" s="69">
        <v>41424.57171296296</v>
      </c>
      <c r="B214" s="6" t="s">
        <v>3590</v>
      </c>
      <c r="C214" s="6" t="s">
        <v>286</v>
      </c>
      <c r="D214" s="6" t="s">
        <v>19</v>
      </c>
      <c r="E214" s="12"/>
      <c r="F214" s="12"/>
      <c r="G214" s="45" t="s">
        <v>3591</v>
      </c>
    </row>
    <row r="215">
      <c r="A215" s="69">
        <v>41435.96366898148</v>
      </c>
      <c r="B215" s="6" t="s">
        <v>3592</v>
      </c>
      <c r="C215" s="6">
        <v>5.0</v>
      </c>
      <c r="D215" s="6" t="s">
        <v>19</v>
      </c>
      <c r="E215" s="6" t="s">
        <v>3593</v>
      </c>
      <c r="F215" s="6" t="s">
        <v>3594</v>
      </c>
      <c r="G215" s="45" t="s">
        <v>3595</v>
      </c>
    </row>
    <row r="216">
      <c r="A216" s="69">
        <v>41452.089953703704</v>
      </c>
      <c r="B216" s="6" t="s">
        <v>3596</v>
      </c>
      <c r="C216" s="6" t="s">
        <v>3560</v>
      </c>
      <c r="D216" s="6" t="s">
        <v>9</v>
      </c>
      <c r="E216" s="6" t="s">
        <v>3597</v>
      </c>
      <c r="F216" s="6" t="s">
        <v>3598</v>
      </c>
      <c r="G216" s="24">
        <v>41451.0</v>
      </c>
    </row>
    <row r="217">
      <c r="A217" s="69">
        <v>41452.09105324074</v>
      </c>
      <c r="B217" s="6" t="s">
        <v>3599</v>
      </c>
      <c r="C217" s="6" t="s">
        <v>481</v>
      </c>
      <c r="D217" s="6" t="s">
        <v>19</v>
      </c>
      <c r="E217" s="12"/>
      <c r="F217" s="6" t="s">
        <v>3598</v>
      </c>
      <c r="G217" s="24">
        <v>41451.0</v>
      </c>
    </row>
    <row r="218">
      <c r="A218" s="69">
        <v>41452.09172453704</v>
      </c>
      <c r="B218" s="6" t="s">
        <v>3600</v>
      </c>
      <c r="C218" s="6">
        <v>1.2</v>
      </c>
      <c r="D218" s="6" t="s">
        <v>9</v>
      </c>
      <c r="E218" s="6" t="s">
        <v>3597</v>
      </c>
      <c r="F218" s="6" t="s">
        <v>3598</v>
      </c>
      <c r="G218" s="24">
        <v>41451.0</v>
      </c>
    </row>
    <row r="219">
      <c r="A219" s="69">
        <v>41452.09278935185</v>
      </c>
      <c r="B219" s="6" t="s">
        <v>3601</v>
      </c>
      <c r="C219" s="6" t="s">
        <v>8</v>
      </c>
      <c r="D219" s="6" t="s">
        <v>19</v>
      </c>
      <c r="E219" s="6" t="s">
        <v>3602</v>
      </c>
      <c r="F219" s="6" t="s">
        <v>3598</v>
      </c>
      <c r="G219" s="24">
        <v>41451.0</v>
      </c>
    </row>
    <row r="220">
      <c r="A220" s="69">
        <v>41453.572071759256</v>
      </c>
      <c r="B220" s="6" t="s">
        <v>3603</v>
      </c>
      <c r="C220" s="6" t="s">
        <v>3560</v>
      </c>
      <c r="D220" s="6" t="s">
        <v>19</v>
      </c>
      <c r="E220" s="12"/>
      <c r="F220" s="12"/>
      <c r="G220" s="24">
        <v>41453.0</v>
      </c>
    </row>
    <row r="221">
      <c r="A221" s="69">
        <v>41459.74471064815</v>
      </c>
      <c r="B221" s="6" t="s">
        <v>3604</v>
      </c>
      <c r="C221" s="6" t="s">
        <v>3560</v>
      </c>
      <c r="D221" s="6" t="s">
        <v>19</v>
      </c>
      <c r="E221" s="6" t="s">
        <v>3605</v>
      </c>
      <c r="F221" s="6" t="s">
        <v>3606</v>
      </c>
      <c r="G221" s="24">
        <v>41460.0</v>
      </c>
    </row>
    <row r="222">
      <c r="A222" s="69">
        <v>41463.24238425926</v>
      </c>
      <c r="B222" s="6" t="s">
        <v>3607</v>
      </c>
      <c r="C222" s="6">
        <v>2.0</v>
      </c>
      <c r="D222" s="6" t="s">
        <v>19</v>
      </c>
      <c r="E222" s="12"/>
      <c r="F222" s="12"/>
      <c r="G222" s="24">
        <v>41493.0</v>
      </c>
    </row>
    <row r="223">
      <c r="A223" s="69">
        <v>41468.70637731482</v>
      </c>
      <c r="B223" s="6" t="s">
        <v>3608</v>
      </c>
      <c r="C223" s="6">
        <v>2.62</v>
      </c>
      <c r="D223" s="6" t="s">
        <v>9</v>
      </c>
      <c r="E223" s="6" t="s">
        <v>3609</v>
      </c>
      <c r="F223" s="6" t="s">
        <v>3610</v>
      </c>
      <c r="G223" s="24">
        <v>41468.0</v>
      </c>
    </row>
    <row r="224">
      <c r="A224" s="69">
        <v>41469.82193287037</v>
      </c>
      <c r="B224" s="6" t="s">
        <v>3611</v>
      </c>
      <c r="C224" s="6">
        <v>1.5</v>
      </c>
      <c r="D224" s="6" t="s">
        <v>9</v>
      </c>
      <c r="E224" s="6" t="s">
        <v>3612</v>
      </c>
      <c r="F224" s="6" t="s">
        <v>664</v>
      </c>
      <c r="G224" s="24">
        <v>41469.0</v>
      </c>
    </row>
    <row r="225">
      <c r="A225" s="69">
        <v>41469.82287037037</v>
      </c>
      <c r="B225" s="6" t="s">
        <v>3613</v>
      </c>
      <c r="C225" s="6" t="s">
        <v>3614</v>
      </c>
      <c r="D225" s="6" t="s">
        <v>9</v>
      </c>
      <c r="E225" s="6" t="s">
        <v>3615</v>
      </c>
      <c r="F225" s="6" t="s">
        <v>664</v>
      </c>
      <c r="G225" s="24">
        <v>41469.0</v>
      </c>
    </row>
    <row r="226">
      <c r="A226" s="69">
        <v>41469.823854166665</v>
      </c>
      <c r="B226" s="6" t="s">
        <v>3616</v>
      </c>
      <c r="C226" s="6">
        <v>1.2</v>
      </c>
      <c r="D226" s="6" t="s">
        <v>9</v>
      </c>
      <c r="E226" s="6" t="s">
        <v>3617</v>
      </c>
      <c r="F226" s="6" t="s">
        <v>664</v>
      </c>
      <c r="G226" s="24">
        <v>41469.0</v>
      </c>
    </row>
    <row r="227">
      <c r="A227" s="69">
        <v>41469.82457175926</v>
      </c>
      <c r="B227" s="6" t="s">
        <v>3618</v>
      </c>
      <c r="C227" s="6">
        <v>1.0</v>
      </c>
      <c r="D227" s="6" t="s">
        <v>9</v>
      </c>
      <c r="E227" s="6" t="s">
        <v>3619</v>
      </c>
      <c r="F227" s="6" t="s">
        <v>664</v>
      </c>
      <c r="G227" s="24">
        <v>41469.0</v>
      </c>
    </row>
    <row r="228">
      <c r="A228" s="69">
        <v>41469.82508101852</v>
      </c>
      <c r="B228" s="6" t="s">
        <v>3620</v>
      </c>
      <c r="C228" s="6">
        <v>1.3</v>
      </c>
      <c r="D228" s="6" t="s">
        <v>19</v>
      </c>
      <c r="E228" s="12"/>
      <c r="F228" s="6" t="s">
        <v>664</v>
      </c>
      <c r="G228" s="24">
        <v>41469.0</v>
      </c>
    </row>
    <row r="229">
      <c r="A229" s="69">
        <v>41469.829097222224</v>
      </c>
      <c r="B229" s="6" t="s">
        <v>3621</v>
      </c>
      <c r="C229" s="6" t="s">
        <v>3622</v>
      </c>
      <c r="D229" s="6" t="s">
        <v>19</v>
      </c>
      <c r="E229" s="6" t="s">
        <v>3623</v>
      </c>
      <c r="F229" s="6" t="s">
        <v>3624</v>
      </c>
      <c r="G229" s="24">
        <v>41469.0</v>
      </c>
    </row>
    <row r="230">
      <c r="A230" s="69">
        <v>41469.83023148148</v>
      </c>
      <c r="B230" s="6" t="s">
        <v>3625</v>
      </c>
      <c r="C230" s="6" t="s">
        <v>953</v>
      </c>
      <c r="D230" s="6" t="s">
        <v>19</v>
      </c>
      <c r="E230" s="12"/>
      <c r="F230" s="6" t="s">
        <v>3624</v>
      </c>
      <c r="G230" s="24">
        <v>41469.0</v>
      </c>
    </row>
    <row r="231">
      <c r="A231" s="69">
        <v>41469.83070601852</v>
      </c>
      <c r="B231" s="6" t="s">
        <v>3626</v>
      </c>
      <c r="C231" s="6" t="s">
        <v>3627</v>
      </c>
      <c r="D231" s="6" t="s">
        <v>19</v>
      </c>
      <c r="E231" s="12"/>
      <c r="F231" s="6" t="s">
        <v>3624</v>
      </c>
      <c r="G231" s="24">
        <v>41469.0</v>
      </c>
    </row>
    <row r="232">
      <c r="A232" s="69">
        <v>41469.83105324074</v>
      </c>
      <c r="B232" s="6" t="s">
        <v>636</v>
      </c>
      <c r="C232" s="6" t="s">
        <v>3628</v>
      </c>
      <c r="D232" s="6" t="s">
        <v>19</v>
      </c>
      <c r="E232" s="12"/>
      <c r="F232" s="6" t="s">
        <v>3624</v>
      </c>
      <c r="G232" s="24">
        <v>41469.0</v>
      </c>
    </row>
    <row r="233">
      <c r="A233" s="69">
        <v>41469.83152777778</v>
      </c>
      <c r="B233" s="6" t="s">
        <v>1789</v>
      </c>
      <c r="C233" s="6" t="s">
        <v>3629</v>
      </c>
      <c r="D233" s="6" t="s">
        <v>19</v>
      </c>
      <c r="E233" s="12"/>
      <c r="F233" s="6" t="s">
        <v>3624</v>
      </c>
      <c r="G233" s="24">
        <v>41469.0</v>
      </c>
    </row>
    <row r="234">
      <c r="A234" s="69">
        <v>41469.83216435185</v>
      </c>
      <c r="B234" s="6" t="s">
        <v>3630</v>
      </c>
      <c r="C234" s="6">
        <v>1.9</v>
      </c>
      <c r="D234" s="6" t="s">
        <v>19</v>
      </c>
      <c r="E234" s="12"/>
      <c r="F234" s="6" t="s">
        <v>3624</v>
      </c>
      <c r="G234" s="24">
        <v>41469.0</v>
      </c>
    </row>
    <row r="235">
      <c r="A235" s="69">
        <v>41469.836805555555</v>
      </c>
      <c r="B235" s="6" t="s">
        <v>3631</v>
      </c>
      <c r="C235" s="6" t="s">
        <v>3632</v>
      </c>
      <c r="D235" s="6" t="s">
        <v>9</v>
      </c>
      <c r="E235" s="6" t="s">
        <v>3633</v>
      </c>
      <c r="F235" s="6" t="s">
        <v>3624</v>
      </c>
      <c r="G235" s="24">
        <v>41469.0</v>
      </c>
    </row>
    <row r="236">
      <c r="A236" s="69">
        <v>41469.83724537037</v>
      </c>
      <c r="B236" s="6" t="s">
        <v>2739</v>
      </c>
      <c r="C236" s="6" t="s">
        <v>3634</v>
      </c>
      <c r="D236" s="6" t="s">
        <v>9</v>
      </c>
      <c r="E236" s="6" t="s">
        <v>3635</v>
      </c>
      <c r="F236" s="6" t="s">
        <v>3624</v>
      </c>
      <c r="G236" s="24">
        <v>41469.0</v>
      </c>
    </row>
    <row r="237">
      <c r="A237" s="69">
        <v>41469.83760416666</v>
      </c>
      <c r="B237" s="6" t="s">
        <v>1339</v>
      </c>
      <c r="C237" s="6" t="s">
        <v>3627</v>
      </c>
      <c r="D237" s="6" t="s">
        <v>19</v>
      </c>
      <c r="E237" s="12"/>
      <c r="F237" s="6" t="s">
        <v>3624</v>
      </c>
      <c r="G237" s="24">
        <v>41469.0</v>
      </c>
    </row>
    <row r="238">
      <c r="A238" s="69">
        <v>41469.83803240741</v>
      </c>
      <c r="B238" s="6" t="s">
        <v>3636</v>
      </c>
      <c r="C238" s="6" t="s">
        <v>3637</v>
      </c>
      <c r="D238" s="6" t="s">
        <v>19</v>
      </c>
      <c r="E238" s="12"/>
      <c r="F238" s="6" t="s">
        <v>3624</v>
      </c>
      <c r="G238" s="24">
        <v>41469.0</v>
      </c>
    </row>
    <row r="239">
      <c r="A239" s="69">
        <v>41469.83841435185</v>
      </c>
      <c r="B239" s="6" t="s">
        <v>1236</v>
      </c>
      <c r="C239" s="6" t="s">
        <v>3638</v>
      </c>
      <c r="D239" s="6" t="s">
        <v>19</v>
      </c>
      <c r="E239" s="12"/>
      <c r="F239" s="6" t="s">
        <v>3624</v>
      </c>
      <c r="G239" s="24">
        <v>41469.0</v>
      </c>
    </row>
    <row r="240">
      <c r="A240" s="69">
        <v>41469.83899305556</v>
      </c>
      <c r="B240" s="6" t="s">
        <v>3639</v>
      </c>
      <c r="C240" s="6" t="s">
        <v>3377</v>
      </c>
      <c r="D240" s="6" t="s">
        <v>19</v>
      </c>
      <c r="E240" s="6" t="s">
        <v>3640</v>
      </c>
      <c r="F240" s="6" t="s">
        <v>3624</v>
      </c>
      <c r="G240" s="24">
        <v>41469.0</v>
      </c>
    </row>
    <row r="241">
      <c r="A241" s="69">
        <v>41469.83944444444</v>
      </c>
      <c r="B241" s="6" t="s">
        <v>272</v>
      </c>
      <c r="C241" s="6" t="s">
        <v>3641</v>
      </c>
      <c r="D241" s="6" t="s">
        <v>19</v>
      </c>
      <c r="E241" s="6" t="s">
        <v>3642</v>
      </c>
      <c r="F241" s="6" t="s">
        <v>3624</v>
      </c>
      <c r="G241" s="24">
        <v>41469.0</v>
      </c>
    </row>
    <row r="242">
      <c r="A242" s="69">
        <v>41469.83974537037</v>
      </c>
      <c r="B242" s="6" t="s">
        <v>3643</v>
      </c>
      <c r="C242" s="6" t="s">
        <v>3644</v>
      </c>
      <c r="D242" s="6" t="s">
        <v>19</v>
      </c>
      <c r="E242" s="6" t="s">
        <v>3642</v>
      </c>
      <c r="F242" s="6" t="s">
        <v>3624</v>
      </c>
      <c r="G242" s="24">
        <v>41469.0</v>
      </c>
    </row>
    <row r="243">
      <c r="A243" s="69">
        <v>41469.84028935185</v>
      </c>
      <c r="B243" s="6" t="s">
        <v>713</v>
      </c>
      <c r="C243" s="6" t="s">
        <v>3645</v>
      </c>
      <c r="D243" s="6" t="s">
        <v>9</v>
      </c>
      <c r="E243" s="6" t="s">
        <v>1881</v>
      </c>
      <c r="F243" s="6" t="s">
        <v>3624</v>
      </c>
      <c r="G243" s="24">
        <v>41469.0</v>
      </c>
    </row>
    <row r="244">
      <c r="A244" s="69">
        <v>41469.840625</v>
      </c>
      <c r="B244" s="6" t="s">
        <v>3646</v>
      </c>
      <c r="C244" s="6" t="s">
        <v>3199</v>
      </c>
      <c r="D244" s="6" t="s">
        <v>19</v>
      </c>
      <c r="E244" s="6" t="s">
        <v>3642</v>
      </c>
      <c r="F244" s="6" t="s">
        <v>3624</v>
      </c>
      <c r="G244" s="24">
        <v>41469.0</v>
      </c>
    </row>
    <row r="245">
      <c r="A245" s="69">
        <v>41469.84100694444</v>
      </c>
      <c r="B245" s="6" t="s">
        <v>3055</v>
      </c>
      <c r="C245" s="6">
        <v>1.18</v>
      </c>
      <c r="D245" s="6" t="s">
        <v>9</v>
      </c>
      <c r="E245" s="6" t="s">
        <v>3647</v>
      </c>
      <c r="F245" s="6" t="s">
        <v>3624</v>
      </c>
      <c r="G245" s="24">
        <v>41469.0</v>
      </c>
    </row>
    <row r="246">
      <c r="A246" s="69">
        <v>41469.84140046296</v>
      </c>
      <c r="B246" s="6" t="s">
        <v>2696</v>
      </c>
      <c r="C246" s="6" t="s">
        <v>3648</v>
      </c>
      <c r="D246" s="6" t="s">
        <v>19</v>
      </c>
      <c r="E246" s="6" t="s">
        <v>3649</v>
      </c>
      <c r="F246" s="6" t="s">
        <v>3624</v>
      </c>
      <c r="G246" s="24">
        <v>41469.0</v>
      </c>
    </row>
    <row r="247">
      <c r="A247" s="69">
        <v>41469.84175925926</v>
      </c>
      <c r="B247" s="6" t="s">
        <v>960</v>
      </c>
      <c r="C247" s="6" t="s">
        <v>727</v>
      </c>
      <c r="D247" s="6" t="s">
        <v>19</v>
      </c>
      <c r="E247" s="6" t="s">
        <v>3642</v>
      </c>
      <c r="F247" s="6" t="s">
        <v>3624</v>
      </c>
      <c r="G247" s="24">
        <v>41469.0</v>
      </c>
    </row>
    <row r="248">
      <c r="A248" s="69">
        <v>41469.84216435185</v>
      </c>
      <c r="B248" s="6" t="s">
        <v>3650</v>
      </c>
      <c r="C248" s="6" t="s">
        <v>659</v>
      </c>
      <c r="D248" s="6" t="s">
        <v>19</v>
      </c>
      <c r="E248" s="6" t="s">
        <v>3642</v>
      </c>
      <c r="F248" s="6" t="s">
        <v>3624</v>
      </c>
      <c r="G248" s="24">
        <v>41469.0</v>
      </c>
    </row>
    <row r="249">
      <c r="A249" s="69">
        <v>41469.842511574076</v>
      </c>
      <c r="B249" s="6" t="s">
        <v>3651</v>
      </c>
      <c r="C249" s="6">
        <v>1.433</v>
      </c>
      <c r="D249" s="6" t="s">
        <v>19</v>
      </c>
      <c r="E249" s="12"/>
      <c r="F249" s="6" t="s">
        <v>3624</v>
      </c>
      <c r="G249" s="24">
        <v>41469.0</v>
      </c>
    </row>
    <row r="250">
      <c r="A250" s="69">
        <v>41469.844201388885</v>
      </c>
      <c r="B250" s="6" t="s">
        <v>3652</v>
      </c>
      <c r="C250" s="6" t="s">
        <v>3145</v>
      </c>
      <c r="D250" s="6" t="s">
        <v>19</v>
      </c>
      <c r="E250" s="12"/>
      <c r="F250" s="6" t="s">
        <v>3624</v>
      </c>
      <c r="G250" s="24">
        <v>41469.0</v>
      </c>
    </row>
    <row r="251">
      <c r="A251" s="69">
        <v>41469.844722222224</v>
      </c>
      <c r="B251" s="6" t="s">
        <v>3653</v>
      </c>
      <c r="C251" s="6">
        <v>1.9</v>
      </c>
      <c r="D251" s="6" t="s">
        <v>9</v>
      </c>
      <c r="E251" s="6" t="s">
        <v>3654</v>
      </c>
      <c r="F251" s="6" t="s">
        <v>3624</v>
      </c>
      <c r="G251" s="24">
        <v>41469.0</v>
      </c>
    </row>
    <row r="252">
      <c r="A252" s="69">
        <v>41469.84502314815</v>
      </c>
      <c r="B252" s="6" t="s">
        <v>3449</v>
      </c>
      <c r="C252" s="6">
        <v>1.2</v>
      </c>
      <c r="D252" s="6" t="s">
        <v>19</v>
      </c>
      <c r="E252" s="12"/>
      <c r="F252" s="6" t="s">
        <v>3624</v>
      </c>
      <c r="G252" s="24">
        <v>41469.0</v>
      </c>
    </row>
    <row r="253">
      <c r="A253" s="69">
        <v>41469.845300925925</v>
      </c>
      <c r="B253" s="6" t="s">
        <v>1878</v>
      </c>
      <c r="C253" s="6" t="s">
        <v>3655</v>
      </c>
      <c r="D253" s="6" t="s">
        <v>19</v>
      </c>
      <c r="E253" s="12"/>
      <c r="F253" s="6" t="s">
        <v>3624</v>
      </c>
      <c r="G253" s="24">
        <v>41469.0</v>
      </c>
    </row>
    <row r="254">
      <c r="A254" s="69">
        <v>41469.845868055556</v>
      </c>
      <c r="B254" s="6" t="s">
        <v>3656</v>
      </c>
      <c r="C254" s="6">
        <v>3.06</v>
      </c>
      <c r="D254" s="6" t="s">
        <v>19</v>
      </c>
      <c r="E254" s="12"/>
      <c r="F254" s="6" t="s">
        <v>3624</v>
      </c>
      <c r="G254" s="24">
        <v>41469.0</v>
      </c>
    </row>
    <row r="255">
      <c r="A255" s="69">
        <v>41469.846284722225</v>
      </c>
      <c r="B255" s="6" t="s">
        <v>3657</v>
      </c>
      <c r="C255" s="6">
        <v>1.035</v>
      </c>
      <c r="D255" s="6" t="s">
        <v>19</v>
      </c>
      <c r="E255" s="12"/>
      <c r="F255" s="6" t="s">
        <v>3624</v>
      </c>
      <c r="G255" s="24">
        <v>41469.0</v>
      </c>
    </row>
    <row r="256">
      <c r="A256" s="69">
        <v>41469.848078703704</v>
      </c>
      <c r="B256" s="6" t="s">
        <v>3658</v>
      </c>
      <c r="C256" s="6">
        <v>1.0</v>
      </c>
      <c r="D256" s="6" t="s">
        <v>9</v>
      </c>
      <c r="E256" s="6" t="s">
        <v>2748</v>
      </c>
      <c r="F256" s="6" t="s">
        <v>3624</v>
      </c>
      <c r="G256" s="24">
        <v>41469.0</v>
      </c>
    </row>
    <row r="257">
      <c r="A257" s="69">
        <v>41469.85800925926</v>
      </c>
      <c r="B257" s="6" t="s">
        <v>3659</v>
      </c>
      <c r="C257" s="6">
        <v>1.0</v>
      </c>
      <c r="D257" s="6" t="s">
        <v>19</v>
      </c>
      <c r="E257" s="6" t="s">
        <v>3660</v>
      </c>
      <c r="F257" s="6" t="s">
        <v>3624</v>
      </c>
      <c r="G257" s="24">
        <v>41469.0</v>
      </c>
    </row>
    <row r="258">
      <c r="A258" s="69">
        <v>41490.37049768519</v>
      </c>
      <c r="B258" s="6" t="s">
        <v>3661</v>
      </c>
      <c r="C258" s="12"/>
      <c r="D258" s="6" t="s">
        <v>9</v>
      </c>
      <c r="E258" s="6" t="s">
        <v>3662</v>
      </c>
      <c r="F258" s="6">
        <v>1.68570078E9</v>
      </c>
      <c r="G258" s="24">
        <v>41372.0</v>
      </c>
    </row>
    <row r="259">
      <c r="A259" s="69">
        <v>41492.169074074074</v>
      </c>
      <c r="B259" s="6" t="s">
        <v>3663</v>
      </c>
      <c r="C259" s="6">
        <v>4.0</v>
      </c>
      <c r="D259" s="6" t="s">
        <v>19</v>
      </c>
      <c r="E259" s="6" t="s">
        <v>3664</v>
      </c>
      <c r="F259" s="6" t="s">
        <v>3665</v>
      </c>
      <c r="G259" s="24">
        <v>41491.0</v>
      </c>
    </row>
    <row r="260">
      <c r="A260" s="69">
        <v>41494.24582175926</v>
      </c>
      <c r="B260" s="6" t="s">
        <v>3666</v>
      </c>
      <c r="C260" s="6" t="s">
        <v>3667</v>
      </c>
      <c r="D260" s="6" t="s">
        <v>9</v>
      </c>
      <c r="E260" s="6" t="s">
        <v>3668</v>
      </c>
      <c r="F260" s="6" t="s">
        <v>3669</v>
      </c>
      <c r="G260" s="24">
        <v>41494.0</v>
      </c>
    </row>
    <row r="261">
      <c r="A261" s="69">
        <v>41496.072384259256</v>
      </c>
      <c r="B261" s="6" t="s">
        <v>3670</v>
      </c>
      <c r="C261" s="6" t="s">
        <v>3671</v>
      </c>
      <c r="D261" s="6" t="s">
        <v>19</v>
      </c>
      <c r="E261" s="6" t="s">
        <v>3672</v>
      </c>
      <c r="F261" s="12"/>
      <c r="G261" s="24">
        <v>41495.0</v>
      </c>
    </row>
    <row r="262">
      <c r="A262" s="69">
        <v>41498.889560185184</v>
      </c>
      <c r="B262" s="6" t="s">
        <v>3673</v>
      </c>
      <c r="C262" s="12"/>
      <c r="D262" s="6" t="s">
        <v>19</v>
      </c>
      <c r="E262" s="6" t="s">
        <v>3674</v>
      </c>
      <c r="F262" s="6" t="s">
        <v>3675</v>
      </c>
      <c r="G262" s="24">
        <v>41497.0</v>
      </c>
    </row>
    <row r="263">
      <c r="A263" s="69">
        <v>41507.992106481484</v>
      </c>
      <c r="B263" s="6" t="s">
        <v>3676</v>
      </c>
      <c r="C263" s="6" t="s">
        <v>659</v>
      </c>
      <c r="D263" s="6" t="s">
        <v>9</v>
      </c>
      <c r="E263" s="6" t="s">
        <v>3677</v>
      </c>
      <c r="F263" s="12"/>
      <c r="G263" s="24">
        <v>41506.0</v>
      </c>
    </row>
    <row r="264">
      <c r="A264" s="69">
        <v>41511.60037037037</v>
      </c>
      <c r="B264" s="6" t="s">
        <v>3678</v>
      </c>
      <c r="C264" s="6" t="s">
        <v>659</v>
      </c>
      <c r="D264" s="6" t="s">
        <v>19</v>
      </c>
      <c r="E264" s="12"/>
      <c r="F264" s="6" t="s">
        <v>3679</v>
      </c>
      <c r="G264" s="24">
        <v>41511.0</v>
      </c>
    </row>
    <row r="265">
      <c r="A265" s="69">
        <v>41512.59581018519</v>
      </c>
      <c r="B265" s="6" t="s">
        <v>1647</v>
      </c>
      <c r="C265" s="6" t="s">
        <v>3680</v>
      </c>
      <c r="D265" s="6" t="s">
        <v>19</v>
      </c>
      <c r="E265" s="6" t="s">
        <v>3681</v>
      </c>
      <c r="F265" s="6" t="s">
        <v>3682</v>
      </c>
      <c r="G265" s="45" t="s">
        <v>3683</v>
      </c>
    </row>
    <row r="266">
      <c r="A266" s="69">
        <v>41512.85953703704</v>
      </c>
      <c r="B266" s="6" t="s">
        <v>3684</v>
      </c>
      <c r="C266" s="6" t="s">
        <v>3685</v>
      </c>
      <c r="D266" s="6" t="s">
        <v>3686</v>
      </c>
      <c r="E266" s="12"/>
      <c r="F266" s="6" t="s">
        <v>3687</v>
      </c>
      <c r="G266" s="24">
        <v>41506.0</v>
      </c>
    </row>
    <row r="267">
      <c r="A267" s="69">
        <v>41546.163819444446</v>
      </c>
      <c r="B267" s="6" t="s">
        <v>3688</v>
      </c>
      <c r="C267" s="6">
        <v>5.0</v>
      </c>
      <c r="D267" s="6" t="s">
        <v>9</v>
      </c>
      <c r="E267" s="6" t="s">
        <v>3689</v>
      </c>
      <c r="F267" s="12"/>
      <c r="G267" s="24">
        <v>41545.0</v>
      </c>
    </row>
    <row r="268">
      <c r="A268" s="69">
        <v>41546.8596412037</v>
      </c>
      <c r="B268" s="6" t="s">
        <v>3690</v>
      </c>
      <c r="C268" s="6">
        <v>2.1</v>
      </c>
      <c r="D268" s="6" t="s">
        <v>3691</v>
      </c>
      <c r="E268" s="12"/>
      <c r="F268" s="6" t="s">
        <v>3692</v>
      </c>
      <c r="G268" s="45" t="s">
        <v>3693</v>
      </c>
    </row>
    <row r="269">
      <c r="A269" s="69">
        <v>41547.188576388886</v>
      </c>
      <c r="B269" s="6" t="s">
        <v>3694</v>
      </c>
      <c r="C269" s="6" t="s">
        <v>201</v>
      </c>
      <c r="D269" s="6" t="s">
        <v>3695</v>
      </c>
      <c r="E269" s="6" t="s">
        <v>3696</v>
      </c>
      <c r="F269" s="6" t="s">
        <v>3697</v>
      </c>
      <c r="G269" s="24">
        <v>41547.0</v>
      </c>
    </row>
    <row r="270">
      <c r="A270" s="69">
        <v>41547.19021990741</v>
      </c>
      <c r="B270" s="6" t="s">
        <v>3698</v>
      </c>
      <c r="C270" s="6" t="s">
        <v>207</v>
      </c>
      <c r="D270" s="6" t="s">
        <v>19</v>
      </c>
      <c r="E270" s="6" t="s">
        <v>3699</v>
      </c>
      <c r="F270" s="6" t="s">
        <v>3697</v>
      </c>
      <c r="G270" s="24">
        <v>41547.0</v>
      </c>
    </row>
    <row r="271">
      <c r="A271" s="69">
        <v>41547.19113425926</v>
      </c>
      <c r="B271" s="6" t="s">
        <v>3694</v>
      </c>
      <c r="C271" s="6" t="s">
        <v>201</v>
      </c>
      <c r="D271" s="6" t="s">
        <v>9</v>
      </c>
      <c r="E271" s="6" t="s">
        <v>3700</v>
      </c>
      <c r="F271" s="6" t="s">
        <v>3697</v>
      </c>
      <c r="G271" s="24">
        <v>41547.0</v>
      </c>
    </row>
    <row r="272">
      <c r="A272" s="69">
        <v>41568.22450231481</v>
      </c>
      <c r="B272" s="6" t="s">
        <v>3701</v>
      </c>
      <c r="C272" s="12"/>
      <c r="D272" s="6" t="s">
        <v>19</v>
      </c>
      <c r="E272" s="12"/>
      <c r="F272" s="6" t="s">
        <v>3702</v>
      </c>
      <c r="G272" s="24">
        <v>41568.0</v>
      </c>
    </row>
    <row r="273">
      <c r="A273" s="69">
        <v>41568.22560185185</v>
      </c>
      <c r="B273" s="6" t="s">
        <v>3703</v>
      </c>
      <c r="C273" s="12"/>
      <c r="D273" s="6" t="s">
        <v>19</v>
      </c>
      <c r="E273" s="12"/>
      <c r="F273" s="6" t="s">
        <v>3702</v>
      </c>
      <c r="G273" s="24">
        <v>41568.0</v>
      </c>
    </row>
    <row r="274">
      <c r="A274" s="69">
        <v>41568.225648148145</v>
      </c>
      <c r="B274" s="6" t="s">
        <v>3703</v>
      </c>
      <c r="C274" s="12"/>
      <c r="D274" s="6" t="s">
        <v>19</v>
      </c>
      <c r="E274" s="12"/>
      <c r="F274" s="6" t="s">
        <v>3702</v>
      </c>
      <c r="G274" s="24">
        <v>41568.0</v>
      </c>
    </row>
    <row r="275">
      <c r="A275" s="69">
        <v>41579.32013888889</v>
      </c>
      <c r="B275" s="6" t="s">
        <v>3704</v>
      </c>
      <c r="C275" s="12"/>
      <c r="D275" s="6" t="s">
        <v>19</v>
      </c>
      <c r="E275" s="12"/>
      <c r="F275" s="12"/>
      <c r="G275" s="24">
        <v>41285.0</v>
      </c>
    </row>
    <row r="276">
      <c r="A276" s="69">
        <v>41672.09811342593</v>
      </c>
      <c r="B276" s="6" t="s">
        <v>3705</v>
      </c>
      <c r="C276" s="6" t="s">
        <v>3706</v>
      </c>
      <c r="D276" s="6" t="s">
        <v>19</v>
      </c>
      <c r="E276" s="12"/>
      <c r="F276" s="6" t="s">
        <v>3707</v>
      </c>
      <c r="G276" s="24">
        <v>41672.0</v>
      </c>
    </row>
    <row r="277">
      <c r="A277" s="69">
        <v>41672.09887731481</v>
      </c>
      <c r="B277" s="6" t="s">
        <v>3449</v>
      </c>
      <c r="C277" s="6" t="s">
        <v>3708</v>
      </c>
      <c r="D277" s="6" t="s">
        <v>19</v>
      </c>
      <c r="E277" s="12"/>
      <c r="F277" s="6" t="s">
        <v>3707</v>
      </c>
      <c r="G277" s="24">
        <v>41672.0</v>
      </c>
    </row>
    <row r="278">
      <c r="A278" s="69">
        <v>41687.601805555554</v>
      </c>
      <c r="B278" s="6" t="s">
        <v>3709</v>
      </c>
      <c r="C278" s="12"/>
      <c r="D278" s="6" t="s">
        <v>9</v>
      </c>
      <c r="E278" s="6" t="s">
        <v>3710</v>
      </c>
      <c r="F278" s="6" t="s">
        <v>3711</v>
      </c>
      <c r="G278" s="45" t="s">
        <v>3712</v>
      </c>
    </row>
    <row r="279">
      <c r="A279" s="69">
        <v>41688.32082175926</v>
      </c>
      <c r="B279" s="6" t="s">
        <v>3713</v>
      </c>
      <c r="C279" s="6">
        <v>4.0</v>
      </c>
      <c r="D279" s="6" t="s">
        <v>3537</v>
      </c>
      <c r="E279" s="12"/>
      <c r="F279" s="6" t="s">
        <v>3714</v>
      </c>
      <c r="G279" s="45" t="s">
        <v>3715</v>
      </c>
    </row>
    <row r="280">
      <c r="A280" s="69">
        <v>41692.944872685184</v>
      </c>
      <c r="B280" s="6" t="s">
        <v>3716</v>
      </c>
      <c r="C280" s="6" t="s">
        <v>3717</v>
      </c>
      <c r="D280" s="6" t="s">
        <v>19</v>
      </c>
      <c r="E280" s="6" t="s">
        <v>3718</v>
      </c>
      <c r="F280" s="6" t="s">
        <v>3719</v>
      </c>
      <c r="G280" s="45" t="s">
        <v>3720</v>
      </c>
    </row>
    <row r="281">
      <c r="A281" s="69">
        <v>41696.22518518518</v>
      </c>
      <c r="B281" s="6" t="s">
        <v>3721</v>
      </c>
      <c r="C281" s="12"/>
      <c r="D281" s="6" t="s">
        <v>9</v>
      </c>
      <c r="E281" s="12"/>
      <c r="F281" s="12"/>
      <c r="G281" s="45" t="s">
        <v>3722</v>
      </c>
    </row>
    <row r="282">
      <c r="A282" s="69">
        <v>41709.416238425925</v>
      </c>
      <c r="B282" s="6" t="s">
        <v>3723</v>
      </c>
      <c r="C282" s="6">
        <v>1.0</v>
      </c>
      <c r="D282" s="6" t="s">
        <v>19</v>
      </c>
      <c r="E282" s="6" t="s">
        <v>3724</v>
      </c>
      <c r="F282" s="6" t="s">
        <v>3725</v>
      </c>
      <c r="G282" s="24">
        <v>41947.0</v>
      </c>
    </row>
    <row r="283">
      <c r="A283" s="69">
        <v>41709.41758101852</v>
      </c>
      <c r="B283" s="6" t="s">
        <v>3726</v>
      </c>
      <c r="C283" s="6" t="s">
        <v>3727</v>
      </c>
      <c r="D283" s="6" t="s">
        <v>19</v>
      </c>
      <c r="E283" s="6" t="s">
        <v>3728</v>
      </c>
      <c r="F283" s="6" t="s">
        <v>3725</v>
      </c>
      <c r="G283" s="24">
        <v>41947.0</v>
      </c>
    </row>
    <row r="284">
      <c r="A284" s="69">
        <v>41709.41871527778</v>
      </c>
      <c r="B284" s="6" t="s">
        <v>3729</v>
      </c>
      <c r="C284" s="6" t="s">
        <v>645</v>
      </c>
      <c r="D284" s="6" t="s">
        <v>19</v>
      </c>
      <c r="E284" s="6" t="s">
        <v>3730</v>
      </c>
      <c r="F284" s="6" t="s">
        <v>3725</v>
      </c>
      <c r="G284" s="24">
        <v>41946.0</v>
      </c>
    </row>
    <row r="285">
      <c r="A285" s="69">
        <v>41709.420115740744</v>
      </c>
      <c r="B285" s="6" t="s">
        <v>3731</v>
      </c>
      <c r="C285" s="6" t="s">
        <v>158</v>
      </c>
      <c r="D285" s="6" t="s">
        <v>19</v>
      </c>
      <c r="E285" s="6" t="s">
        <v>3732</v>
      </c>
      <c r="F285" s="6" t="s">
        <v>3725</v>
      </c>
      <c r="G285" s="24">
        <v>41946.0</v>
      </c>
    </row>
    <row r="286">
      <c r="A286" s="69">
        <v>41721.2084837963</v>
      </c>
      <c r="B286" s="6" t="s">
        <v>3733</v>
      </c>
      <c r="C286" s="6">
        <v>1.7</v>
      </c>
      <c r="D286" s="6" t="s">
        <v>9</v>
      </c>
      <c r="E286" s="6" t="s">
        <v>976</v>
      </c>
      <c r="F286" s="6" t="s">
        <v>3734</v>
      </c>
      <c r="G286" s="24">
        <v>41720.0</v>
      </c>
    </row>
    <row r="287">
      <c r="A287" s="69">
        <v>41721.33894675926</v>
      </c>
      <c r="B287" s="6" t="s">
        <v>3735</v>
      </c>
      <c r="C287" s="6" t="s">
        <v>8</v>
      </c>
      <c r="D287" s="6" t="s">
        <v>19</v>
      </c>
      <c r="E287" s="6" t="s">
        <v>3736</v>
      </c>
      <c r="F287" s="6" t="s">
        <v>3737</v>
      </c>
      <c r="G287" s="24">
        <v>41721.0</v>
      </c>
    </row>
    <row r="288">
      <c r="A288" s="69">
        <v>41759.62805555556</v>
      </c>
      <c r="B288" s="6" t="s">
        <v>3738</v>
      </c>
      <c r="C288" s="6" t="s">
        <v>3739</v>
      </c>
      <c r="D288" s="6" t="s">
        <v>19</v>
      </c>
      <c r="E288" s="6" t="s">
        <v>3740</v>
      </c>
      <c r="F288" s="6" t="s">
        <v>3741</v>
      </c>
      <c r="G288" s="45" t="s">
        <v>3742</v>
      </c>
    </row>
    <row r="289">
      <c r="A289" s="69">
        <v>41770.53523148148</v>
      </c>
      <c r="B289" s="6" t="s">
        <v>3088</v>
      </c>
      <c r="C289" s="6" t="s">
        <v>3743</v>
      </c>
      <c r="D289" s="6" t="s">
        <v>3744</v>
      </c>
      <c r="E289" s="6" t="s">
        <v>3745</v>
      </c>
      <c r="F289" s="6" t="s">
        <v>3746</v>
      </c>
      <c r="G289" s="45" t="s">
        <v>3747</v>
      </c>
    </row>
    <row r="290">
      <c r="A290" s="69">
        <v>41770.536770833336</v>
      </c>
      <c r="B290" s="6" t="s">
        <v>3748</v>
      </c>
      <c r="C290" s="6" t="s">
        <v>3748</v>
      </c>
      <c r="D290" s="6" t="s">
        <v>3748</v>
      </c>
      <c r="E290" s="6" t="s">
        <v>3749</v>
      </c>
      <c r="F290" s="6" t="s">
        <v>3748</v>
      </c>
      <c r="G290" s="45" t="s">
        <v>3748</v>
      </c>
    </row>
    <row r="291">
      <c r="A291" s="69">
        <v>41770.53696759259</v>
      </c>
      <c r="B291" s="6" t="s">
        <v>3748</v>
      </c>
      <c r="C291" s="6" t="s">
        <v>3748</v>
      </c>
      <c r="D291" s="6" t="s">
        <v>3748</v>
      </c>
      <c r="E291" s="6" t="s">
        <v>3748</v>
      </c>
      <c r="F291" s="6" t="s">
        <v>3748</v>
      </c>
      <c r="G291" s="45" t="s">
        <v>3748</v>
      </c>
    </row>
    <row r="292">
      <c r="A292" s="69">
        <v>41818.95414351852</v>
      </c>
      <c r="B292" s="6" t="s">
        <v>3750</v>
      </c>
      <c r="C292" s="12"/>
      <c r="D292" s="6" t="s">
        <v>19</v>
      </c>
      <c r="E292" s="12"/>
      <c r="F292" s="6" t="s">
        <v>3751</v>
      </c>
      <c r="G292" s="24">
        <v>41818.0</v>
      </c>
    </row>
    <row r="293">
      <c r="A293" s="69">
        <v>41818.95527777778</v>
      </c>
      <c r="B293" s="6" t="s">
        <v>3752</v>
      </c>
      <c r="C293" s="12"/>
      <c r="D293" s="6" t="s">
        <v>19</v>
      </c>
      <c r="E293" s="12"/>
      <c r="F293" s="6" t="s">
        <v>3751</v>
      </c>
      <c r="G293" s="24">
        <v>41818.0</v>
      </c>
    </row>
    <row r="294">
      <c r="A294" s="69">
        <v>41828.78560185185</v>
      </c>
      <c r="B294" s="6" t="s">
        <v>3753</v>
      </c>
      <c r="C294" s="12"/>
      <c r="D294" s="6" t="s">
        <v>19</v>
      </c>
      <c r="E294" s="6" t="s">
        <v>3754</v>
      </c>
      <c r="F294" s="12"/>
      <c r="G294" s="45" t="s">
        <v>3755</v>
      </c>
    </row>
    <row r="295">
      <c r="A295" s="69">
        <v>41858.49283564815</v>
      </c>
      <c r="B295" s="6" t="s">
        <v>3756</v>
      </c>
      <c r="C295" s="6" t="s">
        <v>3757</v>
      </c>
      <c r="D295" s="6" t="s">
        <v>9</v>
      </c>
      <c r="E295" s="12"/>
      <c r="F295" s="12"/>
      <c r="G295" s="24">
        <v>41828.0</v>
      </c>
    </row>
    <row r="296">
      <c r="A296" s="69">
        <v>41865.56275462963</v>
      </c>
      <c r="B296" s="6" t="s">
        <v>3758</v>
      </c>
      <c r="C296" s="6" t="s">
        <v>3759</v>
      </c>
      <c r="D296" s="6" t="s">
        <v>19</v>
      </c>
      <c r="E296" s="12"/>
      <c r="F296" s="12"/>
      <c r="G296" s="24">
        <v>41865.0</v>
      </c>
    </row>
    <row r="297">
      <c r="A297" s="69">
        <v>41873.178819444445</v>
      </c>
      <c r="B297" s="6" t="s">
        <v>3760</v>
      </c>
      <c r="C297" s="6" t="s">
        <v>3761</v>
      </c>
      <c r="D297" s="6" t="s">
        <v>19</v>
      </c>
      <c r="E297" s="6" t="s">
        <v>3762</v>
      </c>
      <c r="F297" s="6" t="s">
        <v>3763</v>
      </c>
      <c r="G297" s="24">
        <v>41873.0</v>
      </c>
    </row>
    <row r="298">
      <c r="A298" s="69">
        <v>41902.607939814814</v>
      </c>
      <c r="B298" s="6" t="s">
        <v>3764</v>
      </c>
      <c r="C298" s="6" t="s">
        <v>3765</v>
      </c>
      <c r="D298" s="6" t="s">
        <v>19</v>
      </c>
      <c r="E298" s="12"/>
      <c r="F298" s="12"/>
      <c r="G298" s="24">
        <v>41902.0</v>
      </c>
    </row>
    <row r="299">
      <c r="A299" s="69">
        <v>41925.51583333333</v>
      </c>
      <c r="B299" s="6" t="s">
        <v>3766</v>
      </c>
      <c r="C299" s="6">
        <v>1.35</v>
      </c>
      <c r="D299" s="6" t="s">
        <v>19</v>
      </c>
      <c r="E299" s="12"/>
      <c r="F299" s="6" t="s">
        <v>3767</v>
      </c>
      <c r="G299" s="45" t="s">
        <v>3768</v>
      </c>
    </row>
    <row r="300">
      <c r="A300" s="69">
        <v>42000.26829861111</v>
      </c>
      <c r="B300" s="6" t="s">
        <v>3769</v>
      </c>
      <c r="C300" s="6" t="s">
        <v>3770</v>
      </c>
      <c r="D300" s="6" t="s">
        <v>9</v>
      </c>
      <c r="E300" s="6" t="s">
        <v>3771</v>
      </c>
      <c r="F300" s="6" t="s">
        <v>3769</v>
      </c>
      <c r="G300" s="24">
        <v>51817.0</v>
      </c>
    </row>
    <row r="301">
      <c r="A301" s="69">
        <v>42041.65918981482</v>
      </c>
      <c r="B301" s="6" t="s">
        <v>3772</v>
      </c>
      <c r="C301" s="6" t="s">
        <v>3773</v>
      </c>
      <c r="D301" s="6" t="s">
        <v>19</v>
      </c>
      <c r="E301" s="6" t="s">
        <v>3774</v>
      </c>
      <c r="F301" s="6" t="s">
        <v>3775</v>
      </c>
      <c r="G301" s="24">
        <v>42157.0</v>
      </c>
    </row>
    <row r="302">
      <c r="A302" s="69">
        <v>42058.09621527778</v>
      </c>
      <c r="B302" s="6" t="s">
        <v>3776</v>
      </c>
      <c r="C302" s="6" t="s">
        <v>723</v>
      </c>
      <c r="D302" s="6" t="s">
        <v>19</v>
      </c>
      <c r="E302" s="6" t="s">
        <v>3777</v>
      </c>
      <c r="F302" s="6" t="s">
        <v>3778</v>
      </c>
      <c r="G302" s="24">
        <v>42058.0</v>
      </c>
    </row>
    <row r="303">
      <c r="A303" s="69">
        <v>42151.33115740741</v>
      </c>
      <c r="B303" s="6" t="s">
        <v>3779</v>
      </c>
      <c r="C303" s="6">
        <v>1.74</v>
      </c>
      <c r="D303" s="6" t="s">
        <v>9</v>
      </c>
      <c r="E303" s="6" t="s">
        <v>2437</v>
      </c>
      <c r="F303" s="6" t="s">
        <v>3780</v>
      </c>
      <c r="G303" s="24">
        <v>42151.0</v>
      </c>
    </row>
    <row r="304">
      <c r="A304" s="69">
        <v>42173.668032407404</v>
      </c>
      <c r="B304" s="6" t="s">
        <v>3781</v>
      </c>
      <c r="C304" s="6" t="s">
        <v>3229</v>
      </c>
      <c r="D304" s="6" t="s">
        <v>19</v>
      </c>
      <c r="E304" s="6" t="s">
        <v>3782</v>
      </c>
      <c r="F304" s="6" t="s">
        <v>3783</v>
      </c>
      <c r="G304" s="45" t="s">
        <v>3784</v>
      </c>
    </row>
    <row r="305">
      <c r="A305" s="69">
        <v>42196.124768518515</v>
      </c>
      <c r="B305" s="6" t="s">
        <v>3785</v>
      </c>
      <c r="C305" s="6" t="s">
        <v>3786</v>
      </c>
      <c r="D305" s="6" t="s">
        <v>9</v>
      </c>
      <c r="E305" s="6" t="s">
        <v>3787</v>
      </c>
      <c r="F305" s="6" t="s">
        <v>3788</v>
      </c>
      <c r="G305" s="24">
        <v>42195.0</v>
      </c>
    </row>
    <row r="306">
      <c r="A306" s="69">
        <v>42196.12574074074</v>
      </c>
      <c r="B306" s="6" t="s">
        <v>3789</v>
      </c>
      <c r="C306" s="12"/>
      <c r="D306" s="6" t="s">
        <v>9</v>
      </c>
      <c r="E306" s="6" t="s">
        <v>706</v>
      </c>
      <c r="F306" s="6" t="s">
        <v>3788</v>
      </c>
      <c r="G306" s="24">
        <v>42195.0</v>
      </c>
    </row>
    <row r="307">
      <c r="A307" s="69">
        <v>42196.126539351855</v>
      </c>
      <c r="B307" s="6" t="s">
        <v>3790</v>
      </c>
      <c r="C307" s="12"/>
      <c r="D307" s="6" t="s">
        <v>9</v>
      </c>
      <c r="E307" s="6" t="s">
        <v>706</v>
      </c>
      <c r="F307" s="6" t="s">
        <v>3788</v>
      </c>
      <c r="G307" s="24">
        <v>42195.0</v>
      </c>
    </row>
    <row r="308">
      <c r="A308" s="69">
        <v>42196.12726851852</v>
      </c>
      <c r="B308" s="6" t="s">
        <v>3791</v>
      </c>
      <c r="C308" s="12"/>
      <c r="D308" s="6" t="s">
        <v>9</v>
      </c>
      <c r="E308" s="6" t="s">
        <v>706</v>
      </c>
      <c r="F308" s="6" t="s">
        <v>3792</v>
      </c>
      <c r="G308" s="24">
        <v>42195.0</v>
      </c>
    </row>
    <row r="309">
      <c r="A309" s="69">
        <v>42196.12837962963</v>
      </c>
      <c r="B309" s="6" t="s">
        <v>3793</v>
      </c>
      <c r="C309" s="12"/>
      <c r="D309" s="6" t="s">
        <v>9</v>
      </c>
      <c r="E309" s="6" t="s">
        <v>706</v>
      </c>
      <c r="F309" s="6" t="s">
        <v>3792</v>
      </c>
      <c r="G309" s="24">
        <v>42195.0</v>
      </c>
    </row>
    <row r="310">
      <c r="A310" s="69">
        <v>42196.12905092593</v>
      </c>
      <c r="B310" s="6" t="s">
        <v>3794</v>
      </c>
      <c r="C310" s="12"/>
      <c r="D310" s="6" t="s">
        <v>9</v>
      </c>
      <c r="E310" s="6" t="s">
        <v>706</v>
      </c>
      <c r="F310" s="6" t="s">
        <v>3788</v>
      </c>
      <c r="G310" s="24">
        <v>42195.0</v>
      </c>
    </row>
    <row r="311">
      <c r="A311" s="69">
        <v>42196.129953703705</v>
      </c>
      <c r="B311" s="6" t="s">
        <v>3795</v>
      </c>
      <c r="C311" s="12"/>
      <c r="D311" s="6" t="s">
        <v>9</v>
      </c>
      <c r="E311" s="6" t="s">
        <v>706</v>
      </c>
      <c r="F311" s="6" t="s">
        <v>3788</v>
      </c>
      <c r="G311" s="24">
        <v>42195.0</v>
      </c>
    </row>
    <row r="312">
      <c r="A312" s="69">
        <v>42196.1321875</v>
      </c>
      <c r="B312" s="6" t="s">
        <v>3796</v>
      </c>
      <c r="C312" s="12"/>
      <c r="D312" s="6" t="s">
        <v>9</v>
      </c>
      <c r="E312" s="6" t="s">
        <v>706</v>
      </c>
      <c r="F312" s="6" t="s">
        <v>3792</v>
      </c>
      <c r="G312" s="24">
        <v>42195.0</v>
      </c>
    </row>
    <row r="313">
      <c r="A313" s="69">
        <v>42196.13354166667</v>
      </c>
      <c r="B313" s="6" t="s">
        <v>3797</v>
      </c>
      <c r="C313" s="12"/>
      <c r="D313" s="6" t="s">
        <v>19</v>
      </c>
      <c r="E313" s="6" t="s">
        <v>3798</v>
      </c>
      <c r="F313" s="6" t="s">
        <v>3788</v>
      </c>
      <c r="G313" s="24">
        <v>42195.0</v>
      </c>
    </row>
    <row r="314">
      <c r="A314" s="69">
        <v>42196.134560185186</v>
      </c>
      <c r="B314" s="6" t="s">
        <v>3799</v>
      </c>
      <c r="C314" s="12"/>
      <c r="D314" s="6" t="s">
        <v>120</v>
      </c>
      <c r="E314" s="6" t="s">
        <v>3800</v>
      </c>
      <c r="F314" s="6" t="s">
        <v>3788</v>
      </c>
      <c r="G314" s="24">
        <v>42195.0</v>
      </c>
    </row>
    <row r="315">
      <c r="A315" s="69">
        <v>42198.93108796296</v>
      </c>
      <c r="B315" s="6" t="s">
        <v>3801</v>
      </c>
      <c r="C315" s="6" t="s">
        <v>3802</v>
      </c>
      <c r="D315" s="6" t="s">
        <v>9</v>
      </c>
      <c r="E315" s="12"/>
      <c r="F315" s="6" t="s">
        <v>3803</v>
      </c>
      <c r="G315" s="45" t="s">
        <v>3804</v>
      </c>
    </row>
    <row r="316">
      <c r="B316" s="12"/>
      <c r="C316" s="12"/>
      <c r="D316" s="12"/>
      <c r="E316" s="12"/>
      <c r="F316" s="12"/>
      <c r="G316" s="39"/>
    </row>
    <row r="317">
      <c r="B317" s="37"/>
      <c r="C317" s="12"/>
      <c r="D317" s="12"/>
      <c r="E317" s="12"/>
      <c r="F317" s="12"/>
      <c r="G317" s="39"/>
    </row>
    <row r="318">
      <c r="B318" s="17"/>
      <c r="C318" s="12"/>
      <c r="E318" s="12"/>
      <c r="F318" s="12"/>
      <c r="G318" s="12"/>
    </row>
    <row r="322">
      <c r="B322" s="17"/>
      <c r="C322" s="12"/>
      <c r="D322" s="17"/>
      <c r="E322" s="12"/>
      <c r="F322" s="12"/>
      <c r="G322" s="39"/>
    </row>
    <row r="323">
      <c r="B323" s="17"/>
      <c r="C323" s="12"/>
      <c r="D323" s="17"/>
      <c r="E323" s="12"/>
      <c r="F323" s="12"/>
      <c r="G323" s="39"/>
    </row>
    <row r="324">
      <c r="B324" s="17"/>
      <c r="C324" s="12"/>
      <c r="D324" s="17"/>
      <c r="E324" s="12"/>
      <c r="F324" s="12"/>
      <c r="G324" s="39"/>
    </row>
  </sheetData>
  <mergeCells count="2">
    <mergeCell ref="A1:G1"/>
    <mergeCell ref="A2:G2"/>
  </mergeCells>
  <conditionalFormatting sqref="D2:D324">
    <cfRule type="cellIs" dxfId="3" priority="1" operator="equal">
      <formula>"Yes"</formula>
    </cfRule>
  </conditionalFormatting>
  <conditionalFormatting sqref="D2:D324">
    <cfRule type="containsText" dxfId="4" priority="2" operator="containsText" text="No">
      <formula>NOT(ISERROR(SEARCH(("No"),(D2))))</formula>
    </cfRule>
  </conditionalFormatting>
  <conditionalFormatting sqref="D2:D324">
    <cfRule type="containsText" dxfId="5" priority="3" operator="containsText" text="Partially">
      <formula>NOT(ISERROR(SEARCH(("Partially"),(D2))))</formula>
    </cfRule>
  </conditionalFormatting>
  <hyperlinks>
    <hyperlink r:id="rId1" ref="B158"/>
  </hyperlinks>
  <drawing r:id="rId2"/>
</worksheet>
</file>