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E38" i="9" l="1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8" i="1" l="1"/>
  <c r="U26" i="1"/>
  <c r="U21" i="1"/>
  <c r="U60" i="1"/>
  <c r="U5" i="1"/>
  <c r="U8" i="1"/>
  <c r="U28" i="1"/>
  <c r="U6" i="1"/>
  <c r="U50" i="1"/>
  <c r="U55" i="1"/>
  <c r="U66" i="1"/>
  <c r="U34" i="1"/>
  <c r="U62" i="1"/>
  <c r="U39" i="1"/>
  <c r="U58" i="1"/>
  <c r="U56" i="1"/>
  <c r="U64" i="1"/>
  <c r="U17" i="1"/>
  <c r="U13" i="1"/>
  <c r="U7" i="1"/>
  <c r="U20" i="1"/>
  <c r="U9" i="1"/>
  <c r="U24" i="1"/>
  <c r="U30" i="1"/>
  <c r="U4" i="1"/>
  <c r="U12" i="1"/>
  <c r="U3" i="1"/>
  <c r="U32" i="1"/>
  <c r="U37" i="1"/>
  <c r="U65" i="1"/>
  <c r="U71" i="1"/>
  <c r="U74" i="1"/>
  <c r="U68" i="1"/>
  <c r="U40" i="1"/>
  <c r="U54" i="1"/>
  <c r="U61" i="1"/>
  <c r="U52" i="1"/>
  <c r="U51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43" i="1" l="1"/>
  <c r="U16" i="1"/>
  <c r="U10" i="1"/>
  <c r="U69" i="1"/>
  <c r="U23" i="1"/>
  <c r="U14" i="1"/>
  <c r="U46" i="1"/>
  <c r="U70" i="1"/>
  <c r="U45" i="1"/>
  <c r="U59" i="1"/>
  <c r="U72" i="1"/>
  <c r="U42" i="1"/>
  <c r="U75" i="1"/>
  <c r="U67" i="1"/>
  <c r="U48" i="1"/>
  <c r="U76" i="1"/>
  <c r="U36" i="1"/>
  <c r="U25" i="1"/>
  <c r="U29" i="1"/>
  <c r="U22" i="1"/>
  <c r="U35" i="1"/>
  <c r="U11" i="1"/>
  <c r="U57" i="1"/>
  <c r="U41" i="1"/>
  <c r="U73" i="1"/>
  <c r="U49" i="1"/>
  <c r="U78" i="1"/>
  <c r="U27" i="1"/>
  <c r="U44" i="1"/>
  <c r="U63" i="1"/>
  <c r="U31" i="1"/>
  <c r="U18" i="1"/>
  <c r="U15" i="1"/>
  <c r="U38" i="1"/>
  <c r="U47" i="1"/>
  <c r="U77" i="1"/>
  <c r="U19" i="1"/>
  <c r="U33" i="1"/>
  <c r="U53" i="1"/>
  <c r="I77" i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Y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43" i="1" l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<sst xmlns="http://schemas.openxmlformats.org/spreadsheetml/2006/main" count="899" uniqueCount="542">
  <si>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</si>
  <si>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</si>
  <si>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</si>
  <si>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</si>
  <si>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</si>
  <si>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</si>
  <si>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</si>
  <si>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</si>
  <si>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</si>
  <si>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</si>
  <si>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</si>
  <si>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</si>
  <si>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</si>
  <si>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</si>
  <si>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</si>
  <si>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</si>
  <si>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</si>
  <si>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</si>
  <si>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</si>
  <si>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</si>
  <si>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</si>
  <si>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</si>
  <si>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</si>
  <si>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</si>
  <si>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</si>
  <si>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</si>
  <si>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</si>
  <si>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</si>
  <si>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</si>
  <si>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</si>
  <si>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</si>
  <si>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</si>
  <si>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</si>
  <si>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</si>
  <si>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</si>
  <si>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</si>
  <si>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</si>
  <si>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</si>
  <si>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</si>
  <si>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</si>
  <si>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</si>
  <si>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</si>
  <si>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</si>
  <si>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</si>
  <si>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</si>
  <si>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</si>
  <si>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</si>
  <si>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</si>
  <si>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</si>
  <si>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</si>
  <si>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</si>
  <si>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</si>
  <si>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</si>
  <si>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</si>
  <si>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</si>
  <si>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</si>
  <si>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</si>
  <si>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</si>
  <si>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</si>
  <si>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</si>
  <si>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</si>
  <si>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</si>
  <si>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</si>
  <si>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</si>
  <si>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</si>
  <si>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</si>
  <si>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</si>
  <si>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</si>
  <si>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</si>
  <si>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</si>
  <si>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</si>
  <si>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</si>
  <si>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</si>
  <si>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</si>
  <si>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</si>
  <si>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</si>
  <si>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</si>
  <si>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</si>
  <si>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</si>
  <si>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</si>
  <si>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</si>
  <si>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</si>
  <si>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</si>
  <si>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</si>
  <si>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</si>
  <si>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</si>
  <si>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</si>
  <si>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</si>
  <si>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</si>
  <si>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</si>
  <si>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</si>
  <si>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</si>
  <si>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</si>
  <si>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</si>
  <si>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</si>
  <si>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</si>
  <si>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</si>
  <si>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</si>
  <si>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</si>
  <si>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</si>
  <si>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</si>
  <si>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</si>
  <si>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</si>
  <si>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</si>
  <si>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</si>
  <si>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</si>
  <si>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</si>
  <si>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</si>
  <si>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</si>
  <si>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</si>
  <si>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</si>
  <si>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</si>
  <si>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</si>
  <si>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</si>
  <si>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</si>
  <si>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</si>
  <si>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</si>
  <si>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</si>
  <si>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</si>
  <si>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</si>
  <si>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</si>
  <si>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</si>
  <si>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</si>
  <si>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</si>
  <si>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</si>
  <si>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</si>
  <si>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</si>
  <si>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</si>
  <si>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</si>
  <si>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</si>
  <si>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</si>
  <si>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</si>
  <si>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</si>
  <si>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</si>
  <si>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</si>
  <si>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</si>
  <si>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</si>
  <si>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</si>
  <si>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</si>
  <si>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</si>
  <si>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</si>
  <si>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</si>
  <si>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</si>
  <si>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</si>
  <si>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</si>
  <si>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</si>
  <si>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</si>
  <si>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</si>
  <si>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</si>
  <si>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</si>
  <si>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</si>
  <si>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</si>
  <si>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</si>
  <si>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</si>
  <si>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</si>
  <si>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</si>
  <si>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</si>
  <si>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</si>
  <si>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</si>
  <si>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</si>
  <si>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</si>
  <si>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</si>
  <si>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</si>
  <si>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</si>
  <si>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</si>
  <si>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</si>
  <si>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</si>
  <si>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</si>
  <si>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</si>
  <si>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</si>
  <si>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</si>
  <si>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</si>
  <si>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</si>
  <si>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</si>
  <si>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</si>
  <si>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</si>
  <si>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</si>
  <si>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</si>
  <si>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</si>
  <si>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</si>
  <si>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</si>
  <si>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</si>
  <si>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</si>
  <si>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</si>
  <si>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</si>
  <si>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</si>
  <si>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</si>
  <si>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</si>
  <si>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</si>
  <si>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</si>
  <si>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</si>
  <si>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</si>
  <si>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</si>
  <si>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</si>
  <si>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</si>
  <si>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</si>
  <si>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</si>
  <si>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</si>
  <si>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</si>
  <si>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</si>
  <si>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</si>
  <si>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</si>
  <si>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</si>
  <si>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</si>
  <si>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</si>
  <si>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</si>
  <si>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</si>
  <si>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</si>
  <si>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</si>
  <si>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</si>
  <si>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</si>
  <si>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</si>
  <si>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</si>
  <si>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</si>
  <si>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</si>
  <si>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</si>
  <si>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</si>
  <si>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</si>
  <si>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</si>
  <si>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</si>
  <si>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</si>
  <si>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</si>
  <si>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</si>
  <si>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</si>
  <si>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</si>
  <si>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</si>
  <si>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</si>
  <si>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</si>
  <si>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</si>
  <si>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</si>
  <si>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</si>
  <si>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</si>
  <si>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</si>
  <si>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</si>
  <si>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</si>
  <si>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</si>
  <si>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</si>
  <si>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</si>
  <si>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</si>
  <si>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</si>
  <si>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</si>
  <si>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</si>
  <si>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</si>
  <si>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</si>
  <si>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</si>
  <si>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</si>
  <si>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</si>
  <si>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</si>
  <si>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</si>
  <si>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</si>
  <si>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</si>
  <si>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</si>
  <si>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</si>
  <si>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</si>
  <si>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</si>
  <si>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</si>
  <si>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</si>
  <si>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</si>
  <si>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</si>
  <si>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</si>
  <si>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</si>
  <si>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</si>
  <si>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</si>
  <si>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</si>
  <si>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</si>
  <si>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</si>
  <si>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</si>
  <si>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</si>
  <si>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</si>
  <si>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</si>
  <si>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</si>
  <si>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</si>
  <si>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</si>
  <si>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</si>
  <si>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</si>
  <si>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</si>
  <si>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</si>
  <si>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</si>
  <si>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</si>
  <si>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</si>
  <si>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</si>
  <si>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</si>
  <si>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</si>
  <si>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</si>
  <si>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</si>
  <si>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</si>
  <si>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</si>
  <si>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</si>
  <si>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</si>
  <si>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</si>
  <si>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</si>
  <si>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</si>
  <si>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</si>
  <si>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</si>
  <si>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</si>
  <si>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</si>
  <si>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</si>
  <si>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</si>
  <si>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</si>
  <si>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</si>
  <si>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</si>
  <si>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</si>
  <si>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</si>
  <si>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</si>
  <si>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</si>
  <si>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</si>
  <si>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</si>
  <si>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</si>
  <si>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</si>
  <si>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</si>
  <si>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</si>
  <si>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</si>
  <si>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</si>
  <si>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</si>
  <si>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</si>
  <si>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</si>
  <si>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</si>
  <si>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</si>
  <si>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</si>
  <si>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</si>
  <si>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</si>
  <si>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</si>
  <si>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</si>
  <si>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</si>
  <si>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</si>
  <si>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</si>
  <si>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</si>
  <si>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</si>
  <si>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</si>
  <si>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</si>
  <si>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</si>
  <si>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</si>
  <si>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</si>
  <si>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</si>
  <si>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</si>
  <si>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</si>
  <si>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</si>
  <si>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</si>
  <si>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</si>
  <si>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</si>
  <si>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</si>
  <si>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</si>
  <si>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</si>
  <si>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</si>
  <si>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</si>
  <si>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</si>
  <si>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</si>
  <si>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</si>
  <si>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</si>
  <si>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</si>
  <si>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</si>
  <si>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</si>
  <si>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</si>
  <si>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</si>
  <si>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</si>
  <si>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</si>
  <si>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</si>
  <si>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</si>
  <si>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</si>
  <si>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</si>
  <si>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</si>
  <si>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</si>
  <si>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</si>
  <si>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</si>
  <si>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</si>
  <si>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</si>
  <si>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</si>
  <si>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</si>
  <si>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</si>
  <si>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</si>
  <si>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</si>
  <si>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</si>
  <si>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</si>
  <si>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</si>
  <si>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</si>
  <si>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</si>
  <si>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</si>
  <si>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</si>
  <si>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</si>
  <si>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</si>
  <si>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</si>
  <si>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</si>
  <si>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</si>
  <si>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</si>
  <si>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</si>
  <si>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</si>
  <si>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</si>
  <si>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</si>
  <si>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</si>
  <si>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</si>
  <si>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</si>
  <si>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</si>
  <si>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</si>
  <si>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</si>
  <si>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</si>
  <si>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</si>
  <si>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</si>
  <si>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</si>
  <si>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</si>
  <si>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</si>
  <si>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</si>
  <si>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</si>
  <si>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</si>
  <si>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</si>
  <si>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</si>
  <si>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</si>
  <si>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</si>
  <si>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</si>
  <si>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</si>
  <si>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</si>
  <si>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</si>
  <si>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</si>
  <si>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</si>
  <si>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</si>
  <si>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</si>
  <si>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</si>
  <si>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</si>
  <si>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</si>
  <si>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</si>
  <si>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</si>
  <si>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</si>
  <si>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</si>
  <si>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</si>
  <si>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</si>
  <si>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</si>
  <si>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</si>
  <si>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</si>
  <si>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</si>
  <si>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</si>
  <si>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</si>
  <si>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</si>
  <si>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</si>
  <si>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</si>
  <si>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</si>
  <si>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</si>
  <si>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</si>
  <si>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</si>
  <si>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</si>
  <si>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</si>
  <si>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</si>
  <si>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</si>
  <si>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</si>
  <si>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</si>
  <si>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</si>
  <si>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</si>
  <si>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</si>
  <si>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</si>
  <si>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</si>
  <si>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</si>
  <si>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</si>
  <si>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</si>
  <si>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</si>
  <si>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</si>
  <si>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</si>
  <si>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</si>
  <si>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</si>
  <si>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</si>
  <si>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</si>
  <si>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</si>
  <si>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</si>
  <si>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</si>
  <si>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</si>
  <si>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</si>
  <si>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</si>
  <si>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</si>
  <si>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</si>
  <si>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</si>
  <si>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</si>
  <si>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</si>
  <si>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</si>
  <si>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</si>
  <si>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</si>
  <si>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</si>
  <si>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</si>
  <si>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</si>
  <si>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</si>
  <si>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</si>
  <si>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</si>
  <si>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</si>
  <si>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</si>
  <si>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</si>
  <si>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</si>
  <si>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</si>
  <si>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</si>
  <si>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</si>
  <si>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</si>
  <si>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</si>
  <si>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</si>
  <si>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</si>
  <si>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</si>
  <si>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</si>
  <si>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</si>
  <si>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</si>
  <si>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</si>
  <si>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</si>
  <si>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</si>
  <si>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</si>
  <si>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</si>
  <si>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</si>
  <si>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</si>
  <si>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</si>
  <si>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</si>
  <si>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</si>
  <si>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</si>
  <si>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</si>
  <si>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</si>
  <si>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</si>
  <si>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</si>
  <si>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</si>
  <si>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</si>
  <si>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</si>
  <si>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</si>
  <si>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</si>
  <si>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</si>
  <si>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</si>
  <si>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</si>
  <si>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</si>
  <si>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</si>
  <si>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</si>
  <si>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</si>
  <si>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</si>
  <si>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</si>
  <si>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</si>
  <si>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</si>
  <si>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</si>
  <si>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</si>
  <si>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</si>
  <si>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</si>
  <si>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</si>
  <si>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</si>
  <si>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</si>
  <si>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</si>
  <si>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100 ml</t>
  </si>
  <si>
    <t>неровности контуров, кровоток TIMI III.</t>
  </si>
  <si>
    <t>Совместно с д/кардиологом: с учетом клинических данных, ЭКГ и КАГ рекомендовано ЧКВ ПНА.</t>
  </si>
  <si>
    <t>Романов В.В.</t>
  </si>
  <si>
    <t>07:06</t>
  </si>
  <si>
    <t>Левый</t>
  </si>
  <si>
    <t xml:space="preserve">приустьевой стеноз до 30%, на границе проксимального и среднего сегментов стенозы до 50%, нестабильный гемодинамический значимый стеноз среднего сегмента 80%, TTG1, неровности контуров дистального сегмента. Кровоток по ПНА TIMI III. </t>
  </si>
  <si>
    <t>ниже отхождения крупной ВТК1 определяется стеноз ОА до 40%, стеноз проксимальной трети ВТК1 60%.  Кровоток по ОА и ВТК TIMI III.</t>
  </si>
  <si>
    <t xml:space="preserve">гипоплазирован. Кровоток TIMI III. </t>
  </si>
  <si>
    <t xml:space="preserve">Устье ЛКА катетеризировано проводниковым катетером Launcher EBU 3.5 6Fr. Коронарный проводник Shunmei заведен в дистальный сегмент ПНА.  В зону  стенозов  среднего и проксимального сегментов последовательно с оверлеппингом имплантированы стенты DES Resolute Integrity 3,0-22 мм (12атм.) и  DES Resolute Integrity 3,5-22 мм (12атм). Постдилатация зоны оверлаппинга бк от стента  3.5-22 до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</si>
</sst>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57" fillId="0" borderId="32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3" xfId="0" applyFont="1" applyFill="1" applyBorder="1" applyAlignment="1">
      <alignment horizontal="left" vertical="center"/>
    </xf>
    <xf numFmtId="0" fontId="16" fillId="8" borderId="36" xfId="6" applyFont="1" applyBorder="1" applyAlignment="1">
      <alignment horizontal="left" vertical="center"/>
    </xf>
    <xf numFmtId="14" fontId="56" fillId="9" borderId="37" xfId="7" applyNumberFormat="1" applyFont="1" applyBorder="1" applyAlignment="1">
      <alignment horizontal="left" vertical="center"/>
    </xf>
    <xf numFmtId="14" fontId="49" fillId="9" borderId="38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4" zoomScaleNormal="100" zoomScaleSheetLayoutView="100" zoomScalePageLayoutView="90" workbookViewId="0">
      <selection activeCell="I15" sqref="I15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45828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0.75347222222222221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0.76041666666666663</v>
      </c>
      <c r="C10" s="54"/>
      <c r="D10" s="94" t="s">
        <v>172</v>
      </c>
      <c r="E10" s="92"/>
      <c r="F10" s="92"/>
      <c r="G10" s="23" t="s">
        <v>152</v>
      </c>
      <c r="H10" s="25"/>
    </row>
    <row r="11" spans="1:8" ht="17.25" thickTop="1" thickBot="1">
      <c r="A11" s="88" t="s">
        <v>191</v>
      </c>
      <c r="B11" s="199" t="s">
        <v>535</v>
      </c>
      <c r="C11" s="8"/>
      <c r="D11" s="94" t="s">
        <v>169</v>
      </c>
      <c r="E11" s="92"/>
      <c r="F11" s="92"/>
      <c r="G11" s="23" t="s">
        <v>253</v>
      </c>
      <c r="H11" s="25"/>
    </row>
    <row r="12" spans="1:8" ht="16.5" thickTop="1">
      <c r="A12" s="80" t="s">
        <v>8</v>
      </c>
      <c r="B12" s="81">
        <v>22628</v>
      </c>
      <c r="C12" s="11"/>
      <c r="D12" s="94" t="s">
        <v>298</v>
      </c>
      <c r="E12" s="92"/>
      <c r="F12" s="92"/>
      <c r="G12" s="23" t="s">
        <v>527</v>
      </c>
      <c r="H12" s="25"/>
    </row>
    <row r="13" spans="1:8" ht="15.75">
      <c r="A13" s="14" t="s">
        <v>10</v>
      </c>
      <c r="B13" s="29">
        <f>DATEDIF(B12,B8,"y")</f>
        <v>63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17161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1" t="s">
        <v>393</v>
      </c>
      <c r="H15" s="165" t="s">
        <v>536</v>
      </c>
    </row>
    <row r="16" spans="1:8" ht="15.6" customHeight="1">
      <c r="A16" s="14" t="s">
        <v>105</v>
      </c>
      <c r="B16" s="18" t="s">
        <v>306</v>
      </c>
      <c r="C16"/>
      <c r="D16" s="35"/>
      <c r="E16" s="35"/>
      <c r="F16" s="35"/>
      <c r="G16" s="162" t="s">
        <v>395</v>
      </c>
      <c r="H16" s="160">
        <v>2820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382</v>
      </c>
      <c r="H17" s="164">
        <f>H16*0.0019</f>
        <v>5.3579999999999997</v>
      </c>
    </row>
    <row r="18" spans="1:8" ht="14.45" customHeight="1">
      <c r="A18" s="56" t="s">
        <v>187</v>
      </c>
      <c r="B18" s="86" t="s">
        <v>537</v>
      </c>
      <c r="C18"/>
      <c r="D18" s="27" t="s">
        <v>209</v>
      </c>
      <c r="E18" s="27"/>
      <c r="F18" s="27"/>
      <c r="G18" s="84" t="s">
        <v>188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533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267</v>
      </c>
      <c r="B22" s="227" t="s">
        <v>538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268</v>
      </c>
      <c r="B27" s="227" t="s">
        <v>539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269</v>
      </c>
      <c r="B32" s="227" t="s">
        <v>540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534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203</v>
      </c>
      <c r="B51" s="62" t="s">
        <v>532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B13" sqref="B13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207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1" t="s">
        <v>220</v>
      </c>
      <c r="D8" s="241"/>
      <c r="E8" s="241"/>
      <c r="F8" s="186">
        <v>2</v>
      </c>
      <c r="G8" s="117" t="s">
        <v>304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2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45828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v>0.76041666666666663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0.77777777777777779</v>
      </c>
      <c r="C14" s="11"/>
      <c r="D14" s="94" t="s">
        <v>172</v>
      </c>
      <c r="E14" s="92"/>
      <c r="F14" s="92"/>
      <c r="G14" s="79" t="str">
        <f>КАГ!G10</f>
        <v>Мелека Е.А.</v>
      </c>
      <c r="H14" s="90" t="str">
        <f>IF(ISBLANK(КАГ!H10),"",КАГ!H10)</f>
        <v/>
      </c>
    </row>
    <row r="15" spans="1:8" ht="16.5" thickBot="1">
      <c r="A15" s="159" t="s">
        <v>381</v>
      </c>
      <c r="B15" s="184">
        <f>IF(B14&lt;B13,B14+1,B14)-B13</f>
        <v>1.736111111111116E-2</v>
      </c>
      <c r="C15"/>
      <c r="D15" s="94" t="s">
        <v>169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Романов В.В.</v>
      </c>
      <c r="C16" s="196">
        <f>LEN(КАГ!B11)</f>
        <v>12</v>
      </c>
      <c r="D16" s="94" t="s">
        <v>298</v>
      </c>
      <c r="E16" s="92"/>
      <c r="F16" s="92"/>
      <c r="G16" s="79" t="str">
        <f>КАГ!G12</f>
        <v>Калашникова А.Д.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22628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17161</v>
      </c>
      <c r="C19" s="68"/>
      <c r="D19" s="68"/>
      <c r="E19" s="68"/>
      <c r="F19" s="68"/>
      <c r="G19" s="161" t="s">
        <v>393</v>
      </c>
      <c r="H19" s="176" t="str">
        <f>КАГ!H15</f>
        <v>07:06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2" t="s">
        <v>395</v>
      </c>
      <c r="H20" s="177">
        <f>КАГ!H16</f>
        <v>2820</v>
      </c>
    </row>
    <row r="21" spans="1:8" ht="14.45" customHeight="1">
      <c r="A21" s="14" t="s">
        <v>105</v>
      </c>
      <c r="B21" s="66" t="str">
        <f>КАГ!B16</f>
        <v>ОКС БПST</v>
      </c>
      <c r="C21" s="69"/>
      <c r="D21"/>
      <c r="E21" s="70"/>
      <c r="F21" s="70"/>
      <c r="G21" s="163" t="s">
        <v>382</v>
      </c>
      <c r="H21" s="164">
        <f>КАГ!H17</f>
        <v>5.3579999999999997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/>
      <c r="H22" s="181"/>
    </row>
    <row r="23" spans="1:8" ht="14.45" customHeight="1">
      <c r="A23" s="64" t="s">
        <v>385</v>
      </c>
      <c r="B23" s="168" t="s">
        <v>384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383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9" t="s">
        <v>541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3" t="s">
        <v>389</v>
      </c>
      <c r="B38" s="171"/>
      <c r="C38" s="172"/>
      <c r="D38" s="172"/>
      <c r="E38" s="182" t="str">
        <f>IF(A6=Вмешательства!D4,Вмешательства!V16,IF(ЧКВ!A6=Вмешательства!D6,Вмешательства!V16,Вмешательства!V17))</f>
        <v>СТЕНТ/Ы</v>
      </c>
      <c r="F38" s="172"/>
      <c r="G38" s="175"/>
      <c r="H38"/>
    </row>
    <row r="39" spans="1:12" ht="15.75">
      <c r="A39" s="169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387</v>
      </c>
      <c r="B40" s="174" t="s">
        <v>516</v>
      </c>
      <c r="C40" s="119"/>
      <c r="D40" s="246" t="s">
        <v>531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6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203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365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Левый
Ствол ЛКА:   неровности контуров, кровоток TIMI III.
Бассейн ПНА:   приустьевой стеноз до 30%, на границе проксимального и среднего сегментов стенозы до 50%, нестабильный гемодинамический значимый стеноз среднего сегмента 80%, TTG1, неровности контуров дистального сегмента. Кровоток по ПНА TIMI III. 
Бассейн  ОА:   ниже отхождения крупной ВТК1 определяется стеноз ОА до 40%, стеноз проксимальной трети ВТК1 60%.  Кровоток по ОА и ВТК TIMI III.
Бассейн ПКА:   гипоплазирован. Кровоток TIMI III. 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3" sqref="F23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45828</v>
      </c>
      <c r="C2" s="148" t="str">
        <f>IF(ЧКВ!A6=Вмешательства!D4,Вмешательства!F20,IF(ЧКВ!A6=Вмешательства!D37,Вмешательства!F20,Вмешательства!F22))</f>
        <v>ВМП 1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200" t="str">
        <f>КАГ!$B$11</f>
        <v>Романов В.В.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22628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63</v>
      </c>
    </row>
    <row r="7" spans="1:4">
      <c r="A7" s="37"/>
      <c r="B7"/>
      <c r="C7" s="100" t="s">
        <v>12</v>
      </c>
      <c r="D7" s="102">
        <f>КАГ!$B$14</f>
        <v>17161</v>
      </c>
    </row>
    <row r="8" spans="1:4">
      <c r="A8" s="190" t="str">
        <f>ЧКВ!$A$9</f>
        <v>Код модели: 21167</v>
      </c>
      <c r="B8" s="103"/>
      <c r="C8" s="100" t="s">
        <v>132</v>
      </c>
      <c r="D8" s="102">
        <f>КАГ!$B$15</f>
        <v>35</v>
      </c>
    </row>
    <row r="9" spans="1:4">
      <c r="A9" s="190" t="str">
        <f>ЧКВ!$A$10</f>
        <v>Код метода: 46</v>
      </c>
      <c r="B9"/>
      <c r="C9" s="104" t="s">
        <v>105</v>
      </c>
      <c r="D9" s="102" t="str">
        <f>КАГ!$B$16</f>
        <v>ОКС БПST</v>
      </c>
    </row>
    <row r="10" spans="1:4">
      <c r="A10" s="191"/>
      <c r="B10" s="30"/>
      <c r="C10" s="146" t="s">
        <v>13</v>
      </c>
      <c r="D10" s="147">
        <f>КАГ!$B$8</f>
        <v>45828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301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320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513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0" t="s">
        <v>318</v>
      </c>
      <c r="C16" s="134" t="s">
        <v>450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0" t="s">
        <v>318</v>
      </c>
      <c r="C17" s="134" t="s">
        <v>460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0"/>
      <c r="C18" s="134"/>
      <c r="D18" s="139"/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0"/>
      <c r="C19" s="178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1"/>
      <c r="C20" s="134" t="s">
        <v>210</v>
      </c>
      <c r="D20" s="139" t="s">
        <v>210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394</v>
      </c>
      <c r="F5" t="s">
        <v>130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390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482</v>
      </c>
      <c r="V17" t="s">
        <v>391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497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102</v>
      </c>
      <c r="S1" s="114" t="s">
        <v>103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5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304</v>
      </c>
      <c r="AO2" s="205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5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5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5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5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93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94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BMW</v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</v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XT-A</v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Fielder XT-R</v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Intuition</v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Rinato</v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</v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Black</v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Sion Blue</v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Thunder</v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Winn 200T</v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</v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3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1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3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7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66</v>
      </c>
      <c r="K67" s="193">
        <f>IF(ISNUMBER(SEARCH('Карта учёта'!$B$19,Расходка[[#This Row],[Наименование расходного материала]])),MAX($K$1:K66)+1,0)</f>
        <v>66</v>
      </c>
      <c r="L67" s="193">
        <f>IF(ISNUMBER(SEARCH('Карта учёта'!$B$20,Расходка[[#This Row],[Наименование расходного материала]])),MAX($L$1:L66)+1,0)</f>
        <v>66</v>
      </c>
      <c r="M67" s="193">
        <f>IF(ISNUMBER(SEARCH('Карта учёта'!$B$21,Расходка[[#This Row],[Наименование расходного материала]])),MAX($M$1:M66)+1,0)</f>
        <v>66</v>
      </c>
      <c r="N67" s="193">
        <f>IF(ISNUMBER(SEARCH('Карта учёта'!$B$22,Расходка[[#This Row],[Наименование расходного материала]])),MAX($N$1:N66)+1,0)</f>
        <v>66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4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4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4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4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4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4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4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319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67</v>
      </c>
      <c r="K68" s="193">
        <f>IF(ISNUMBER(SEARCH('Карта учёта'!$B$19,Расходка[[#This Row],[Наименование расходного материала]])),MAX($K$1:K67)+1,0)</f>
        <v>67</v>
      </c>
      <c r="L68" s="193">
        <f>IF(ISNUMBER(SEARCH('Карта учёта'!$B$20,Расходка[[#This Row],[Наименование расходного материала]])),MAX($L$1:L67)+1,0)</f>
        <v>67</v>
      </c>
      <c r="M68" s="193">
        <f>IF(ISNUMBER(SEARCH('Карта учёта'!$B$21,Расходка[[#This Row],[Наименование расходного материала]])),MAX($M$1:M67)+1,0)</f>
        <v>67</v>
      </c>
      <c r="N68" s="193">
        <f>IF(ISNUMBER(SEARCH('Карта учёта'!$B$22,Расходка[[#This Row],[Наименование расходного материала]])),MAX($N$1:N67)+1,0)</f>
        <v>67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4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4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4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4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4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338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68</v>
      </c>
      <c r="K69" s="193">
        <f>IF(ISNUMBER(SEARCH('Карта учёта'!$B$19,Расходка[[#This Row],[Наименование расходного материала]])),MAX($K$1:K68)+1,0)</f>
        <v>68</v>
      </c>
      <c r="L69" s="193">
        <f>IF(ISNUMBER(SEARCH('Карта учёта'!$B$20,Расходка[[#This Row],[Наименование расходного материала]])),MAX($L$1:L68)+1,0)</f>
        <v>68</v>
      </c>
      <c r="M69" s="193">
        <f>IF(ISNUMBER(SEARCH('Карта учёта'!$B$21,Расходка[[#This Row],[Наименование расходного материала]])),MAX($M$1:M68)+1,0)</f>
        <v>68</v>
      </c>
      <c r="N69" s="193">
        <f>IF(ISNUMBER(SEARCH('Карта учёта'!$B$22,Расходка[[#This Row],[Наименование расходного материала]])),MAX($N$1:N68)+1,0)</f>
        <v>68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4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4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4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4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4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69</v>
      </c>
      <c r="K70" s="193">
        <f>IF(ISNUMBER(SEARCH('Карта учёта'!$B$19,Расходка[[#This Row],[Наименование расходного материала]])),MAX($K$1:K69)+1,0)</f>
        <v>69</v>
      </c>
      <c r="L70" s="193">
        <f>IF(ISNUMBER(SEARCH('Карта учёта'!$B$20,Расходка[[#This Row],[Наименование расходного материала]])),MAX($L$1:L69)+1,0)</f>
        <v>69</v>
      </c>
      <c r="M70" s="193">
        <f>IF(ISNUMBER(SEARCH('Карта учёта'!$B$21,Расходка[[#This Row],[Наименование расходного материала]])),MAX($M$1:M69)+1,0)</f>
        <v>69</v>
      </c>
      <c r="N70" s="193">
        <f>IF(ISNUMBER(SEARCH('Карта учёта'!$B$22,Расходка[[#This Row],[Наименование расходного материала]])),MAX($N$1:N69)+1,0)</f>
        <v>69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4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4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4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70</v>
      </c>
      <c r="K71" s="193">
        <f>IF(ISNUMBER(SEARCH('Карта учёта'!$B$19,Расходка[[#This Row],[Наименование расходного материала]])),MAX($K$1:K70)+1,0)</f>
        <v>70</v>
      </c>
      <c r="L71" s="193">
        <f>IF(ISNUMBER(SEARCH('Карта учёта'!$B$20,Расходка[[#This Row],[Наименование расходного материала]])),MAX($L$1:L70)+1,0)</f>
        <v>70</v>
      </c>
      <c r="M71" s="193">
        <f>IF(ISNUMBER(SEARCH('Карта учёта'!$B$21,Расходка[[#This Row],[Наименование расходного материала]])),MAX($M$1:M70)+1,0)</f>
        <v>70</v>
      </c>
      <c r="N71" s="193">
        <f>IF(ISNUMBER(SEARCH('Карта учёта'!$B$22,Расходка[[#This Row],[Наименование расходного материала]])),MAX($N$1:N70)+1,0)</f>
        <v>70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4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4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4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1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71</v>
      </c>
      <c r="K72" s="193">
        <f>IF(ISNUMBER(SEARCH('Карта учёта'!$B$19,Расходка[[#This Row],[Наименование расходного материала]])),MAX($K$1:K71)+1,0)</f>
        <v>71</v>
      </c>
      <c r="L72" s="193">
        <f>IF(ISNUMBER(SEARCH('Карта учёта'!$B$20,Расходка[[#This Row],[Наименование расходного материала]])),MAX($L$1:L71)+1,0)</f>
        <v>71</v>
      </c>
      <c r="M72" s="193">
        <f>IF(ISNUMBER(SEARCH('Карта учёта'!$B$21,Расходка[[#This Row],[Наименование расходного материала]])),MAX($M$1:M71)+1,0)</f>
        <v>71</v>
      </c>
      <c r="N72" s="193">
        <f>IF(ISNUMBER(SEARCH('Карта учёта'!$B$22,Расходка[[#This Row],[Наименование расходного материала]])),MAX($N$1:N71)+1,0)</f>
        <v>71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4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4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4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72</v>
      </c>
      <c r="K73" s="193">
        <f>IF(ISNUMBER(SEARCH('Карта учёта'!$B$19,Расходка[[#This Row],[Наименование расходного материала]])),MAX($K$1:K72)+1,0)</f>
        <v>72</v>
      </c>
      <c r="L73" s="193">
        <f>IF(ISNUMBER(SEARCH('Карта учёта'!$B$20,Расходка[[#This Row],[Наименование расходного материала]])),MAX($L$1:L72)+1,0)</f>
        <v>72</v>
      </c>
      <c r="M73" s="193">
        <f>IF(ISNUMBER(SEARCH('Карта учёта'!$B$21,Расходка[[#This Row],[Наименование расходного материала]])),MAX($M$1:M72)+1,0)</f>
        <v>72</v>
      </c>
      <c r="N73" s="193">
        <f>IF(ISNUMBER(SEARCH('Карта учёта'!$B$22,Расходка[[#This Row],[Наименование расходного материала]])),MAX($N$1:N72)+1,0)</f>
        <v>72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4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4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4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73</v>
      </c>
      <c r="K74" s="193">
        <f>IF(ISNUMBER(SEARCH('Карта учёта'!$B$19,Расходка[[#This Row],[Наименование расходного материала]])),MAX($K$1:K73)+1,0)</f>
        <v>73</v>
      </c>
      <c r="L74" s="193">
        <f>IF(ISNUMBER(SEARCH('Карта учёта'!$B$20,Расходка[[#This Row],[Наименование расходного материала]])),MAX($L$1:L73)+1,0)</f>
        <v>73</v>
      </c>
      <c r="M74" s="193">
        <f>IF(ISNUMBER(SEARCH('Карта учёта'!$B$21,Расходка[[#This Row],[Наименование расходного материала]])),MAX($M$1:M73)+1,0)</f>
        <v>73</v>
      </c>
      <c r="N74" s="193">
        <f>IF(ISNUMBER(SEARCH('Карта учёта'!$B$22,Расходка[[#This Row],[Наименование расходного материала]])),MAX($N$1:N73)+1,0)</f>
        <v>73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4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4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4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74</v>
      </c>
      <c r="K75" s="193">
        <f>IF(ISNUMBER(SEARCH('Карта учёта'!$B$19,Расходка[[#This Row],[Наименование расходного материала]])),MAX($K$1:K74)+1,0)</f>
        <v>74</v>
      </c>
      <c r="L75" s="193">
        <f>IF(ISNUMBER(SEARCH('Карта учёта'!$B$20,Расходка[[#This Row],[Наименование расходного материала]])),MAX($L$1:L74)+1,0)</f>
        <v>74</v>
      </c>
      <c r="M75" s="193">
        <f>IF(ISNUMBER(SEARCH('Карта учёта'!$B$21,Расходка[[#This Row],[Наименование расходного материала]])),MAX($M$1:M74)+1,0)</f>
        <v>74</v>
      </c>
      <c r="N75" s="193">
        <f>IF(ISNUMBER(SEARCH('Карта учёта'!$B$22,Расходка[[#This Row],[Наименование расходного материала]])),MAX($N$1:N74)+1,0)</f>
        <v>74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4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4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4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75</v>
      </c>
      <c r="K76" s="193">
        <f>IF(ISNUMBER(SEARCH('Карта учёта'!$B$19,Расходка[[#This Row],[Наименование расходного материала]])),MAX($K$1:K75)+1,0)</f>
        <v>75</v>
      </c>
      <c r="L76" s="193">
        <f>IF(ISNUMBER(SEARCH('Карта учёта'!$B$20,Расходка[[#This Row],[Наименование расходного материала]])),MAX($L$1:L75)+1,0)</f>
        <v>75</v>
      </c>
      <c r="M76" s="193">
        <f>IF(ISNUMBER(SEARCH('Карта учёта'!$B$21,Расходка[[#This Row],[Наименование расходного материала]])),MAX($M$1:M75)+1,0)</f>
        <v>75</v>
      </c>
      <c r="N76" s="193">
        <f>IF(ISNUMBER(SEARCH('Карта учёта'!$B$22,Расходка[[#This Row],[Наименование расходного материала]])),MAX($N$1:N75)+1,0)</f>
        <v>75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4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4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4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76</v>
      </c>
      <c r="K77" s="193">
        <f>IF(ISNUMBER(SEARCH('Карта учёта'!$B$19,Расходка[[#This Row],[Наименование расходного материала]])),MAX($K$1:K76)+1,0)</f>
        <v>76</v>
      </c>
      <c r="L77" s="193">
        <f>IF(ISNUMBER(SEARCH('Карта учёта'!$B$20,Расходка[[#This Row],[Наименование расходного материала]])),MAX($L$1:L76)+1,0)</f>
        <v>76</v>
      </c>
      <c r="M77" s="193">
        <f>IF(ISNUMBER(SEARCH('Карта учёта'!$B$21,Расходка[[#This Row],[Наименование расходного материала]])),MAX($M$1:M76)+1,0)</f>
        <v>76</v>
      </c>
      <c r="N77" s="193">
        <f>IF(ISNUMBER(SEARCH('Карта учёта'!$B$22,Расходка[[#This Row],[Наименование расходного материала]])),MAX($N$1:N76)+1,0)</f>
        <v>76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4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4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4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77</v>
      </c>
      <c r="K78" s="193">
        <f>IF(ISNUMBER(SEARCH('Карта учёта'!$B$19,Расходка[[#This Row],[Наименование расходного материала]])),MAX($K$1:K77)+1,0)</f>
        <v>77</v>
      </c>
      <c r="L78" s="193">
        <f>IF(ISNUMBER(SEARCH('Карта учёта'!$B$20,Расходка[[#This Row],[Наименование расходного материала]])),MAX($L$1:L77)+1,0)</f>
        <v>77</v>
      </c>
      <c r="M78" s="193">
        <f>IF(ISNUMBER(SEARCH('Карта учёта'!$B$21,Расходка[[#This Row],[Наименование расходного материала]])),MAX($M$1:M77)+1,0)</f>
        <v>77</v>
      </c>
      <c r="N78" s="193">
        <f>IF(ISNUMBER(SEARCH('Карта учёта'!$B$22,Расходка[[#This Row],[Наименование расходного материала]])),MAX($N$1:N77)+1,0)</f>
        <v>77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4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4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4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AF81" s="4" t="s">
        <v>6</v>
      </c>
      <c r="AG81" s="4" t="s">
        <v>466</v>
      </c>
    </row>
    <row r="82" spans="1:33"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509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519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298</v>
      </c>
      <c r="B45" t="s">
        <v>258</v>
      </c>
    </row>
    <row r="46" spans="1:2">
      <c r="A46" t="s">
        <v>298</v>
      </c>
      <c r="B46" t="s">
        <v>259</v>
      </c>
    </row>
    <row r="47" spans="1:2">
      <c r="A47" t="s">
        <v>298</v>
      </c>
      <c r="B47" t="s">
        <v>530</v>
      </c>
    </row>
    <row r="48" spans="1:2">
      <c r="A48" t="s">
        <v>298</v>
      </c>
      <c r="B48" t="s">
        <v>520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527</v>
      </c>
    </row>
    <row r="51" spans="1:2">
      <c r="A51" t="s">
        <v>298</v>
      </c>
      <c r="B51" t="s">
        <v>529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257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359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271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336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361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270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2025-06-20T15:55:38Z</cp:lastPrinted>
  <dcterms:created xsi:type="dcterms:W3CDTF">2015-06-05T18:19:34Z</dcterms:created>
  <dcterms:modified xsi:type="dcterms:W3CDTF">2025-06-20T19:58:24Z</dcterms:modified>
</cp:coreProperties>
</file>