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EANGIO\Users\AngioEmerg\Desktop\Щербаков\ПРОТОКОЛЫ\Протоколы\2025\06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Коромакс" sheetId="12" r:id="rId5"/>
    <sheet name="Вмешательства" sheetId="4" r:id="rId6"/>
    <sheet name="Расходный материал" sheetId="1" r:id="rId7"/>
    <sheet name="Сотрудники" sheetId="5" r:id="rId8"/>
    <sheet name="Остальное" sheetId="10" r:id="rId9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ата">Коромакс!$C$10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4">Коромакс!$A$1:$I$46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9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2" i="4"/>
  <c r="E38" i="12"/>
  <c r="C10" i="12" l="1"/>
  <c r="C9" i="12"/>
  <c r="B10" i="6" l="1"/>
  <c r="C11" i="12" l="1"/>
  <c r="D5" i="3"/>
  <c r="E36" i="12"/>
  <c r="G13" i="9"/>
  <c r="C15" i="12"/>
  <c r="B21" i="9"/>
  <c r="C12" i="12"/>
  <c r="B16" i="9"/>
  <c r="D6" i="12"/>
  <c r="D10" i="3"/>
  <c r="B2" i="3" s="1"/>
  <c r="A14" i="3" l="1"/>
  <c r="A15" i="3"/>
  <c r="A16" i="3"/>
  <c r="A17" i="3"/>
  <c r="A18" i="3"/>
  <c r="A19" i="3"/>
  <c r="A20" i="3"/>
  <c r="A21" i="3"/>
  <c r="A22" i="3"/>
  <c r="B13" i="9" l="1"/>
  <c r="A27" i="1" l="1"/>
  <c r="A6" i="1" l="1"/>
  <c r="A4" i="1"/>
  <c r="A60" i="1" l="1"/>
  <c r="A57" i="1" l="1"/>
  <c r="A56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C15" i="5" l="1"/>
  <c r="B15" i="9" l="1"/>
  <c r="E71" i="1" l="1"/>
  <c r="E72" i="1"/>
  <c r="E73" i="1"/>
  <c r="E74" i="1"/>
  <c r="E75" i="1"/>
  <c r="E76" i="1"/>
  <c r="E77" i="1"/>
  <c r="E78" i="1"/>
  <c r="G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19" i="9" l="1"/>
  <c r="H20" i="9"/>
  <c r="H21" i="9"/>
  <c r="C4" i="5" l="1"/>
  <c r="C18" i="5" l="1"/>
  <c r="C2" i="3" l="1"/>
  <c r="B5" i="3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51" i="9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D37" i="6"/>
  <c r="G51" i="6"/>
  <c r="A8" i="9"/>
  <c r="D9" i="3"/>
  <c r="D8" i="3"/>
  <c r="D7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F78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U53" i="1" s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8" i="1" l="1"/>
  <c r="U18" i="1"/>
  <c r="U78" i="1"/>
  <c r="U73" i="1"/>
  <c r="U15" i="1"/>
  <c r="U27" i="1"/>
  <c r="U49" i="1"/>
  <c r="U41" i="1"/>
  <c r="U5" i="1"/>
  <c r="U8" i="1"/>
  <c r="U28" i="1"/>
  <c r="U6" i="1"/>
  <c r="U34" i="1"/>
  <c r="U62" i="1"/>
  <c r="U39" i="1"/>
  <c r="U58" i="1"/>
  <c r="U56" i="1"/>
  <c r="U33" i="1"/>
  <c r="U10" i="1"/>
  <c r="U26" i="1"/>
  <c r="U14" i="1"/>
  <c r="U19" i="1"/>
  <c r="U16" i="1"/>
  <c r="U21" i="1"/>
  <c r="U23" i="1"/>
  <c r="U31" i="1"/>
  <c r="U77" i="1"/>
  <c r="U50" i="1"/>
  <c r="U43" i="1"/>
  <c r="U63" i="1"/>
  <c r="U60" i="1"/>
  <c r="U55" i="1"/>
  <c r="U69" i="1"/>
  <c r="U44" i="1"/>
  <c r="U47" i="1"/>
  <c r="U66" i="1"/>
  <c r="U57" i="1"/>
  <c r="U64" i="1"/>
  <c r="U11" i="1"/>
  <c r="U17" i="1"/>
  <c r="U35" i="1"/>
  <c r="U13" i="1"/>
  <c r="U22" i="1"/>
  <c r="U7" i="1"/>
  <c r="U29" i="1"/>
  <c r="U20" i="1"/>
  <c r="U9" i="1"/>
  <c r="U24" i="1"/>
  <c r="U25" i="1"/>
  <c r="U30" i="1"/>
  <c r="U4" i="1"/>
  <c r="U12" i="1"/>
  <c r="U3" i="1"/>
  <c r="U32" i="1"/>
  <c r="U36" i="1"/>
  <c r="U37" i="1"/>
  <c r="U76" i="1"/>
  <c r="U65" i="1"/>
  <c r="U48" i="1"/>
  <c r="U71" i="1"/>
  <c r="U67" i="1"/>
  <c r="U74" i="1"/>
  <c r="U75" i="1"/>
  <c r="U68" i="1"/>
  <c r="U42" i="1"/>
  <c r="U40" i="1"/>
  <c r="U72" i="1"/>
  <c r="U54" i="1"/>
  <c r="U59" i="1"/>
  <c r="U61" i="1"/>
  <c r="U45" i="1"/>
  <c r="U52" i="1"/>
  <c r="U70" i="1"/>
  <c r="U51" i="1"/>
  <c r="U46" i="1"/>
  <c r="U2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74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50" i="1" l="1"/>
  <c r="V2" i="1"/>
  <c r="V71" i="1"/>
  <c r="V67" i="1"/>
  <c r="V61" i="1"/>
  <c r="V52" i="1"/>
  <c r="V44" i="1"/>
  <c r="V59" i="1"/>
  <c r="V48" i="1"/>
  <c r="V42" i="1"/>
  <c r="V60" i="1"/>
  <c r="V66" i="1"/>
  <c r="V56" i="1"/>
  <c r="V54" i="1"/>
  <c r="V41" i="1"/>
  <c r="V49" i="1"/>
  <c r="V73" i="1"/>
  <c r="V70" i="1"/>
  <c r="V58" i="1"/>
  <c r="V62" i="1"/>
  <c r="V76" i="1"/>
  <c r="V57" i="1"/>
  <c r="V69" i="1"/>
  <c r="V43" i="1"/>
  <c r="V64" i="1"/>
  <c r="V40" i="1"/>
  <c r="V53" i="1"/>
  <c r="V72" i="1"/>
  <c r="V46" i="1"/>
  <c r="V51" i="1"/>
  <c r="V75" i="1"/>
  <c r="V45" i="1"/>
  <c r="V63" i="1"/>
  <c r="V68" i="1"/>
  <c r="V39" i="1"/>
  <c r="V65" i="1"/>
  <c r="V47" i="1"/>
  <c r="V55" i="1"/>
  <c r="V77" i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3" i="1" s="1"/>
  <c r="T56" i="1"/>
  <c r="T25" i="1"/>
  <c r="T54" i="1"/>
  <c r="T18" i="1"/>
  <c r="N74" i="1"/>
  <c r="L68" i="1"/>
  <c r="M62" i="1"/>
  <c r="T38" i="1" l="1"/>
  <c r="T21" i="1"/>
  <c r="T63" i="1"/>
  <c r="T12" i="1"/>
  <c r="T31" i="1"/>
  <c r="T41" i="1"/>
  <c r="T19" i="1"/>
  <c r="T45" i="1"/>
  <c r="T69" i="1"/>
  <c r="T26" i="1"/>
  <c r="T30" i="1"/>
  <c r="T61" i="1"/>
  <c r="T29" i="1"/>
  <c r="T52" i="1"/>
  <c r="T14" i="1"/>
  <c r="T70" i="1"/>
  <c r="T53" i="1"/>
  <c r="T28" i="1"/>
  <c r="T27" i="1"/>
  <c r="T37" i="1"/>
  <c r="T7" i="1"/>
  <c r="T23" i="1"/>
  <c r="T13" i="1"/>
  <c r="T11" i="1"/>
  <c r="T8" i="1"/>
  <c r="T60" i="1"/>
  <c r="T72" i="1"/>
  <c r="T51" i="1"/>
  <c r="T57" i="1"/>
  <c r="T20" i="1"/>
  <c r="T9" i="1"/>
  <c r="T36" i="1"/>
  <c r="T68" i="1"/>
  <c r="T67" i="1"/>
  <c r="T62" i="1"/>
  <c r="T42" i="1"/>
  <c r="T32" i="1"/>
  <c r="T16" i="1"/>
  <c r="T55" i="1"/>
  <c r="T22" i="1"/>
  <c r="T59" i="1"/>
  <c r="T35" i="1"/>
  <c r="T10" i="1"/>
  <c r="T39" i="1"/>
  <c r="T43" i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M69" i="1"/>
  <c r="L75" i="1" l="1"/>
  <c r="L76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M70" i="1"/>
  <c r="P49" i="1" l="1"/>
  <c r="L77" i="1"/>
  <c r="M71" i="1"/>
  <c r="P50" i="1" l="1"/>
  <c r="L78" i="1"/>
  <c r="Y43" i="1" s="1"/>
  <c r="Y26" i="1"/>
  <c r="Y18" i="1"/>
  <c r="Y42" i="1"/>
  <c r="Y69" i="1"/>
  <c r="Y61" i="1"/>
  <c r="Y72" i="1"/>
  <c r="Y32" i="1"/>
  <c r="Y33" i="1"/>
  <c r="Y75" i="1"/>
  <c r="M72" i="1"/>
  <c r="Y24" i="1" l="1"/>
  <c r="Y7" i="1"/>
  <c r="Y21" i="1"/>
  <c r="Y19" i="1"/>
  <c r="Y13" i="1"/>
  <c r="Y6" i="1"/>
  <c r="Y22" i="1"/>
  <c r="Y53" i="1"/>
  <c r="Y70" i="1"/>
  <c r="Y73" i="1"/>
  <c r="Y23" i="1"/>
  <c r="Y29" i="1"/>
  <c r="Y57" i="1"/>
  <c r="Y28" i="1"/>
  <c r="Y44" i="1"/>
  <c r="Y37" i="1"/>
  <c r="Y16" i="1"/>
  <c r="Y31" i="1"/>
  <c r="Y50" i="1"/>
  <c r="Y65" i="1"/>
  <c r="Y5" i="1"/>
  <c r="Y58" i="1"/>
  <c r="Y54" i="1"/>
  <c r="Y12" i="1"/>
  <c r="Y39" i="1"/>
  <c r="Y76" i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78" i="1"/>
  <c r="Y2" i="1"/>
  <c r="Y27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P69" i="1" l="1"/>
  <c r="P70" i="1" s="1"/>
  <c r="P71" i="1" s="1"/>
  <c r="P72" i="1" s="1"/>
  <c r="P73" i="1" s="1"/>
  <c r="P74" i="1" s="1"/>
  <c r="P75" i="1" s="1"/>
  <c r="P76" i="1" s="1"/>
  <c r="P77" i="1" s="1"/>
  <c r="P78" i="1" s="1"/>
  <c r="AC44" i="1" s="1"/>
  <c r="AC8" i="1"/>
  <c r="AC27" i="1"/>
  <c r="AC48" i="1"/>
  <c r="AC64" i="1"/>
  <c r="AC46" i="1"/>
  <c r="AC66" i="1"/>
  <c r="AC9" i="1"/>
  <c r="AC2" i="1"/>
  <c r="AC55" i="1"/>
  <c r="AC29" i="1"/>
  <c r="AC39" i="1"/>
  <c r="AC56" i="1"/>
  <c r="AC25" i="1"/>
  <c r="AC58" i="1"/>
  <c r="AC69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42" i="1" l="1"/>
  <c r="AC5" i="1"/>
  <c r="AC61" i="1"/>
  <c r="AC15" i="1"/>
  <c r="AC28" i="1"/>
  <c r="AC24" i="1"/>
  <c r="AC20" i="1"/>
  <c r="AC34" i="1"/>
  <c r="AC50" i="1"/>
  <c r="AC71" i="1"/>
  <c r="AC6" i="1"/>
  <c r="AC52" i="1"/>
  <c r="AC53" i="1"/>
  <c r="AC54" i="1"/>
  <c r="AC18" i="1"/>
  <c r="AC32" i="1"/>
  <c r="AC37" i="1"/>
  <c r="AC59" i="1"/>
  <c r="AC49" i="1"/>
  <c r="AC57" i="1"/>
  <c r="AC68" i="1"/>
  <c r="AC63" i="1"/>
  <c r="AC45" i="1"/>
  <c r="AC17" i="1"/>
  <c r="AC3" i="1"/>
  <c r="AC4" i="1"/>
  <c r="AC31" i="1"/>
  <c r="AC36" i="1"/>
  <c r="AC77" i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<sst xmlns="http://schemas.openxmlformats.org/spreadsheetml/2006/main" count="923" uniqueCount="563">
  <si>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</si>
  <si>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</si>
  <si>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</si>
  <si>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</si>
  <si>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</si>
  <si>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</si>
  <si>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</si>
  <si>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</si>
  <si>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</si>
  <si>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</si>
  <si>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</si>
  <si>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</si>
  <si>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</si>
  <si>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</si>
  <si>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</si>
  <si>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</si>
  <si>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</si>
  <si>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</si>
  <si>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</si>
  <si>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</si>
  <si>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</si>
  <si>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</si>
  <si>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</si>
  <si>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</si>
  <si>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</si>
  <si>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</si>
  <si>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</si>
  <si>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</si>
  <si>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</si>
  <si>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</si>
  <si>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</si>
  <si>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</si>
  <si>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</si>
  <si>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</si>
  <si>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</si>
  <si>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</si>
  <si>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</si>
  <si>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</si>
  <si>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</si>
  <si>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</si>
  <si>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</si>
  <si>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</si>
  <si>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</si>
  <si>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</si>
  <si>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</si>
  <si>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</si>
  <si>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</si>
  <si>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</si>
  <si>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</si>
  <si>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</si>
  <si>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</si>
  <si>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</si>
  <si>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</si>
  <si>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</si>
  <si>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</si>
  <si>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</si>
  <si>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</si>
  <si>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</si>
  <si>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</si>
  <si>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</si>
  <si>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</si>
  <si>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</si>
  <si>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</si>
  <si>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</si>
  <si>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</si>
  <si>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</si>
  <si>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</si>
  <si>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</si>
  <si>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</si>
  <si>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</si>
  <si>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</si>
  <si>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</si>
  <si>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</si>
  <si>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</si>
  <si>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</si>
  <si>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</si>
  <si>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</si>
  <si>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</si>
  <si>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</si>
  <si>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</si>
  <si>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</si>
  <si>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</si>
  <si>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</si>
  <si>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</si>
  <si>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</si>
  <si>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</si>
  <si>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</si>
  <si>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</si>
  <si>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</si>
  <si>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</si>
  <si>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</si>
  <si>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</si>
  <si>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</si>
  <si>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</si>
  <si>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</si>
  <si>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</si>
  <si>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</si>
  <si>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</si>
  <si>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</si>
  <si>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</si>
  <si>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</si>
  <si>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</si>
  <si>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</si>
  <si>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</si>
  <si>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</si>
  <si>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</si>
  <si>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</si>
  <si>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</si>
  <si>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</si>
  <si>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</si>
  <si>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</si>
  <si>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</si>
  <si>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</si>
  <si>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</si>
  <si>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</si>
  <si>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</si>
  <si>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</si>
  <si>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</si>
  <si>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</si>
  <si>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</si>
  <si>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</si>
  <si>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</si>
  <si>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</si>
  <si>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</si>
  <si>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</si>
  <si>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</si>
  <si>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</si>
  <si>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</si>
  <si>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</si>
  <si>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</si>
  <si>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</si>
  <si>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</si>
  <si>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</si>
  <si>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</si>
  <si>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</si>
  <si>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</si>
  <si>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</si>
  <si>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</si>
  <si>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</si>
  <si>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</si>
  <si>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</si>
  <si>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</si>
  <si>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</si>
  <si>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</si>
  <si>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</si>
  <si>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</si>
  <si>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</si>
  <si>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</si>
  <si>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</si>
  <si>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</si>
  <si>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</si>
  <si>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</si>
  <si>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</si>
  <si>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</si>
  <si>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</si>
  <si>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</si>
  <si>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</si>
  <si>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</si>
  <si>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</si>
  <si>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</si>
  <si>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</si>
  <si>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</si>
  <si>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</si>
  <si>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</si>
  <si>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</si>
  <si>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</si>
  <si>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</si>
  <si>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</si>
  <si>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</si>
  <si>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</si>
  <si>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</si>
  <si>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</si>
  <si>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</si>
  <si>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</si>
  <si>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</si>
  <si>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</si>
  <si>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</si>
  <si>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</si>
  <si>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</si>
  <si>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</si>
  <si>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</si>
  <si>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</si>
  <si>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</si>
  <si>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</si>
  <si>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</si>
  <si>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</si>
  <si>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</si>
  <si>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</si>
  <si>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</si>
  <si>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</si>
  <si>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</si>
  <si>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</si>
  <si>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</si>
  <si>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</si>
  <si>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</si>
  <si>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</si>
  <si>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</si>
  <si>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</si>
  <si>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</si>
  <si>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</si>
  <si>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</si>
  <si>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</si>
  <si>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</si>
  <si>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</si>
  <si>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</si>
  <si>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</si>
  <si>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</si>
  <si>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</si>
  <si>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</si>
  <si>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</si>
  <si>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</si>
  <si>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</si>
  <si>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</si>
  <si>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</si>
  <si>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</si>
  <si>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</si>
  <si>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</si>
  <si>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</si>
  <si>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</si>
  <si>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</si>
  <si>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</si>
  <si>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</si>
  <si>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</si>
  <si>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</si>
  <si>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</si>
  <si>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</si>
  <si>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</si>
  <si>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</si>
  <si>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</si>
  <si>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</si>
  <si>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</si>
  <si>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</si>
  <si>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</si>
  <si>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</si>
  <si>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</si>
  <si>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</si>
  <si>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</si>
  <si>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</si>
  <si>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</si>
  <si>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</si>
  <si>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</si>
  <si>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</si>
  <si>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</si>
  <si>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</si>
  <si>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</si>
  <si>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</si>
  <si>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</si>
  <si>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</si>
  <si>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</si>
  <si>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</si>
  <si>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</si>
  <si>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</si>
  <si>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</si>
  <si>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</si>
  <si>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</si>
  <si>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</si>
  <si>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</si>
  <si>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</si>
  <si>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Селезнёва М.В.</t>
  </si>
  <si>
    <t>Баранова В.Б.</t>
  </si>
  <si>
    <t>Билан Н.В.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</si>
  <si>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</si>
  <si>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</si>
  <si>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</si>
  <si>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</si>
  <si>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</si>
  <si>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</si>
  <si>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</si>
  <si>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</si>
  <si>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</si>
  <si>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</si>
  <si>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</si>
  <si>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</si>
  <si>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</si>
  <si>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</si>
  <si>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</si>
  <si>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</si>
  <si>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</si>
  <si>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</si>
  <si>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</si>
  <si>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</si>
  <si>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</si>
  <si>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</si>
  <si>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</si>
  <si>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</si>
  <si>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</si>
  <si>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</si>
  <si>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</si>
  <si>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</si>
  <si>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</si>
  <si>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</si>
  <si>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</si>
  <si>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</si>
  <si>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</si>
  <si>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</si>
  <si>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</si>
  <si>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</si>
  <si>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</si>
  <si>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</si>
  <si>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</si>
  <si>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</si>
  <si>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</si>
  <si>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</si>
  <si>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</si>
  <si>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</si>
  <si>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</si>
  <si>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</si>
  <si>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</si>
  <si>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</si>
  <si>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</si>
  <si>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</si>
  <si>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</si>
  <si>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</si>
  <si>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</si>
  <si>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</si>
  <si>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</si>
  <si>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</si>
  <si>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</si>
  <si>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</si>
  <si>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</si>
  <si>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</si>
  <si>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</si>
  <si>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</si>
  <si>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</si>
  <si>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</si>
  <si>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</si>
  <si>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</si>
  <si>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</si>
  <si>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</si>
  <si>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</si>
  <si>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</si>
  <si>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</si>
  <si>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</si>
  <si>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</si>
  <si>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</si>
  <si>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</si>
  <si>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</si>
  <si>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</si>
  <si>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</si>
  <si>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</si>
  <si>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</si>
  <si>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</si>
  <si>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</si>
  <si>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</si>
  <si>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</si>
  <si>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</si>
  <si>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</si>
  <si>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</si>
  <si>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</si>
  <si>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</si>
  <si>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</si>
  <si>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</si>
  <si>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</si>
  <si>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</si>
  <si>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</si>
  <si>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</si>
  <si>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</si>
  <si>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</si>
  <si>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</si>
  <si>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</si>
  <si>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</si>
  <si>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</si>
  <si>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</si>
  <si>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</si>
  <si>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</si>
  <si>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</si>
  <si>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</si>
  <si>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</si>
  <si>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</si>
  <si>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</si>
  <si>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</si>
  <si>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</si>
  <si>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</si>
  <si>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</si>
  <si>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</si>
  <si>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</si>
  <si>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</si>
  <si>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</si>
  <si>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</si>
  <si>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</si>
  <si>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</si>
  <si>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</si>
  <si>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</si>
  <si>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</si>
  <si>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</si>
  <si>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</si>
  <si>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</si>
  <si>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</si>
  <si>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</si>
  <si>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</si>
  <si>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</si>
  <si>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</si>
  <si>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</si>
  <si>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</si>
  <si>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</si>
  <si>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</si>
  <si>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</si>
  <si>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</si>
  <si>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</si>
  <si>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</si>
  <si>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</si>
  <si>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</si>
  <si>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</si>
  <si>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</si>
  <si>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</si>
  <si>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</si>
  <si>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</si>
  <si>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</si>
  <si>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</si>
  <si>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</si>
  <si>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</si>
  <si>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</si>
  <si>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</si>
  <si>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</si>
  <si>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</si>
  <si>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</si>
  <si>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</si>
  <si>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</si>
  <si>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</si>
  <si>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</si>
  <si>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</si>
  <si>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</si>
  <si>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</si>
  <si>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</si>
  <si>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</si>
  <si>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</si>
  <si>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</si>
  <si>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</si>
  <si>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</si>
  <si>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</si>
  <si>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</si>
  <si>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</si>
  <si>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</si>
  <si>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</si>
  <si>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</si>
  <si>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</si>
  <si>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</si>
  <si>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</si>
  <si>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</si>
  <si>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</si>
  <si>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</si>
  <si>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</si>
  <si>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</si>
  <si>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</si>
  <si>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</si>
  <si>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</si>
  <si>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</si>
  <si>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</si>
  <si>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</si>
  <si>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</si>
  <si>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</si>
  <si>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</si>
  <si>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</si>
  <si>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</si>
  <si>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</si>
  <si>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</si>
  <si>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</si>
  <si>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</si>
  <si>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</si>
  <si>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</si>
  <si>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</si>
  <si>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</si>
  <si>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</si>
  <si>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</si>
  <si>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</si>
  <si>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</si>
  <si>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</si>
  <si>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</si>
  <si>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</si>
  <si>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</si>
  <si>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</si>
  <si>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</si>
  <si>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</si>
  <si>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</si>
  <si>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</si>
  <si>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</si>
  <si>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</si>
  <si>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</si>
  <si>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</si>
  <si>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</si>
  <si>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</si>
  <si>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</si>
  <si>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</si>
  <si>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</si>
  <si>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</si>
  <si>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</si>
  <si>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</si>
  <si>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</si>
  <si>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</si>
  <si>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</si>
  <si>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</si>
  <si>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</si>
  <si>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</si>
  <si>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</si>
  <si>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</si>
  <si>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</si>
  <si>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</si>
  <si>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</si>
  <si>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</si>
  <si>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</si>
  <si>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</si>
  <si>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</si>
  <si>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</si>
  <si>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</si>
  <si>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</si>
  <si>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</si>
  <si>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</si>
  <si>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</si>
  <si>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</si>
  <si>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</si>
  <si>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</si>
  <si>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</si>
  <si>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</si>
  <si>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</si>
  <si>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</si>
  <si>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</si>
  <si>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</si>
  <si>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</si>
  <si>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</si>
  <si>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</si>
  <si>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</si>
  <si>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>DES, Metafor</t>
  </si>
  <si>
    <t>Artimes</t>
  </si>
  <si>
    <t>NC Apollo</t>
  </si>
  <si>
    <t>Калашникова А.Д.</t>
  </si>
  <si>
    <t>BMW</t>
  </si>
  <si>
    <t>Логвина Е.В.</t>
  </si>
  <si>
    <t>Волженцева Ю.В.</t>
  </si>
  <si>
    <t>Крюкова Н.С.</t>
  </si>
  <si>
    <t>М.А. Дибиров</t>
  </si>
  <si>
    <t>О.В. Севринова</t>
  </si>
  <si>
    <t>Рыбаков А.Г.</t>
  </si>
  <si>
    <t>Вишенцев А.А.</t>
  </si>
  <si>
    <t xml:space="preserve">Заведующий отделения: Д.В. Карчевский </t>
  </si>
  <si>
    <t>Протокол</t>
  </si>
  <si>
    <t>врачебной комиссии № _______</t>
  </si>
  <si>
    <t>от</t>
  </si>
  <si>
    <t>Клинический диагноз:</t>
  </si>
  <si>
    <t xml:space="preserve">Основной: </t>
  </si>
  <si>
    <t>Сопутствующий:</t>
  </si>
  <si>
    <t>Председатель ВК</t>
  </si>
  <si>
    <t>Члены ВК: оператор</t>
  </si>
  <si>
    <t>Врач клинический фармаколог</t>
  </si>
  <si>
    <t>Дежурный терапевт</t>
  </si>
  <si>
    <t>Кузьменко Ю.Н.</t>
  </si>
  <si>
    <t>Иванчикова Е.В.</t>
  </si>
  <si>
    <t>Старшая мед.сетра: Н.Б. Шишкина</t>
  </si>
  <si>
    <t>50 ml</t>
  </si>
  <si>
    <t xml:space="preserve">Контроль места пункции, повязка на 6 ч. </t>
  </si>
  <si>
    <t>Правый</t>
  </si>
  <si>
    <r>
      <rPr>
        <b/>
        <sz val="14"/>
        <color theme="1"/>
        <rFont val="Times New Roman"/>
        <family val="1"/>
        <charset val="204"/>
      </rPr>
      <t>Решение ВК:</t>
    </r>
    <r>
      <rPr>
        <sz val="14"/>
        <color theme="1"/>
        <rFont val="Times New Roman"/>
        <family val="1"/>
        <charset val="204"/>
      </rPr>
      <t xml:space="preserve"> с целью оказания неотложной медицинской помощи назначен препарат для внутривенного ведения Эптифибатид (Коромакс) 1 флакон 10 мл – 20 мг.</t>
    </r>
  </si>
  <si>
    <t>Заведующий отделения:</t>
  </si>
  <si>
    <t>Совместно с д/кардиологом: с учетом клинической картины, ЭКГ и данных КАГ рекомендовано ЧКВ ПКА, как ИСА.</t>
  </si>
  <si>
    <t>Коллатеральный кровоток: нет.</t>
  </si>
  <si>
    <t>Магомедов А.А.</t>
  </si>
  <si>
    <t>без стенозов</t>
  </si>
  <si>
    <r>
      <rPr>
        <b/>
        <sz val="14"/>
        <color theme="1"/>
        <rFont val="Times New Roman"/>
        <family val="1"/>
        <charset val="204"/>
      </rPr>
      <t>Рекомендации по лечению:</t>
    </r>
    <r>
      <rPr>
        <sz val="14"/>
        <color theme="1"/>
        <rFont val="Times New Roman"/>
        <family val="1"/>
        <charset val="204"/>
      </rPr>
      <t xml:space="preserve"> дистальная эмболия коронарной артерии, наличие феномена slow-reflow является показанием к интраоперационному ведению блокаторов IIb/IIIa рецепторов тромбоцитов для оказания неотложной медицинской помощи. </t>
    </r>
  </si>
  <si>
    <t xml:space="preserve">Устье ПКА катетеризировано проводниковым катетером Launcher JR 3,5 6Fr. Коронарный проводник Shunmei заведен в дистальный сегмент ПКА. Предилатация значимого стеноза БК Artimes 2,0 - 15 мм давлением 14 атм. В зону остаточного стеноза позиционирован и имплантирован стент DES Resolute Integrity 2,75 - 30 мм давлением 14 атм. Развитие slow-reflow. Начата инфузия эптифибатида согласно протокола ведения. На контрольных съемках стент раскрыт полностью, признаков краевых диссекций, тромбоза, экстравазации контрастного вещества не выявлено, кровоток по ПКА  - 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</si>
  <si>
    <t>8:36</t>
  </si>
  <si>
    <t>неровность контуров просимального сегмента, массивная субокклюзирующая атеросклеротическая бляшка дистального сегмента, кровоток TIMI II.</t>
  </si>
  <si>
    <r>
      <t xml:space="preserve">атеросклероз, неровность контуров просимального и среднего сегментов, кровоток TIMI III. </t>
    </r>
    <r>
      <rPr>
        <b/>
        <sz val="11"/>
        <color theme="1"/>
        <rFont val="Arial Narrow"/>
        <family val="2"/>
        <charset val="204"/>
      </rPr>
      <t>Бассейн ИМА:</t>
    </r>
    <r>
      <rPr>
        <sz val="11"/>
        <color theme="1"/>
        <rFont val="Arial Narrow"/>
        <family val="2"/>
        <charset val="204"/>
      </rPr>
      <t xml:space="preserve"> неровонсть устья, кровоток TIMI III.</t>
    </r>
  </si>
  <si>
    <t>атеросклероз, неровность контуров просимального сегмента, кровоток TIMI III.</t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</si>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</sst>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1"/>
      <color theme="1"/>
      <name val="Arial Narrow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  <xf numFmtId="43" fontId="70" fillId="0" borderId="0" applyFont="0" applyFill="0" applyBorder="0" applyAlignment="0" applyProtection="0"/>
  </cellStyleXfs>
  <cellXfs count="27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12" fillId="0" borderId="0" xfId="0" applyFont="1"/>
    <xf numFmtId="0" fontId="12" fillId="11" borderId="0" xfId="0" applyFont="1" applyFill="1"/>
    <xf numFmtId="0" fontId="12" fillId="14" borderId="0" xfId="0" applyFont="1" applyFill="1"/>
    <xf numFmtId="0" fontId="12" fillId="14" borderId="2" xfId="0" applyFont="1" applyFill="1" applyBorder="1"/>
    <xf numFmtId="0" fontId="71" fillId="14" borderId="0" xfId="0" applyFont="1" applyFill="1"/>
    <xf numFmtId="0" fontId="71" fillId="14" borderId="0" xfId="0" applyFont="1" applyFill="1" applyAlignment="1">
      <alignment horizontal="left"/>
    </xf>
    <xf numFmtId="0" fontId="71" fillId="14" borderId="0" xfId="0" applyFont="1" applyFill="1" applyBorder="1"/>
    <xf numFmtId="0" fontId="71" fillId="14" borderId="2" xfId="0" applyFont="1" applyFill="1" applyBorder="1"/>
    <xf numFmtId="0" fontId="71" fillId="14" borderId="41" xfId="0" applyFont="1" applyFill="1" applyBorder="1"/>
    <xf numFmtId="0" fontId="68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47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54" fillId="0" borderId="5" xfId="0" applyFont="1" applyBorder="1" applyAlignment="1" applyProtection="1">
      <alignment horizontal="justify" vertical="top" wrapText="1"/>
      <protection locked="0"/>
    </xf>
    <xf numFmtId="0" fontId="54" fillId="0" borderId="11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54" fillId="0" borderId="3" xfId="0" applyFont="1" applyBorder="1" applyAlignment="1" applyProtection="1">
      <alignment horizontal="justify" vertical="top" wrapText="1"/>
      <protection locked="0"/>
    </xf>
    <xf numFmtId="0" fontId="54" fillId="0" borderId="9" xfId="0" applyFont="1" applyBorder="1" applyAlignment="1" applyProtection="1">
      <alignment horizontal="justify" vertical="top" wrapText="1"/>
      <protection locked="0"/>
    </xf>
    <xf numFmtId="0" fontId="74" fillId="0" borderId="5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7" fillId="0" borderId="0" xfId="0" applyFont="1" applyAlignment="1">
      <alignment horizontal="justify" vertical="top" wrapText="1"/>
    </xf>
    <xf numFmtId="0" fontId="67" fillId="0" borderId="13" xfId="0" applyFont="1" applyBorder="1" applyAlignment="1">
      <alignment horizontal="justify" vertical="top" wrapText="1"/>
    </xf>
    <xf numFmtId="0" fontId="67" fillId="0" borderId="12" xfId="0" applyFont="1" applyBorder="1" applyAlignment="1">
      <alignment horizontal="justify" vertical="top" wrapText="1"/>
    </xf>
    <xf numFmtId="0" fontId="72" fillId="14" borderId="0" xfId="0" applyFont="1" applyFill="1" applyAlignment="1">
      <alignment horizontal="center"/>
    </xf>
    <xf numFmtId="0" fontId="73" fillId="14" borderId="0" xfId="0" applyFont="1" applyFill="1" applyAlignment="1">
      <alignment horizontal="center"/>
    </xf>
    <xf numFmtId="165" fontId="73" fillId="14" borderId="0" xfId="0" applyNumberFormat="1" applyFont="1" applyFill="1" applyAlignment="1">
      <alignment horizontal="center"/>
    </xf>
    <xf numFmtId="0" fontId="71" fillId="14" borderId="0" xfId="0" applyFont="1" applyFill="1" applyAlignment="1">
      <alignment horizontal="left" vertical="center"/>
    </xf>
    <xf numFmtId="14" fontId="71" fillId="14" borderId="0" xfId="8" applyNumberFormat="1" applyFont="1" applyFill="1" applyAlignment="1">
      <alignment horizontal="left" vertical="center"/>
    </xf>
    <xf numFmtId="0" fontId="71" fillId="14" borderId="0" xfId="8" applyNumberFormat="1" applyFont="1" applyFill="1" applyAlignment="1">
      <alignment horizontal="left" vertical="center"/>
    </xf>
    <xf numFmtId="0" fontId="71" fillId="14" borderId="0" xfId="0" applyFont="1" applyFill="1" applyAlignment="1" applyProtection="1">
      <alignment horizontal="justify" vertical="top" wrapText="1"/>
      <protection locked="0"/>
    </xf>
    <xf numFmtId="0" fontId="71" fillId="14" borderId="0" xfId="0" applyFont="1" applyFill="1" applyAlignment="1">
      <alignment horizontal="left" vertical="center" wrapText="1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  <cellStyle name="Финансовый" xfId="8" builtinId="3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учёта'!$B$17,Расходка[[#This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3" totalsRowShown="0">
  <autoFilter ref="A21:B93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>
      <calculatedColumnFormula>ROW(A2)-1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7" zoomScaleNormal="100" zoomScaleSheetLayoutView="100" zoomScalePageLayoutView="90" workbookViewId="0">
      <selection activeCell="I15" sqref="I15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31" t="s">
        <v>213</v>
      </c>
      <c r="B6" s="232"/>
      <c r="C6" s="232"/>
      <c r="D6" s="232"/>
      <c r="E6" s="232"/>
      <c r="F6" s="232"/>
      <c r="G6" s="232"/>
      <c r="H6" s="23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45833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0.65277777777777779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f>B9+TIME(0,10,0)</f>
        <v>0.65972222222222221</v>
      </c>
      <c r="C10" s="54"/>
      <c r="D10" s="94" t="s">
        <v>173</v>
      </c>
      <c r="E10" s="92"/>
      <c r="F10" s="92"/>
      <c r="G10" s="23" t="s">
        <v>272</v>
      </c>
      <c r="H10" s="25"/>
    </row>
    <row r="11" spans="1:8" ht="17.25" thickTop="1" thickBot="1">
      <c r="A11" s="88" t="s">
        <v>192</v>
      </c>
      <c r="B11" s="202" t="s">
        <v>554</v>
      </c>
      <c r="C11" s="8"/>
      <c r="D11" s="94" t="s">
        <v>170</v>
      </c>
      <c r="E11" s="92"/>
      <c r="F11" s="92"/>
      <c r="G11" s="23" t="s">
        <v>251</v>
      </c>
      <c r="H11" s="25"/>
    </row>
    <row r="12" spans="1:8" ht="16.5" thickTop="1">
      <c r="A12" s="80" t="s">
        <v>8</v>
      </c>
      <c r="B12" s="81">
        <v>29415</v>
      </c>
      <c r="C12" s="11"/>
      <c r="D12" s="94" t="s">
        <v>299</v>
      </c>
      <c r="E12" s="92"/>
      <c r="F12" s="92"/>
      <c r="G12" s="23" t="s">
        <v>527</v>
      </c>
      <c r="H12" s="25"/>
    </row>
    <row r="13" spans="1:8" ht="15.75">
      <c r="A13" s="14" t="s">
        <v>10</v>
      </c>
      <c r="B13" s="29">
        <f>DATEDIF(B12,B8,"y")</f>
        <v>44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17656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391</v>
      </c>
      <c r="H15" s="168" t="s">
        <v>558</v>
      </c>
    </row>
    <row r="16" spans="1:8" ht="15.6" customHeight="1">
      <c r="A16" s="14" t="s">
        <v>106</v>
      </c>
      <c r="B16" s="18" t="s">
        <v>477</v>
      </c>
      <c r="C16"/>
      <c r="D16" s="35"/>
      <c r="E16" s="35"/>
      <c r="F16" s="35"/>
      <c r="G16" s="165" t="s">
        <v>393</v>
      </c>
      <c r="H16" s="163">
        <v>4940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380</v>
      </c>
      <c r="H17" s="167">
        <f>H16*0.0019</f>
        <v>9.3859999999999992</v>
      </c>
    </row>
    <row r="18" spans="1:8" ht="14.45" customHeight="1">
      <c r="A18" s="56" t="s">
        <v>188</v>
      </c>
      <c r="B18" s="86" t="s">
        <v>549</v>
      </c>
      <c r="C18"/>
      <c r="D18" s="27" t="s">
        <v>210</v>
      </c>
      <c r="E18" s="27"/>
      <c r="F18" s="27"/>
      <c r="G18" s="84" t="s">
        <v>189</v>
      </c>
      <c r="H18" s="85" t="s">
        <v>520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34" t="s">
        <v>555</v>
      </c>
      <c r="C20" s="235"/>
      <c r="D20" s="235"/>
      <c r="E20" s="235"/>
      <c r="F20" s="235"/>
      <c r="G20" s="235"/>
      <c r="H20" s="236"/>
    </row>
    <row r="21" spans="1:8" ht="15" customHeight="1">
      <c r="A21" s="57"/>
      <c r="B21" s="237"/>
      <c r="C21" s="237"/>
      <c r="D21" s="237"/>
      <c r="E21" s="237"/>
      <c r="F21" s="237"/>
      <c r="G21" s="237"/>
      <c r="H21" s="238"/>
    </row>
    <row r="22" spans="1:8" ht="15.6" customHeight="1">
      <c r="A22" s="58" t="s">
        <v>268</v>
      </c>
      <c r="B22" s="244" t="s">
        <v>560</v>
      </c>
      <c r="C22" s="239"/>
      <c r="D22" s="239"/>
      <c r="E22" s="239"/>
      <c r="F22" s="239"/>
      <c r="G22" s="239"/>
      <c r="H22" s="240"/>
    </row>
    <row r="23" spans="1:8" ht="14.45" customHeight="1">
      <c r="A23" s="37"/>
      <c r="B23" s="234"/>
      <c r="C23" s="234"/>
      <c r="D23" s="234"/>
      <c r="E23" s="234"/>
      <c r="F23" s="234"/>
      <c r="G23" s="234"/>
      <c r="H23" s="241"/>
    </row>
    <row r="24" spans="1:8" ht="14.45" customHeight="1">
      <c r="A24" s="59"/>
      <c r="B24" s="234"/>
      <c r="C24" s="234"/>
      <c r="D24" s="234"/>
      <c r="E24" s="234"/>
      <c r="F24" s="234"/>
      <c r="G24" s="234"/>
      <c r="H24" s="241"/>
    </row>
    <row r="25" spans="1:8" ht="14.45" customHeight="1">
      <c r="A25" s="37"/>
      <c r="B25" s="234"/>
      <c r="C25" s="234"/>
      <c r="D25" s="234"/>
      <c r="E25" s="234"/>
      <c r="F25" s="234"/>
      <c r="G25" s="234"/>
      <c r="H25" s="241"/>
    </row>
    <row r="26" spans="1:8" ht="14.45" customHeight="1">
      <c r="A26" s="39"/>
      <c r="B26" s="242"/>
      <c r="C26" s="242"/>
      <c r="D26" s="242"/>
      <c r="E26" s="242"/>
      <c r="F26" s="242"/>
      <c r="G26" s="242"/>
      <c r="H26" s="243"/>
    </row>
    <row r="27" spans="1:8" ht="14.45" customHeight="1">
      <c r="A27" s="58" t="s">
        <v>269</v>
      </c>
      <c r="B27" s="244" t="s">
        <v>561</v>
      </c>
      <c r="C27" s="239"/>
      <c r="D27" s="239"/>
      <c r="E27" s="239"/>
      <c r="F27" s="239"/>
      <c r="G27" s="239"/>
      <c r="H27" s="240"/>
    </row>
    <row r="28" spans="1:8" ht="15.6" customHeight="1">
      <c r="A28" s="37"/>
      <c r="B28" s="234"/>
      <c r="C28" s="234"/>
      <c r="D28" s="234"/>
      <c r="E28" s="234"/>
      <c r="F28" s="234"/>
      <c r="G28" s="234"/>
      <c r="H28" s="241"/>
    </row>
    <row r="29" spans="1:8" ht="14.45" customHeight="1">
      <c r="A29" s="37"/>
      <c r="B29" s="234"/>
      <c r="C29" s="234"/>
      <c r="D29" s="234"/>
      <c r="E29" s="234"/>
      <c r="F29" s="234"/>
      <c r="G29" s="234"/>
      <c r="H29" s="241"/>
    </row>
    <row r="30" spans="1:8" ht="14.45" customHeight="1">
      <c r="A30" s="31"/>
      <c r="B30" s="234"/>
      <c r="C30" s="234"/>
      <c r="D30" s="234"/>
      <c r="E30" s="234"/>
      <c r="F30" s="234"/>
      <c r="G30" s="234"/>
      <c r="H30" s="241"/>
    </row>
    <row r="31" spans="1:8" ht="14.45" customHeight="1">
      <c r="A31" s="32"/>
      <c r="B31" s="242"/>
      <c r="C31" s="242"/>
      <c r="D31" s="242"/>
      <c r="E31" s="242"/>
      <c r="F31" s="242"/>
      <c r="G31" s="242"/>
      <c r="H31" s="243"/>
    </row>
    <row r="32" spans="1:8" ht="14.45" customHeight="1">
      <c r="A32" s="58" t="s">
        <v>270</v>
      </c>
      <c r="B32" s="244" t="s">
        <v>559</v>
      </c>
      <c r="C32" s="239"/>
      <c r="D32" s="239"/>
      <c r="E32" s="239"/>
      <c r="F32" s="239"/>
      <c r="G32" s="239"/>
      <c r="H32" s="240"/>
    </row>
    <row r="33" spans="1:8" ht="14.45" customHeight="1">
      <c r="A33" s="37"/>
      <c r="B33" s="234"/>
      <c r="C33" s="234"/>
      <c r="D33" s="234"/>
      <c r="E33" s="234"/>
      <c r="F33" s="234"/>
      <c r="G33" s="234"/>
      <c r="H33" s="241"/>
    </row>
    <row r="34" spans="1:8" ht="15.6" customHeight="1">
      <c r="A34" s="37"/>
      <c r="B34" s="234"/>
      <c r="C34" s="234"/>
      <c r="D34" s="234"/>
      <c r="E34" s="234"/>
      <c r="F34" s="234"/>
      <c r="G34" s="234"/>
      <c r="H34" s="241"/>
    </row>
    <row r="35" spans="1:8" ht="14.45" customHeight="1">
      <c r="A35" s="37"/>
      <c r="B35" s="234"/>
      <c r="C35" s="234"/>
      <c r="D35" s="234"/>
      <c r="E35" s="234"/>
      <c r="F35" s="234"/>
      <c r="G35" s="234"/>
      <c r="H35" s="241"/>
    </row>
    <row r="36" spans="1:8" ht="15.6" customHeight="1">
      <c r="A36" s="37"/>
      <c r="B36" s="242"/>
      <c r="C36" s="242"/>
      <c r="D36" s="242"/>
      <c r="E36" s="242"/>
      <c r="F36" s="242"/>
      <c r="G36" s="242"/>
      <c r="H36" s="243"/>
    </row>
    <row r="37" spans="1:8" ht="14.45" customHeight="1">
      <c r="A37" s="37"/>
      <c r="B37"/>
      <c r="C37"/>
      <c r="D37" s="227" t="str">
        <f>IF($A$6=Вмешательства!$D$3,Вмешательства!$F$18,"")</f>
        <v/>
      </c>
      <c r="E37" s="227"/>
      <c r="F37" s="118"/>
      <c r="G37" s="118"/>
      <c r="H37" s="122"/>
    </row>
    <row r="38" spans="1:8" ht="14.45" customHeight="1">
      <c r="A38" s="37"/>
      <c r="B38"/>
      <c r="C38" s="123"/>
      <c r="D38" s="228" t="s">
        <v>553</v>
      </c>
      <c r="E38" s="229"/>
      <c r="F38" s="229"/>
      <c r="G38" s="229"/>
      <c r="H38" s="230"/>
    </row>
    <row r="39" spans="1:8" ht="14.45" customHeight="1">
      <c r="A39" s="34"/>
      <c r="B39" s="118"/>
      <c r="C39" s="123"/>
      <c r="D39" s="229"/>
      <c r="E39" s="229"/>
      <c r="F39" s="229"/>
      <c r="G39" s="229"/>
      <c r="H39" s="230"/>
    </row>
    <row r="40" spans="1:8" ht="14.45" customHeight="1">
      <c r="A40" s="34"/>
      <c r="B40" s="118"/>
      <c r="C40" s="123"/>
      <c r="D40" s="229"/>
      <c r="E40" s="229"/>
      <c r="F40" s="229"/>
      <c r="G40" s="229"/>
      <c r="H40" s="230"/>
    </row>
    <row r="41" spans="1:8" ht="14.45" customHeight="1">
      <c r="A41" s="34"/>
      <c r="B41" s="118"/>
      <c r="C41" s="123"/>
      <c r="D41" s="229"/>
      <c r="E41" s="229"/>
      <c r="F41" s="229"/>
      <c r="G41" s="229"/>
      <c r="H41" s="23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24" t="s">
        <v>552</v>
      </c>
      <c r="E43" s="225"/>
      <c r="F43" s="225"/>
      <c r="G43" s="225"/>
      <c r="H43" s="226"/>
    </row>
    <row r="44" spans="1:8" ht="14.45" customHeight="1">
      <c r="A44" s="34"/>
      <c r="B44" s="118"/>
      <c r="C44" s="125"/>
      <c r="D44" s="225"/>
      <c r="E44" s="225"/>
      <c r="F44" s="225"/>
      <c r="G44" s="225"/>
      <c r="H44" s="226"/>
    </row>
    <row r="45" spans="1:8" ht="14.45" customHeight="1">
      <c r="A45" s="34"/>
      <c r="B45" s="118"/>
      <c r="C45" s="125"/>
      <c r="D45" s="225"/>
      <c r="E45" s="225"/>
      <c r="F45" s="225"/>
      <c r="G45" s="225"/>
      <c r="H45" s="226"/>
    </row>
    <row r="46" spans="1:8">
      <c r="A46" s="34"/>
      <c r="B46" s="118"/>
      <c r="C46" s="125"/>
      <c r="D46" s="225"/>
      <c r="E46" s="225"/>
      <c r="F46" s="225"/>
      <c r="G46" s="225"/>
      <c r="H46" s="226"/>
    </row>
    <row r="47" spans="1:8">
      <c r="A47" s="37"/>
      <c r="B47"/>
      <c r="C47" s="125"/>
      <c r="D47" s="225"/>
      <c r="E47" s="225"/>
      <c r="F47" s="225"/>
      <c r="G47" s="225"/>
      <c r="H47" s="226"/>
    </row>
    <row r="48" spans="1:8">
      <c r="A48" s="37"/>
      <c r="B48"/>
      <c r="C48" s="125"/>
      <c r="D48" s="225"/>
      <c r="E48" s="225"/>
      <c r="F48" s="225"/>
      <c r="G48" s="225"/>
      <c r="H48" s="226"/>
    </row>
    <row r="49" spans="1:13">
      <c r="A49" s="37"/>
      <c r="B49" s="204"/>
      <c r="C49" s="205"/>
      <c r="D49" s="225"/>
      <c r="E49" s="225"/>
      <c r="F49" s="225"/>
      <c r="G49" s="225"/>
      <c r="H49" s="226"/>
    </row>
    <row r="50" spans="1:13">
      <c r="A50" s="37"/>
      <c r="B50"/>
      <c r="C50"/>
      <c r="D50" s="225"/>
      <c r="E50" s="225"/>
      <c r="F50" s="225"/>
      <c r="G50" s="225"/>
      <c r="H50" s="226"/>
      <c r="M50" t="s">
        <v>211</v>
      </c>
    </row>
    <row r="51" spans="1:13">
      <c r="A51" s="61" t="s">
        <v>204</v>
      </c>
      <c r="B51" s="62" t="s">
        <v>547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518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I29" sqref="I29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55" t="s">
        <v>242</v>
      </c>
      <c r="B6" s="256"/>
      <c r="C6" s="256"/>
      <c r="D6" s="256"/>
      <c r="E6" s="256"/>
      <c r="F6" s="256"/>
      <c r="G6" s="256"/>
      <c r="H6" s="257"/>
    </row>
    <row r="7" spans="1:8" ht="21.6" customHeight="1">
      <c r="A7" s="255"/>
      <c r="B7" s="256"/>
      <c r="C7" s="256"/>
      <c r="D7" s="256"/>
      <c r="E7" s="256"/>
      <c r="F7" s="256"/>
      <c r="G7" s="256"/>
      <c r="H7" s="25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54" t="s">
        <v>216</v>
      </c>
      <c r="D8" s="254"/>
      <c r="E8" s="254"/>
      <c r="F8" s="189">
        <v>1</v>
      </c>
      <c r="G8" s="117" t="s">
        <v>304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54"/>
      <c r="D9" s="254"/>
      <c r="E9" s="25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58"/>
      <c r="D10" s="258"/>
      <c r="E10" s="25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45833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0.65972222222222221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0.69444444444444453</v>
      </c>
      <c r="C14" s="11"/>
      <c r="D14" s="94" t="s">
        <v>173</v>
      </c>
      <c r="E14" s="92"/>
      <c r="F14" s="92"/>
      <c r="G14" s="79" t="str">
        <f>КАГ!G10</f>
        <v>Синицина И.А.</v>
      </c>
      <c r="H14" s="90" t="str">
        <f>IF(ISBLANK(КАГ!H10),"",КАГ!H10)</f>
        <v/>
      </c>
    </row>
    <row r="15" spans="1:8" ht="16.5" thickBot="1">
      <c r="A15" s="162" t="s">
        <v>379</v>
      </c>
      <c r="B15" s="187">
        <f>IF(B14&lt;B13,B14+1,B14)-B13</f>
        <v>3.4722222222222321E-2</v>
      </c>
      <c r="C15"/>
      <c r="D15" s="94" t="s">
        <v>170</v>
      </c>
      <c r="E15" s="92"/>
      <c r="F15" s="92"/>
      <c r="G15" s="79" t="str">
        <f>КАГ!G11</f>
        <v>Чесноков С.Л.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Магомедов А.А.</v>
      </c>
      <c r="C16" s="199">
        <f>LEN(КАГ!B11)</f>
        <v>14</v>
      </c>
      <c r="D16" s="94" t="s">
        <v>299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29415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44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17656</v>
      </c>
      <c r="C19" s="68"/>
      <c r="D19" s="68"/>
      <c r="E19" s="68"/>
      <c r="F19" s="68"/>
      <c r="G19" s="164" t="s">
        <v>391</v>
      </c>
      <c r="H19" s="179" t="str">
        <f>КАГ!H15</f>
        <v>8:36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393</v>
      </c>
      <c r="H20" s="180">
        <f>КАГ!H16</f>
        <v>4940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380</v>
      </c>
      <c r="H21" s="167">
        <f>КАГ!H17</f>
        <v>9.3859999999999992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/>
    </row>
    <row r="23" spans="1:8" ht="14.45" customHeight="1">
      <c r="A23" s="64" t="s">
        <v>383</v>
      </c>
      <c r="B23" s="171" t="s">
        <v>382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381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62" t="s">
        <v>557</v>
      </c>
      <c r="B25" s="263"/>
      <c r="C25" s="263"/>
      <c r="D25" s="263"/>
      <c r="E25" s="263"/>
      <c r="F25" s="263"/>
      <c r="G25" s="263"/>
      <c r="H25" s="264"/>
    </row>
    <row r="26" spans="1:8" ht="14.45" customHeight="1">
      <c r="A26" s="265"/>
      <c r="B26" s="263"/>
      <c r="C26" s="263"/>
      <c r="D26" s="263"/>
      <c r="E26" s="263"/>
      <c r="F26" s="263"/>
      <c r="G26" s="263"/>
      <c r="H26" s="264"/>
    </row>
    <row r="27" spans="1:8" ht="14.45" customHeight="1">
      <c r="A27" s="265"/>
      <c r="B27" s="263"/>
      <c r="C27" s="263"/>
      <c r="D27" s="263"/>
      <c r="E27" s="263"/>
      <c r="F27" s="263"/>
      <c r="G27" s="263"/>
      <c r="H27" s="264"/>
    </row>
    <row r="28" spans="1:8" ht="14.45" customHeight="1">
      <c r="A28" s="265"/>
      <c r="B28" s="263"/>
      <c r="C28" s="263"/>
      <c r="D28" s="263"/>
      <c r="E28" s="263"/>
      <c r="F28" s="263"/>
      <c r="G28" s="263"/>
      <c r="H28" s="264"/>
    </row>
    <row r="29" spans="1:8" ht="14.45" customHeight="1">
      <c r="A29" s="265"/>
      <c r="B29" s="263"/>
      <c r="C29" s="263"/>
      <c r="D29" s="263"/>
      <c r="E29" s="263"/>
      <c r="F29" s="263"/>
      <c r="G29" s="263"/>
      <c r="H29" s="264"/>
    </row>
    <row r="30" spans="1:8" ht="14.45" customHeight="1">
      <c r="A30" s="265"/>
      <c r="B30" s="263"/>
      <c r="C30" s="263"/>
      <c r="D30" s="263"/>
      <c r="E30" s="263"/>
      <c r="F30" s="263"/>
      <c r="G30" s="263"/>
      <c r="H30" s="264"/>
    </row>
    <row r="31" spans="1:8" ht="14.45" customHeight="1">
      <c r="A31" s="265"/>
      <c r="B31" s="263"/>
      <c r="C31" s="263"/>
      <c r="D31" s="263"/>
      <c r="E31" s="263"/>
      <c r="F31" s="263"/>
      <c r="G31" s="263"/>
      <c r="H31" s="264"/>
    </row>
    <row r="32" spans="1:8" ht="14.45" customHeight="1">
      <c r="A32" s="265"/>
      <c r="B32" s="263"/>
      <c r="C32" s="263"/>
      <c r="D32" s="263"/>
      <c r="E32" s="263"/>
      <c r="F32" s="263"/>
      <c r="G32" s="263"/>
      <c r="H32" s="264"/>
    </row>
    <row r="33" spans="1:12" ht="14.45" customHeight="1">
      <c r="A33" s="265"/>
      <c r="B33" s="263"/>
      <c r="C33" s="263"/>
      <c r="D33" s="263"/>
      <c r="E33" s="263"/>
      <c r="F33" s="263"/>
      <c r="G33" s="263"/>
      <c r="H33" s="264"/>
    </row>
    <row r="34" spans="1:12" ht="14.45" customHeight="1">
      <c r="A34" s="265"/>
      <c r="B34" s="263"/>
      <c r="C34" s="263"/>
      <c r="D34" s="263"/>
      <c r="E34" s="263"/>
      <c r="F34" s="263"/>
      <c r="G34" s="263"/>
      <c r="H34" s="264"/>
    </row>
    <row r="35" spans="1:12" ht="14.45" customHeight="1">
      <c r="A35" s="265"/>
      <c r="B35" s="263"/>
      <c r="C35" s="263"/>
      <c r="D35" s="263"/>
      <c r="E35" s="263"/>
      <c r="F35" s="263"/>
      <c r="G35" s="263"/>
      <c r="H35" s="264"/>
    </row>
    <row r="36" spans="1:12" ht="14.45" customHeight="1">
      <c r="A36" s="265"/>
      <c r="B36" s="263"/>
      <c r="C36" s="263"/>
      <c r="D36" s="263"/>
      <c r="E36" s="263"/>
      <c r="F36" s="263"/>
      <c r="G36" s="263"/>
      <c r="H36" s="264"/>
    </row>
    <row r="37" spans="1:12" ht="14.45" customHeight="1">
      <c r="A37" s="265"/>
      <c r="B37" s="263"/>
      <c r="C37" s="263"/>
      <c r="D37" s="263"/>
      <c r="E37" s="263"/>
      <c r="F37" s="263"/>
      <c r="G37" s="263"/>
      <c r="H37" s="264"/>
    </row>
    <row r="38" spans="1:12" ht="14.45" customHeight="1">
      <c r="A38" s="176" t="s">
        <v>387</v>
      </c>
      <c r="B38" s="174"/>
      <c r="C38" s="175"/>
      <c r="D38" s="175"/>
      <c r="E38" s="185" t="str">
        <f>IF(A6=Вмешательства!D4,Вмешательства!V16,IF(ЧКВ!A6=Вмешательства!D5,Вмешательства!V16,"-----"))</f>
        <v>СТЕНТ/Ы</v>
      </c>
      <c r="F38" s="175"/>
      <c r="G38" s="178"/>
      <c r="H38"/>
    </row>
    <row r="39" spans="1:12" ht="15.75">
      <c r="A39" s="172" t="s">
        <v>384</v>
      </c>
      <c r="B39" s="69" t="s">
        <v>386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385</v>
      </c>
      <c r="B40" s="177" t="s">
        <v>513</v>
      </c>
      <c r="C40" s="119"/>
      <c r="D40" s="259" t="s">
        <v>548</v>
      </c>
      <c r="E40" s="260"/>
      <c r="F40" s="260"/>
      <c r="G40" s="260"/>
      <c r="H40" s="261"/>
    </row>
    <row r="41" spans="1:12" ht="14.45" customHeight="1">
      <c r="A41" s="31"/>
      <c r="B41" s="27"/>
      <c r="C41" s="119"/>
      <c r="D41" s="260"/>
      <c r="E41" s="260"/>
      <c r="F41" s="260"/>
      <c r="G41" s="260"/>
      <c r="H41" s="261"/>
    </row>
    <row r="42" spans="1:12" ht="14.45" customHeight="1">
      <c r="A42" s="31"/>
      <c r="B42" s="27"/>
      <c r="C42" s="119"/>
      <c r="D42" s="260"/>
      <c r="E42" s="260"/>
      <c r="F42" s="260"/>
      <c r="G42" s="260"/>
      <c r="H42" s="261"/>
    </row>
    <row r="43" spans="1:12" ht="14.45" customHeight="1">
      <c r="A43" s="31"/>
      <c r="B43" s="27"/>
      <c r="C43" s="119"/>
      <c r="D43" s="260"/>
      <c r="E43" s="260"/>
      <c r="F43" s="260"/>
      <c r="G43" s="260"/>
      <c r="H43" s="261"/>
    </row>
    <row r="44" spans="1:12" ht="14.45" customHeight="1">
      <c r="A44" s="31"/>
      <c r="B44" s="27"/>
      <c r="C44" s="119"/>
      <c r="D44" s="260"/>
      <c r="E44" s="260"/>
      <c r="F44" s="260"/>
      <c r="G44" s="260"/>
      <c r="H44" s="261"/>
      <c r="L44" s="159"/>
    </row>
    <row r="45" spans="1:12" ht="14.45" customHeight="1">
      <c r="A45" s="31"/>
      <c r="B45" s="27"/>
      <c r="C45" s="119"/>
      <c r="D45" s="260"/>
      <c r="E45" s="260"/>
      <c r="F45" s="260"/>
      <c r="G45" s="260"/>
      <c r="H45" s="261"/>
    </row>
    <row r="46" spans="1:12" ht="14.45" customHeight="1">
      <c r="A46" s="31"/>
      <c r="B46" s="27"/>
      <c r="C46" s="119"/>
      <c r="D46" s="260"/>
      <c r="E46" s="260"/>
      <c r="F46" s="260"/>
      <c r="G46" s="260"/>
      <c r="H46" s="261"/>
    </row>
    <row r="47" spans="1:12" ht="14.45" customHeight="1">
      <c r="A47" s="37"/>
      <c r="B47"/>
      <c r="C47" s="119"/>
      <c r="D47" s="260"/>
      <c r="E47" s="260"/>
      <c r="F47" s="260"/>
      <c r="G47" s="260"/>
      <c r="H47" s="261"/>
    </row>
    <row r="48" spans="1:12" ht="14.45" customHeight="1">
      <c r="A48" s="37"/>
      <c r="B48"/>
      <c r="C48" s="119"/>
      <c r="D48" s="260"/>
      <c r="E48" s="260"/>
      <c r="F48" s="260"/>
      <c r="G48" s="260"/>
      <c r="H48" s="261"/>
    </row>
    <row r="49" spans="1:8" ht="14.45" customHeight="1">
      <c r="A49" s="37"/>
      <c r="B49"/>
      <c r="C49" s="119"/>
      <c r="D49" s="260"/>
      <c r="E49" s="260"/>
      <c r="F49" s="260"/>
      <c r="G49" s="260"/>
      <c r="H49" s="261"/>
    </row>
    <row r="50" spans="1:8">
      <c r="A50" s="61" t="s">
        <v>204</v>
      </c>
      <c r="B50" s="62" t="s">
        <v>562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519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45" t="s">
        <v>364</v>
      </c>
      <c r="B52" s="246"/>
      <c r="C52" s="246"/>
      <c r="D52" s="246"/>
      <c r="E52" s="246"/>
      <c r="F52" s="247"/>
      <c r="G52"/>
      <c r="H52" s="38"/>
    </row>
    <row r="53" spans="1:8" ht="15" customHeight="1">
      <c r="A53" s="248"/>
      <c r="B53" s="249"/>
      <c r="C53" s="249"/>
      <c r="D53" s="249"/>
      <c r="E53" s="249"/>
      <c r="F53" s="250"/>
      <c r="G53" s="73" t="str">
        <f>IF(ISBLANK(H13),"",H13)</f>
        <v/>
      </c>
      <c r="H53" s="63"/>
    </row>
    <row r="54" spans="1:8">
      <c r="A54" s="251"/>
      <c r="B54" s="252"/>
      <c r="C54" s="252"/>
      <c r="D54" s="252"/>
      <c r="E54" s="252"/>
      <c r="F54" s="25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без стенозов
Бассейн ПНА:   атеросклероз, неровность контуров просимального и среднего сегментов, кровоток TIMI III. Бассейн ИМА: неровонсть устья, кровоток TIMI III.
Бассейн  ОА:   атеросклероз, неровность контуров просимального сегмента, кровоток TIMI III.
Бассейн ПКА:   неровность контуров просимального сегмента, массивная субокклюзирующая атеросклеротическая бляшка дистального сегмента, кровоток TIMI II.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18" sqref="C18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45833</v>
      </c>
      <c r="C2" s="151" t="str">
        <f>IF(ЧКВ!A6=Вмешательства!D4,Вмешательства!F20,IF(ЧКВ!A6=Вмешательства!D36,Вмешательства!F20,Вмешательства!F22))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Магомедов А.А.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29415</v>
      </c>
    </row>
    <row r="6" spans="1:4" ht="28.5" customHeight="1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44</v>
      </c>
    </row>
    <row r="7" spans="1:4">
      <c r="A7" s="37"/>
      <c r="B7"/>
      <c r="C7" s="100" t="s">
        <v>12</v>
      </c>
      <c r="D7" s="102">
        <f>КАГ!$B$14</f>
        <v>17656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45833</v>
      </c>
    </row>
    <row r="11" spans="1:4">
      <c r="A11" s="26"/>
      <c r="B11" s="111"/>
      <c r="C11" s="111"/>
      <c r="D11" s="112"/>
    </row>
    <row r="12" spans="1:4" ht="18.75" customHeight="1">
      <c r="A12" s="135" t="s">
        <v>330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301</v>
      </c>
      <c r="C13" s="186"/>
      <c r="D13" s="139">
        <v>1</v>
      </c>
    </row>
    <row r="14" spans="1:4" ht="27.75" customHeight="1">
      <c r="A14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324</v>
      </c>
      <c r="C14" s="134"/>
      <c r="D14" s="139">
        <v>1</v>
      </c>
    </row>
    <row r="15" spans="1:4" ht="27.75" customHeight="1">
      <c r="A15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510</v>
      </c>
      <c r="C15" s="134">
        <v>0.7</v>
      </c>
      <c r="D15" s="139">
        <v>1</v>
      </c>
    </row>
    <row r="16" spans="1:4" ht="27.75" customHeight="1">
      <c r="A16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522</v>
      </c>
      <c r="C16" s="134" t="s">
        <v>398</v>
      </c>
      <c r="D16" s="139">
        <v>1</v>
      </c>
    </row>
    <row r="17" spans="1:4" ht="27.75" customHeight="1">
      <c r="A17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3" t="s">
        <v>318</v>
      </c>
      <c r="C17" s="134" t="s">
        <v>445</v>
      </c>
      <c r="D17" s="139">
        <v>1</v>
      </c>
    </row>
    <row r="18" spans="1:4" ht="27.75" customHeight="1">
      <c r="A18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/>
      <c r="C18" s="134"/>
      <c r="D18" s="139"/>
    </row>
    <row r="19" spans="1:4" ht="27.75" customHeight="1">
      <c r="A19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81"/>
      <c r="D20" s="139"/>
    </row>
    <row r="21" spans="1:4" ht="27.75" customHeight="1">
      <c r="A21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533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546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6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: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K54"/>
  <sheetViews>
    <sheetView showGridLines="0" topLeftCell="A4" zoomScaleNormal="100" workbookViewId="0">
      <selection activeCell="A27" sqref="A27"/>
    </sheetView>
  </sheetViews>
  <sheetFormatPr defaultColWidth="0" defaultRowHeight="15" zeroHeight="1"/>
  <cols>
    <col min="1" max="1" width="12.7109375" style="215" customWidth="1"/>
    <col min="2" max="8" width="9.140625" style="215" customWidth="1"/>
    <col min="9" max="9" width="12.7109375" style="215" customWidth="1"/>
    <col min="10" max="11" width="9.140625" style="215" customWidth="1"/>
    <col min="12" max="16384" width="9.140625" style="215" hidden="1"/>
  </cols>
  <sheetData>
    <row r="1" spans="1:11">
      <c r="A1" s="217"/>
      <c r="B1" s="217"/>
      <c r="C1" s="217"/>
      <c r="D1" s="217"/>
      <c r="E1" s="217"/>
      <c r="F1" s="217"/>
      <c r="G1" s="217"/>
      <c r="H1" s="217"/>
      <c r="I1" s="217"/>
      <c r="J1" s="216"/>
      <c r="K1" s="216"/>
    </row>
    <row r="2" spans="1:11">
      <c r="A2" s="217"/>
      <c r="B2" s="217"/>
      <c r="C2" s="217"/>
      <c r="D2" s="266" t="s">
        <v>534</v>
      </c>
      <c r="E2" s="266"/>
      <c r="F2" s="266"/>
      <c r="G2" s="217"/>
      <c r="H2" s="217"/>
      <c r="I2" s="217"/>
      <c r="J2" s="216"/>
      <c r="K2" s="216"/>
    </row>
    <row r="3" spans="1:11">
      <c r="A3" s="217"/>
      <c r="B3" s="217"/>
      <c r="C3" s="217"/>
      <c r="D3" s="266"/>
      <c r="E3" s="266"/>
      <c r="F3" s="266"/>
      <c r="G3" s="217"/>
      <c r="H3" s="217"/>
      <c r="I3" s="217"/>
      <c r="J3" s="216"/>
      <c r="K3" s="216"/>
    </row>
    <row r="4" spans="1:11">
      <c r="A4" s="217"/>
      <c r="B4" s="217"/>
      <c r="C4" s="267" t="s">
        <v>535</v>
      </c>
      <c r="D4" s="267"/>
      <c r="E4" s="267"/>
      <c r="F4" s="267"/>
      <c r="G4" s="267"/>
      <c r="H4" s="217"/>
      <c r="I4" s="217"/>
      <c r="J4" s="216"/>
      <c r="K4" s="216"/>
    </row>
    <row r="5" spans="1:11">
      <c r="A5" s="217"/>
      <c r="B5" s="217"/>
      <c r="C5" s="267"/>
      <c r="D5" s="267"/>
      <c r="E5" s="267"/>
      <c r="F5" s="267"/>
      <c r="G5" s="267"/>
      <c r="H5" s="217"/>
      <c r="I5" s="217"/>
      <c r="J5" s="216"/>
      <c r="K5" s="216"/>
    </row>
    <row r="6" spans="1:11" ht="15" customHeight="1">
      <c r="A6" s="217"/>
      <c r="B6" s="217"/>
      <c r="C6" s="267" t="s">
        <v>536</v>
      </c>
      <c r="D6" s="268">
        <f>КАГ!$B$8</f>
        <v>45833</v>
      </c>
      <c r="E6" s="268"/>
      <c r="F6" s="268"/>
      <c r="G6" s="268"/>
      <c r="H6" s="217"/>
      <c r="I6" s="217"/>
      <c r="J6" s="216"/>
      <c r="K6" s="216"/>
    </row>
    <row r="7" spans="1:11" ht="15" customHeight="1">
      <c r="A7" s="217"/>
      <c r="B7" s="217"/>
      <c r="C7" s="267"/>
      <c r="D7" s="268"/>
      <c r="E7" s="268"/>
      <c r="F7" s="268"/>
      <c r="G7" s="268"/>
      <c r="H7" s="217"/>
      <c r="I7" s="217"/>
      <c r="J7" s="216"/>
      <c r="K7" s="216"/>
    </row>
    <row r="8" spans="1:11">
      <c r="A8" s="217"/>
      <c r="B8" s="217"/>
      <c r="C8" s="217"/>
      <c r="D8" s="217"/>
      <c r="E8" s="217"/>
      <c r="F8" s="217"/>
      <c r="G8" s="217"/>
      <c r="H8" s="217"/>
      <c r="I8" s="217"/>
      <c r="J8" s="216"/>
      <c r="K8" s="216"/>
    </row>
    <row r="9" spans="1:11" ht="18.75">
      <c r="A9" s="219" t="s">
        <v>192</v>
      </c>
      <c r="B9" s="219"/>
      <c r="C9" s="219" t="str">
        <f>КАГ!B11</f>
        <v>Магомедов А.А.</v>
      </c>
      <c r="D9" s="219"/>
      <c r="E9" s="219"/>
      <c r="F9" s="219"/>
      <c r="G9" s="219"/>
      <c r="H9" s="219"/>
      <c r="I9" s="219"/>
      <c r="J9" s="216"/>
      <c r="K9" s="216"/>
    </row>
    <row r="10" spans="1:11" ht="18.75">
      <c r="A10" s="219" t="s">
        <v>8</v>
      </c>
      <c r="B10" s="219"/>
      <c r="C10" s="270">
        <f>КАГ!B12</f>
        <v>29415</v>
      </c>
      <c r="D10" s="271"/>
      <c r="E10" s="219"/>
      <c r="F10" s="219"/>
      <c r="G10" s="219"/>
      <c r="H10" s="219"/>
      <c r="I10" s="219"/>
      <c r="J10" s="216"/>
      <c r="K10" s="216"/>
    </row>
    <row r="11" spans="1:11" ht="18.75">
      <c r="A11" s="219" t="s">
        <v>12</v>
      </c>
      <c r="B11" s="219"/>
      <c r="C11" s="220">
        <f>КАГ!B14</f>
        <v>17656</v>
      </c>
      <c r="D11" s="219"/>
      <c r="E11" s="219"/>
      <c r="F11" s="219"/>
      <c r="G11" s="219"/>
      <c r="H11" s="219"/>
      <c r="I11" s="219"/>
      <c r="J11" s="216"/>
      <c r="K11" s="216"/>
    </row>
    <row r="12" spans="1:11" ht="18.75">
      <c r="A12" s="219" t="s">
        <v>133</v>
      </c>
      <c r="B12" s="219"/>
      <c r="C12" s="220">
        <f>КАГ!B15</f>
        <v>35</v>
      </c>
      <c r="D12" s="219"/>
      <c r="E12" s="219"/>
      <c r="F12" s="219"/>
      <c r="G12" s="219"/>
      <c r="H12" s="219"/>
      <c r="I12" s="219"/>
      <c r="J12" s="216"/>
      <c r="K12" s="216"/>
    </row>
    <row r="13" spans="1:11" ht="18.75">
      <c r="A13" s="219"/>
      <c r="B13" s="219"/>
      <c r="C13" s="219"/>
      <c r="D13" s="219"/>
      <c r="E13" s="219"/>
      <c r="F13" s="219"/>
      <c r="G13" s="219"/>
      <c r="H13" s="219"/>
      <c r="I13" s="219"/>
      <c r="J13" s="216"/>
      <c r="K13" s="216"/>
    </row>
    <row r="14" spans="1:11" ht="18.75">
      <c r="A14" s="219" t="s">
        <v>537</v>
      </c>
      <c r="B14" s="219"/>
      <c r="C14" s="219"/>
      <c r="D14" s="219"/>
      <c r="E14" s="219"/>
      <c r="F14" s="219"/>
      <c r="G14" s="219"/>
      <c r="H14" s="219"/>
      <c r="I14" s="219"/>
      <c r="J14" s="216"/>
      <c r="K14" s="216"/>
    </row>
    <row r="15" spans="1:11" ht="18.75">
      <c r="A15" s="219" t="s">
        <v>538</v>
      </c>
      <c r="B15" s="219"/>
      <c r="C15" s="219" t="str">
        <f>КАГ!B16</f>
        <v>ОКС с ↑ ST</v>
      </c>
      <c r="D15" s="219"/>
      <c r="E15" s="219"/>
      <c r="F15" s="219"/>
      <c r="G15" s="219"/>
      <c r="H15" s="219"/>
      <c r="I15" s="219"/>
      <c r="J15" s="216"/>
      <c r="K15" s="216"/>
    </row>
    <row r="16" spans="1:11" ht="18.75">
      <c r="A16" s="219" t="s">
        <v>539</v>
      </c>
      <c r="B16" s="219"/>
      <c r="C16" s="221"/>
      <c r="D16" s="221"/>
      <c r="E16" s="221"/>
      <c r="F16" s="221"/>
      <c r="G16" s="221"/>
      <c r="H16" s="221"/>
      <c r="I16" s="221"/>
      <c r="J16" s="216"/>
      <c r="K16" s="216"/>
    </row>
    <row r="17" spans="1:11" ht="18.75">
      <c r="A17" s="222"/>
      <c r="B17" s="222"/>
      <c r="C17" s="223"/>
      <c r="D17" s="223"/>
      <c r="E17" s="223"/>
      <c r="F17" s="223"/>
      <c r="G17" s="223"/>
      <c r="H17" s="223"/>
      <c r="I17" s="223"/>
      <c r="J17" s="216"/>
      <c r="K17" s="216"/>
    </row>
    <row r="18" spans="1:11" ht="18.75">
      <c r="A18" s="222"/>
      <c r="B18" s="222"/>
      <c r="C18" s="223"/>
      <c r="D18" s="223"/>
      <c r="E18" s="223"/>
      <c r="F18" s="223"/>
      <c r="G18" s="223"/>
      <c r="H18" s="223"/>
      <c r="I18" s="223"/>
      <c r="J18" s="216"/>
      <c r="K18" s="216"/>
    </row>
    <row r="19" spans="1:11" ht="18.75">
      <c r="A19" s="219" t="s">
        <v>384</v>
      </c>
      <c r="B19" s="219"/>
      <c r="C19" s="223"/>
      <c r="D19" s="223"/>
      <c r="E19" s="223"/>
      <c r="F19" s="223"/>
      <c r="G19" s="223"/>
      <c r="H19" s="223"/>
      <c r="I19" s="223"/>
      <c r="J19" s="216"/>
      <c r="K19" s="216"/>
    </row>
    <row r="20" spans="1:11" ht="18.75">
      <c r="A20" s="222"/>
      <c r="B20" s="222"/>
      <c r="C20" s="223"/>
      <c r="D20" s="223"/>
      <c r="E20" s="223"/>
      <c r="F20" s="223"/>
      <c r="G20" s="223"/>
      <c r="H20" s="223"/>
      <c r="I20" s="223"/>
      <c r="J20" s="216"/>
      <c r="K20" s="216"/>
    </row>
    <row r="21" spans="1:11" ht="18.75">
      <c r="A21" s="219"/>
      <c r="B21" s="219"/>
      <c r="C21" s="219"/>
      <c r="D21" s="219"/>
      <c r="E21" s="219"/>
      <c r="F21" s="219"/>
      <c r="G21" s="219"/>
      <c r="H21" s="219"/>
      <c r="I21" s="219"/>
      <c r="J21" s="216"/>
      <c r="K21" s="216"/>
    </row>
    <row r="22" spans="1:11" ht="18.75" customHeight="1">
      <c r="A22" s="272" t="s">
        <v>556</v>
      </c>
      <c r="B22" s="272"/>
      <c r="C22" s="272"/>
      <c r="D22" s="272"/>
      <c r="E22" s="272"/>
      <c r="F22" s="272"/>
      <c r="G22" s="272"/>
      <c r="H22" s="272"/>
      <c r="I22" s="272"/>
      <c r="J22" s="216"/>
      <c r="K22" s="216"/>
    </row>
    <row r="23" spans="1:11">
      <c r="A23" s="272"/>
      <c r="B23" s="272"/>
      <c r="C23" s="272"/>
      <c r="D23" s="272"/>
      <c r="E23" s="272"/>
      <c r="F23" s="272"/>
      <c r="G23" s="272"/>
      <c r="H23" s="272"/>
      <c r="I23" s="272"/>
      <c r="J23" s="216"/>
      <c r="K23" s="216"/>
    </row>
    <row r="24" spans="1:11">
      <c r="A24" s="272"/>
      <c r="B24" s="272"/>
      <c r="C24" s="272"/>
      <c r="D24" s="272"/>
      <c r="E24" s="272"/>
      <c r="F24" s="272"/>
      <c r="G24" s="272"/>
      <c r="H24" s="272"/>
      <c r="I24" s="272"/>
      <c r="J24" s="216"/>
      <c r="K24" s="216"/>
    </row>
    <row r="25" spans="1:11">
      <c r="A25" s="272"/>
      <c r="B25" s="272"/>
      <c r="C25" s="272"/>
      <c r="D25" s="272"/>
      <c r="E25" s="272"/>
      <c r="F25" s="272"/>
      <c r="G25" s="272"/>
      <c r="H25" s="272"/>
      <c r="I25" s="272"/>
      <c r="J25" s="216"/>
      <c r="K25" s="216"/>
    </row>
    <row r="26" spans="1:11">
      <c r="A26" s="272"/>
      <c r="B26" s="272"/>
      <c r="C26" s="272"/>
      <c r="D26" s="272"/>
      <c r="E26" s="272"/>
      <c r="F26" s="272"/>
      <c r="G26" s="272"/>
      <c r="H26" s="272"/>
      <c r="I26" s="272"/>
      <c r="J26" s="216"/>
      <c r="K26" s="216"/>
    </row>
    <row r="27" spans="1:11">
      <c r="A27" s="217"/>
      <c r="B27" s="217"/>
      <c r="C27" s="217"/>
      <c r="D27" s="217"/>
      <c r="E27" s="217"/>
      <c r="F27" s="217"/>
      <c r="G27" s="217"/>
      <c r="H27" s="217"/>
      <c r="I27" s="217"/>
      <c r="J27" s="216"/>
      <c r="K27" s="216"/>
    </row>
    <row r="28" spans="1:11" ht="15" customHeight="1">
      <c r="A28" s="272" t="s">
        <v>550</v>
      </c>
      <c r="B28" s="272"/>
      <c r="C28" s="272"/>
      <c r="D28" s="272"/>
      <c r="E28" s="272"/>
      <c r="F28" s="272"/>
      <c r="G28" s="272"/>
      <c r="H28" s="272"/>
      <c r="I28" s="272"/>
      <c r="J28" s="216"/>
      <c r="K28" s="216"/>
    </row>
    <row r="29" spans="1:11" ht="15" customHeight="1">
      <c r="A29" s="272"/>
      <c r="B29" s="272"/>
      <c r="C29" s="272"/>
      <c r="D29" s="272"/>
      <c r="E29" s="272"/>
      <c r="F29" s="272"/>
      <c r="G29" s="272"/>
      <c r="H29" s="272"/>
      <c r="I29" s="272"/>
      <c r="J29" s="216"/>
      <c r="K29" s="216"/>
    </row>
    <row r="30" spans="1:11" ht="15" customHeight="1">
      <c r="A30" s="272"/>
      <c r="B30" s="272"/>
      <c r="C30" s="272"/>
      <c r="D30" s="272"/>
      <c r="E30" s="272"/>
      <c r="F30" s="272"/>
      <c r="G30" s="272"/>
      <c r="H30" s="272"/>
      <c r="I30" s="272"/>
      <c r="J30" s="216"/>
      <c r="K30" s="216"/>
    </row>
    <row r="31" spans="1:11">
      <c r="A31" s="272"/>
      <c r="B31" s="272"/>
      <c r="C31" s="272"/>
      <c r="D31" s="272"/>
      <c r="E31" s="272"/>
      <c r="F31" s="272"/>
      <c r="G31" s="272"/>
      <c r="H31" s="272"/>
      <c r="I31" s="272"/>
      <c r="J31" s="216"/>
      <c r="K31" s="216"/>
    </row>
    <row r="32" spans="1:11">
      <c r="A32" s="217"/>
      <c r="B32" s="217"/>
      <c r="C32" s="217"/>
      <c r="D32" s="217"/>
      <c r="E32" s="217"/>
      <c r="F32" s="217"/>
      <c r="G32" s="217"/>
      <c r="H32" s="217"/>
      <c r="I32" s="217"/>
      <c r="J32" s="216"/>
      <c r="K32" s="216"/>
    </row>
    <row r="33" spans="1:11">
      <c r="A33" s="217"/>
      <c r="B33" s="217"/>
      <c r="C33" s="217"/>
      <c r="D33" s="217"/>
      <c r="E33" s="217"/>
      <c r="F33" s="217"/>
      <c r="G33" s="217"/>
      <c r="H33" s="217"/>
      <c r="I33" s="217"/>
      <c r="J33" s="216"/>
      <c r="K33" s="216"/>
    </row>
    <row r="34" spans="1:11">
      <c r="A34" s="269" t="s">
        <v>540</v>
      </c>
      <c r="B34" s="269"/>
      <c r="C34" s="269"/>
      <c r="D34" s="217"/>
      <c r="E34" s="269" t="s">
        <v>545</v>
      </c>
      <c r="F34" s="269"/>
      <c r="G34" s="269"/>
      <c r="H34" s="217"/>
      <c r="I34" s="217"/>
      <c r="J34" s="216"/>
      <c r="K34" s="216"/>
    </row>
    <row r="35" spans="1:11">
      <c r="A35" s="269"/>
      <c r="B35" s="269"/>
      <c r="C35" s="269"/>
      <c r="D35" s="217"/>
      <c r="E35" s="269"/>
      <c r="F35" s="269"/>
      <c r="G35" s="269"/>
      <c r="H35" s="218"/>
      <c r="I35" s="218"/>
      <c r="J35" s="216"/>
      <c r="K35" s="216"/>
    </row>
    <row r="36" spans="1:11">
      <c r="A36" s="269" t="s">
        <v>541</v>
      </c>
      <c r="B36" s="269"/>
      <c r="C36" s="269"/>
      <c r="D36" s="217"/>
      <c r="E36" s="269" t="str">
        <f>КАГ!G9</f>
        <v>Щербаков А.С.</v>
      </c>
      <c r="F36" s="269"/>
      <c r="G36" s="269"/>
      <c r="H36" s="217"/>
      <c r="I36" s="217"/>
      <c r="J36" s="216"/>
      <c r="K36" s="216"/>
    </row>
    <row r="37" spans="1:11">
      <c r="A37" s="269"/>
      <c r="B37" s="269"/>
      <c r="C37" s="269"/>
      <c r="D37" s="217"/>
      <c r="E37" s="269"/>
      <c r="F37" s="269"/>
      <c r="G37" s="269"/>
      <c r="H37" s="218"/>
      <c r="I37" s="218"/>
      <c r="J37" s="216"/>
      <c r="K37" s="216"/>
    </row>
    <row r="38" spans="1:11" ht="15" customHeight="1">
      <c r="A38" s="273" t="s">
        <v>551</v>
      </c>
      <c r="B38" s="273"/>
      <c r="C38" s="273"/>
      <c r="D38" s="217"/>
      <c r="E38" s="269" t="str">
        <f>IF('Карта учёта'!B35=Сотрудники!C2,RIGHT('Карта учёта'!B35,16),IF('Карта учёта'!B35=Сотрудники!C3,RIGHT('Карта учёта'!B35,14),IF('Карта учёта'!B35=Сотрудники!C4,RIGHT('Карта учёта'!B35,12),"None")))</f>
        <v xml:space="preserve">Д.В. Карчевский </v>
      </c>
      <c r="F38" s="269"/>
      <c r="G38" s="269"/>
      <c r="H38" s="217"/>
      <c r="I38" s="217"/>
      <c r="J38" s="216"/>
      <c r="K38" s="216"/>
    </row>
    <row r="39" spans="1:11" ht="15" customHeight="1">
      <c r="A39" s="273"/>
      <c r="B39" s="273"/>
      <c r="C39" s="273"/>
      <c r="D39" s="217"/>
      <c r="E39" s="269"/>
      <c r="F39" s="269"/>
      <c r="G39" s="269"/>
      <c r="H39" s="218"/>
      <c r="I39" s="218"/>
      <c r="J39" s="216"/>
      <c r="K39" s="216"/>
    </row>
    <row r="40" spans="1:11" ht="15" customHeight="1">
      <c r="A40" s="269" t="s">
        <v>542</v>
      </c>
      <c r="B40" s="269"/>
      <c r="C40" s="269"/>
      <c r="D40" s="269"/>
      <c r="E40" s="269" t="s">
        <v>544</v>
      </c>
      <c r="F40" s="269"/>
      <c r="G40" s="269"/>
      <c r="H40" s="217"/>
      <c r="I40" s="217"/>
      <c r="J40" s="216"/>
      <c r="K40" s="216"/>
    </row>
    <row r="41" spans="1:11" ht="15" customHeight="1">
      <c r="A41" s="269"/>
      <c r="B41" s="269"/>
      <c r="C41" s="269"/>
      <c r="D41" s="269"/>
      <c r="E41" s="269"/>
      <c r="F41" s="269"/>
      <c r="G41" s="269"/>
      <c r="H41" s="218"/>
      <c r="I41" s="218"/>
      <c r="J41" s="216"/>
      <c r="K41" s="216"/>
    </row>
    <row r="42" spans="1:11">
      <c r="A42" s="269" t="s">
        <v>543</v>
      </c>
      <c r="B42" s="269"/>
      <c r="C42" s="269"/>
      <c r="D42" s="217"/>
      <c r="E42" s="269"/>
      <c r="F42" s="269"/>
      <c r="G42" s="269"/>
      <c r="H42" s="217"/>
      <c r="I42" s="217"/>
      <c r="J42" s="216"/>
      <c r="K42" s="216"/>
    </row>
    <row r="43" spans="1:11">
      <c r="A43" s="269"/>
      <c r="B43" s="269"/>
      <c r="C43" s="269"/>
      <c r="D43" s="217"/>
      <c r="E43" s="269"/>
      <c r="F43" s="269"/>
      <c r="G43" s="269"/>
      <c r="H43" s="218"/>
      <c r="I43" s="218"/>
      <c r="J43" s="216"/>
      <c r="K43" s="216"/>
    </row>
    <row r="44" spans="1:11">
      <c r="A44" s="217"/>
      <c r="B44" s="217"/>
      <c r="C44" s="217"/>
      <c r="D44" s="217"/>
      <c r="E44" s="217"/>
      <c r="F44" s="217"/>
      <c r="G44" s="217"/>
      <c r="H44" s="217"/>
      <c r="I44" s="217"/>
      <c r="J44" s="216"/>
      <c r="K44" s="216"/>
    </row>
    <row r="45" spans="1:11">
      <c r="A45" s="217"/>
      <c r="B45" s="217"/>
      <c r="C45" s="217"/>
      <c r="D45" s="217"/>
      <c r="E45" s="217"/>
      <c r="F45" s="217"/>
      <c r="G45" s="217"/>
      <c r="H45" s="217"/>
      <c r="I45" s="217"/>
      <c r="J45" s="216"/>
      <c r="K45" s="216"/>
    </row>
    <row r="46" spans="1:11">
      <c r="A46" s="217"/>
      <c r="B46" s="217"/>
      <c r="C46" s="217"/>
      <c r="D46" s="217"/>
      <c r="E46" s="217"/>
      <c r="F46" s="217"/>
      <c r="G46" s="217"/>
      <c r="H46" s="217"/>
      <c r="I46" s="217"/>
      <c r="J46" s="216"/>
      <c r="K46" s="216"/>
    </row>
    <row r="47" spans="1:11">
      <c r="A47" s="216"/>
      <c r="B47" s="216"/>
      <c r="C47" s="216"/>
      <c r="D47" s="216"/>
      <c r="E47" s="216"/>
      <c r="F47" s="216"/>
      <c r="G47" s="216"/>
      <c r="H47" s="216"/>
      <c r="I47" s="216"/>
      <c r="J47" s="216"/>
      <c r="K47" s="216"/>
    </row>
    <row r="48" spans="1:11">
      <c r="A48" s="216"/>
      <c r="B48" s="216"/>
      <c r="C48" s="216"/>
      <c r="D48" s="216"/>
      <c r="E48" s="216"/>
      <c r="F48" s="216"/>
      <c r="G48" s="216"/>
      <c r="H48" s="216"/>
      <c r="I48" s="216"/>
      <c r="J48" s="216"/>
      <c r="K48" s="216"/>
    </row>
    <row r="49" spans="1:11">
      <c r="A49" s="216"/>
      <c r="B49" s="216"/>
      <c r="C49" s="216"/>
      <c r="D49" s="216"/>
      <c r="E49" s="216"/>
      <c r="F49" s="216"/>
      <c r="G49" s="216"/>
      <c r="H49" s="216"/>
      <c r="I49" s="216"/>
      <c r="J49" s="216"/>
      <c r="K49" s="216"/>
    </row>
    <row r="50" spans="1:11">
      <c r="A50" s="216"/>
      <c r="B50" s="216"/>
      <c r="C50" s="216"/>
      <c r="D50" s="216"/>
      <c r="E50" s="216"/>
      <c r="F50" s="216"/>
      <c r="G50" s="216"/>
      <c r="H50" s="216"/>
      <c r="I50" s="216"/>
      <c r="J50" s="216"/>
      <c r="K50" s="216"/>
    </row>
    <row r="51" spans="1:11">
      <c r="A51" s="216"/>
      <c r="B51" s="216"/>
      <c r="C51" s="216"/>
      <c r="D51" s="216"/>
      <c r="E51" s="216"/>
      <c r="F51" s="216"/>
      <c r="G51" s="216"/>
      <c r="H51" s="216"/>
      <c r="I51" s="216"/>
      <c r="J51" s="216"/>
      <c r="K51" s="216"/>
    </row>
    <row r="52" spans="1:11">
      <c r="A52" s="216"/>
      <c r="B52" s="216"/>
      <c r="C52" s="216"/>
      <c r="D52" s="216"/>
      <c r="E52" s="216"/>
      <c r="F52" s="216"/>
      <c r="G52" s="216"/>
      <c r="H52" s="216"/>
      <c r="I52" s="216"/>
      <c r="J52" s="216"/>
      <c r="K52" s="216"/>
    </row>
    <row r="53" spans="1:11">
      <c r="A53" s="216"/>
      <c r="B53" s="216"/>
      <c r="C53" s="216"/>
      <c r="D53" s="216"/>
      <c r="E53" s="216"/>
      <c r="F53" s="216"/>
      <c r="G53" s="216"/>
      <c r="H53" s="216"/>
      <c r="I53" s="216"/>
      <c r="J53" s="216"/>
      <c r="K53" s="216"/>
    </row>
    <row r="54" spans="1:11" hidden="1"/>
  </sheetData>
  <sheetProtection sheet="1" objects="1" scenarios="1"/>
  <mergeCells count="17">
    <mergeCell ref="A38:C39"/>
    <mergeCell ref="D2:F3"/>
    <mergeCell ref="C4:G5"/>
    <mergeCell ref="C6:C7"/>
    <mergeCell ref="D6:G7"/>
    <mergeCell ref="E42:G43"/>
    <mergeCell ref="E40:G41"/>
    <mergeCell ref="C10:D10"/>
    <mergeCell ref="A42:C43"/>
    <mergeCell ref="A40:D41"/>
    <mergeCell ref="E34:G35"/>
    <mergeCell ref="E36:G37"/>
    <mergeCell ref="E38:G39"/>
    <mergeCell ref="A22:I26"/>
    <mergeCell ref="A28:I31"/>
    <mergeCell ref="A34:C35"/>
    <mergeCell ref="A36:C37"/>
  </mergeCells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D5" sqref="D5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ROW(A2)-1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478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 t="shared" ref="A3:A35" si="0">ROW(A3)-1</f>
        <v>2</v>
      </c>
      <c r="B3" s="2" t="s">
        <v>18</v>
      </c>
      <c r="C3" s="8" t="s">
        <v>85</v>
      </c>
      <c r="D3" s="5" t="s">
        <v>214</v>
      </c>
      <c r="F3" t="s">
        <v>477</v>
      </c>
      <c r="G3" s="3" t="s">
        <v>478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 t="shared" si="0"/>
        <v>3</v>
      </c>
      <c r="B4" s="2" t="s">
        <v>38</v>
      </c>
      <c r="C4" s="8" t="s">
        <v>39</v>
      </c>
      <c r="D4" s="5" t="s">
        <v>208</v>
      </c>
      <c r="F4" t="s">
        <v>306</v>
      </c>
      <c r="G4" s="3" t="s">
        <v>478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 t="shared" si="0"/>
        <v>4</v>
      </c>
      <c r="B5" s="2" t="s">
        <v>81</v>
      </c>
      <c r="C5" s="77" t="s">
        <v>82</v>
      </c>
      <c r="D5" s="5" t="s">
        <v>242</v>
      </c>
      <c r="F5" t="s">
        <v>131</v>
      </c>
      <c r="G5" s="3" t="s">
        <v>478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 t="shared" si="0"/>
        <v>5</v>
      </c>
      <c r="B6" s="2" t="s">
        <v>36</v>
      </c>
      <c r="C6" s="8" t="s">
        <v>37</v>
      </c>
      <c r="D6" s="5" t="s">
        <v>392</v>
      </c>
      <c r="F6" t="s">
        <v>125</v>
      </c>
      <c r="G6" s="3" t="s">
        <v>478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 t="shared" si="0"/>
        <v>6</v>
      </c>
      <c r="B7" s="2"/>
      <c r="C7" s="8" t="s">
        <v>229</v>
      </c>
      <c r="D7" s="5" t="s">
        <v>132</v>
      </c>
      <c r="F7" t="s">
        <v>127</v>
      </c>
      <c r="G7" s="3" t="s">
        <v>478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 t="shared" si="0"/>
        <v>7</v>
      </c>
      <c r="B8" s="2"/>
      <c r="C8" s="8" t="s">
        <v>80</v>
      </c>
      <c r="D8" s="5" t="s">
        <v>247</v>
      </c>
      <c r="F8" t="s">
        <v>126</v>
      </c>
      <c r="G8" s="3" t="s">
        <v>478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 t="shared" si="0"/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478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 t="shared" si="0"/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 t="shared" si="0"/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 t="shared" si="0"/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479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 t="shared" si="0"/>
        <v>12</v>
      </c>
      <c r="B13" s="2" t="s">
        <v>21</v>
      </c>
      <c r="C13" s="8" t="s">
        <v>233</v>
      </c>
      <c r="D13" s="5" t="s">
        <v>22</v>
      </c>
      <c r="F13" t="s">
        <v>477</v>
      </c>
      <c r="G13" s="3" t="s">
        <v>479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 t="shared" si="0"/>
        <v>13</v>
      </c>
      <c r="B14" s="2" t="s">
        <v>23</v>
      </c>
      <c r="C14" s="8" t="s">
        <v>234</v>
      </c>
      <c r="D14" s="5" t="s">
        <v>24</v>
      </c>
      <c r="F14" t="s">
        <v>306</v>
      </c>
      <c r="G14" s="3" t="s">
        <v>479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 t="shared" si="0"/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479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387</v>
      </c>
      <c r="W15" s="11"/>
    </row>
    <row r="16" spans="1:23">
      <c r="A16" s="8">
        <f t="shared" si="0"/>
        <v>15</v>
      </c>
      <c r="B16" s="2" t="s">
        <v>29</v>
      </c>
      <c r="C16" s="8" t="s">
        <v>236</v>
      </c>
      <c r="D16" s="5" t="s">
        <v>30</v>
      </c>
      <c r="V16" t="s">
        <v>388</v>
      </c>
    </row>
    <row r="17" spans="1:23">
      <c r="A17" s="8">
        <f t="shared" si="0"/>
        <v>16</v>
      </c>
      <c r="B17" s="2" t="s">
        <v>31</v>
      </c>
      <c r="C17" s="8" t="s">
        <v>237</v>
      </c>
      <c r="D17" s="5" t="s">
        <v>32</v>
      </c>
      <c r="F17" t="s">
        <v>480</v>
      </c>
      <c r="V17" t="s">
        <v>389</v>
      </c>
    </row>
    <row r="18" spans="1:23">
      <c r="A18" s="8">
        <f t="shared" si="0"/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 t="shared" si="0"/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 t="shared" si="0"/>
        <v>19</v>
      </c>
      <c r="B20" s="2" t="s">
        <v>43</v>
      </c>
      <c r="C20" s="8" t="s">
        <v>44</v>
      </c>
      <c r="D20" s="5" t="s">
        <v>45</v>
      </c>
      <c r="F20" t="s">
        <v>300</v>
      </c>
      <c r="J20" s="11"/>
    </row>
    <row r="21" spans="1:23" ht="30">
      <c r="A21" s="8">
        <f t="shared" si="0"/>
        <v>20</v>
      </c>
      <c r="B21" s="2" t="s">
        <v>46</v>
      </c>
      <c r="C21" s="8" t="s">
        <v>47</v>
      </c>
      <c r="D21" s="5" t="s">
        <v>48</v>
      </c>
      <c r="F21" t="s">
        <v>331</v>
      </c>
      <c r="J21" s="11"/>
    </row>
    <row r="22" spans="1:23" ht="30">
      <c r="A22" s="8">
        <f t="shared" si="0"/>
        <v>21</v>
      </c>
      <c r="B22" s="2" t="s">
        <v>49</v>
      </c>
      <c r="C22" s="8" t="s">
        <v>50</v>
      </c>
      <c r="D22" s="5" t="s">
        <v>51</v>
      </c>
      <c r="F22" t="s">
        <v>332</v>
      </c>
      <c r="J22" s="11"/>
      <c r="U22" s="2"/>
    </row>
    <row r="23" spans="1:23" ht="30">
      <c r="A23" s="8">
        <f t="shared" si="0"/>
        <v>22</v>
      </c>
      <c r="B23" s="2" t="s">
        <v>52</v>
      </c>
      <c r="C23" s="8" t="s">
        <v>53</v>
      </c>
      <c r="D23" s="5" t="s">
        <v>54</v>
      </c>
      <c r="F23" t="s">
        <v>342</v>
      </c>
      <c r="J23" s="11"/>
      <c r="U23" s="2"/>
    </row>
    <row r="24" spans="1:23">
      <c r="A24" s="8">
        <f t="shared" si="0"/>
        <v>23</v>
      </c>
      <c r="B24" s="2" t="s">
        <v>55</v>
      </c>
      <c r="C24" s="8" t="s">
        <v>56</v>
      </c>
      <c r="D24" s="5" t="s">
        <v>57</v>
      </c>
      <c r="F24" t="s">
        <v>495</v>
      </c>
      <c r="H24" s="10"/>
      <c r="K24" s="2"/>
      <c r="U24" s="2"/>
      <c r="W24" s="11"/>
    </row>
    <row r="25" spans="1:23">
      <c r="A25" s="8">
        <f t="shared" si="0"/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 t="shared" si="0"/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 t="shared" si="0"/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 t="shared" si="0"/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 t="shared" si="0"/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 t="shared" si="0"/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 t="shared" si="0"/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 t="shared" si="0"/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 t="shared" si="0"/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 t="shared" si="0"/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f t="shared" si="0"/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5" zoomScaleNormal="100" workbookViewId="0">
      <selection activeCell="AI11" sqref="AI11:AI20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276</v>
      </c>
      <c r="H1" s="114" t="s">
        <v>277</v>
      </c>
      <c r="I1" s="114" t="s">
        <v>278</v>
      </c>
      <c r="J1" s="114" t="s">
        <v>279</v>
      </c>
      <c r="K1" s="115" t="s">
        <v>280</v>
      </c>
      <c r="L1" s="115" t="s">
        <v>281</v>
      </c>
      <c r="M1" s="115" t="s">
        <v>282</v>
      </c>
      <c r="N1" s="115" t="s">
        <v>283</v>
      </c>
      <c r="O1" s="115" t="s">
        <v>284</v>
      </c>
      <c r="P1" s="115" t="s">
        <v>285</v>
      </c>
      <c r="Q1" s="115" t="s">
        <v>286</v>
      </c>
      <c r="R1" s="114" t="s">
        <v>103</v>
      </c>
      <c r="S1" s="114" t="s">
        <v>104</v>
      </c>
      <c r="T1" s="114" t="s">
        <v>287</v>
      </c>
      <c r="U1" s="114" t="s">
        <v>288</v>
      </c>
      <c r="V1" s="114" t="s">
        <v>289</v>
      </c>
      <c r="W1" s="114" t="s">
        <v>290</v>
      </c>
      <c r="X1" s="114" t="s">
        <v>291</v>
      </c>
      <c r="Y1" s="114" t="s">
        <v>292</v>
      </c>
      <c r="Z1" s="114" t="s">
        <v>293</v>
      </c>
      <c r="AA1" s="114" t="s">
        <v>294</v>
      </c>
      <c r="AB1" s="114" t="s">
        <v>295</v>
      </c>
      <c r="AC1" s="114" t="s">
        <v>296</v>
      </c>
      <c r="AD1" s="114" t="s">
        <v>297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492</v>
      </c>
      <c r="AN1" s="2" t="s">
        <v>486</v>
      </c>
      <c r="AO1" t="s">
        <v>350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305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учёта'!#REF!,Расходка[[#This Row],[Наименование расходного материала]])),MAX($I$1:I1)+1,0)</f>
        <v>0</v>
      </c>
      <c r="J2" s="115">
        <f>IF(ISNUMBER(SEARCH('Карта учёта'!$B$17,Расходка[[#This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Artimes</v>
      </c>
      <c r="V2" s="114" t="str">
        <f>IFERROR(INDEX(Расходка[Наименование расходного материала],MATCH(Расходка[[#This Row],[№]],Поиск_расходки[Индекс5],0)),"")</f>
        <v/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304</v>
      </c>
      <c r="AO2" s="208" t="s">
        <v>488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363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учёта'!#REF!,Расходка[[#This Row],[Наименование расходного материала]])),MAX($I$1:I2)+1,0)</f>
        <v>0</v>
      </c>
      <c r="J3" s="115">
        <f>IF(ISNUMBER(SEARCH('Карта учёта'!$B$17,Расходка[[#This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395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481</v>
      </c>
      <c r="AO3" t="s">
        <v>489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522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1</v>
      </c>
      <c r="I4" s="115">
        <f>IF(ISNUMBER(SEARCH('Карта учёта'!#REF!,Расходка[[#This Row],[Наименование расходного материала]])),MAX($I$1:I3)+1,0)</f>
        <v>0</v>
      </c>
      <c r="J4" s="115">
        <f>IF(ISNUMBER(SEARCH('Карта учёта'!$B$17,Расходка[[#This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Artimes</v>
      </c>
      <c r="Y4" s="114" t="str">
        <f>IFERROR(INDEX(Расходка[Наименование расходного материала],MATCH(Расходка[[#This Row],[№]],Поиск_расходки[Индекс8],0)),"")</f>
        <v>Artimes</v>
      </c>
      <c r="Z4" s="114" t="str">
        <f>IFERROR(INDEX(Расходка[Наименование расходного материала],MATCH(Расходка[[#This Row],[№]],Поиск_расходки[Индекс9],0)),"")</f>
        <v>Artimes</v>
      </c>
      <c r="AA4" s="114" t="str">
        <f>IFERROR(INDEX(Расходка[Наименование расходного материала],MATCH(Расходка[[#This Row],[№]],Поиск_расходки[Индекс10],0)),"")</f>
        <v>Artimes</v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396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494</v>
      </c>
      <c r="AO4" t="s">
        <v>491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274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учёта'!#REF!,Расходка[[#This Row],[Наименование расходного материала]])),MAX($I$1:I4)+1,0)</f>
        <v>0</v>
      </c>
      <c r="J5" s="115">
        <f>IF(ISNUMBER(SEARCH('Карта учёта'!$B$17,Расходка[[#This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Euphora</v>
      </c>
      <c r="Y5" s="114" t="str">
        <f>IFERROR(INDEX(Расходка[Наименование расходного материала],MATCH(Расходка[[#This Row],[№]],Поиск_расходки[Индекс8],0)),"")</f>
        <v>Euphora</v>
      </c>
      <c r="Z5" s="114" t="str">
        <f>IFERROR(INDEX(Расходка[Наименование расходного материала],MATCH(Расходка[[#This Row],[№]],Поиск_расходки[Индекс9],0)),"")</f>
        <v>Euphora</v>
      </c>
      <c r="AA5" s="114" t="str">
        <f>IFERROR(INDEX(Расходка[Наименование расходного материала],MATCH(Расходка[[#This Row],[№]],Поиск_расходки[Индекс10],0)),"")</f>
        <v>Euphora</v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397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490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523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учёта'!#REF!,Расходка[[#This Row],[Наименование расходного материала]])),MAX($I$1:I5)+1,0)</f>
        <v>0</v>
      </c>
      <c r="J6" s="115">
        <f>IF(ISNUMBER(SEARCH('Карта учёта'!$B$17,Расходка[[#This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Apollo</v>
      </c>
      <c r="Y6" s="114" t="str">
        <f>IFERROR(INDEX(Расходка[Наименование расходного материала],MATCH(Расходка[[#This Row],[№]],Поиск_расходки[Индекс8],0)),"")</f>
        <v>NC Apollo</v>
      </c>
      <c r="Z6" s="114" t="str">
        <f>IFERROR(INDEX(Расходка[Наименование расходного материала],MATCH(Расходка[[#This Row],[№]],Поиск_расходки[Индекс9],0)),"")</f>
        <v>NC Apollo</v>
      </c>
      <c r="AA6" s="114" t="str">
        <f>IFERROR(INDEX(Расходка[Наименование расходного материала],MATCH(Расходка[[#This Row],[№]],Поиск_расходки[Индекс10],0)),"")</f>
        <v>NC Apollo</v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398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493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307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учёта'!#REF!,Расходка[[#This Row],[Наименование расходного материала]])),MAX($I$1:I6)+1,0)</f>
        <v>0</v>
      </c>
      <c r="J7" s="115">
        <f>IF(ISNUMBER(SEARCH('Карта учёта'!$B$17,Расходка[[#This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NC Accuforce</v>
      </c>
      <c r="Y7" s="114" t="str">
        <f>IFERROR(INDEX(Расходка[Наименование расходного материала],MATCH(Расходка[[#This Row],[№]],Поиск_расходки[Индекс8],0)),"")</f>
        <v>NC Accuforce</v>
      </c>
      <c r="Z7" s="114" t="str">
        <f>IFERROR(INDEX(Расходка[Наименование расходного материала],MATCH(Расходка[[#This Row],[№]],Поиск_расходки[Индекс9],0)),"")</f>
        <v>NC Accuforce</v>
      </c>
      <c r="AA7" s="114" t="str">
        <f>IFERROR(INDEX(Расходка[Наименование расходного материала],MATCH(Расходка[[#This Row],[№]],Поиск_расходки[Индекс10],0)),"")</f>
        <v>NC Accuforce</v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399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487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учёта'!#REF!,Расходка[[#This Row],[Наименование расходного материала]])),MAX($I$1:I7)+1,0)</f>
        <v>0</v>
      </c>
      <c r="J8" s="115">
        <f>IF(ISNUMBER(SEARCH('Карта учёта'!$B$17,Расходка[[#This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NC Euphora</v>
      </c>
      <c r="Y8" s="114" t="str">
        <f>IFERROR(INDEX(Расходка[Наименование расходного материала],MATCH(Расходка[[#This Row],[№]],Поиск_расходки[Индекс8],0)),"")</f>
        <v>NC Euphora</v>
      </c>
      <c r="Z8" s="114" t="str">
        <f>IFERROR(INDEX(Расходка[Наименование расходного материала],MATCH(Расходка[[#This Row],[№]],Поиск_расходки[Индекс9],0)),"")</f>
        <v>NC Euphora</v>
      </c>
      <c r="AA8" s="114" t="str">
        <f>IFERROR(INDEX(Расходка[Наименование расходного материала],MATCH(Расходка[[#This Row],[№]],Поиск_расходки[Индекс10],0)),"")</f>
        <v>NC Euphora</v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400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273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учёта'!#REF!,Расходка[[#This Row],[Наименование расходного материала]])),MAX($I$1:I8)+1,0)</f>
        <v>0</v>
      </c>
      <c r="J9" s="115">
        <f>IF(ISNUMBER(SEARCH('Карта учёта'!$B$17,Расходка[[#This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Sapphire</v>
      </c>
      <c r="Y9" s="114" t="str">
        <f>IFERROR(INDEX(Расходка[Наименование расходного материала],MATCH(Расходка[[#This Row],[№]],Поиск_расходки[Индекс8],0)),"")</f>
        <v>Sapphire</v>
      </c>
      <c r="Z9" s="114" t="str">
        <f>IFERROR(INDEX(Расходка[Наименование расходного материала],MATCH(Расходка[[#This Row],[№]],Поиск_расходки[Индекс9],0)),"")</f>
        <v>Sapphire</v>
      </c>
      <c r="AA9" s="114" t="str">
        <f>IFERROR(INDEX(Расходка[Наименование расходного материала],MATCH(Расходка[[#This Row],[№]],Поиск_расходки[Индекс10],0)),"")</f>
        <v>Sapphire</v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401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308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учёта'!#REF!,Расходка[[#This Row],[Наименование расходного материала]])),MAX($I$1:I9)+1,0)</f>
        <v>0</v>
      </c>
      <c r="J10" s="115">
        <f>IF(ISNUMBER(SEARCH('Карта учёта'!$B$17,Расходка[[#This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Sprinter Legend</v>
      </c>
      <c r="Y10" s="114" t="str">
        <f>IFERROR(INDEX(Расходка[Наименование расходного материала],MATCH(Расходка[[#This Row],[№]],Поиск_расходки[Индекс8],0)),"")</f>
        <v>Sprinter Legend</v>
      </c>
      <c r="Z10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10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402</v>
      </c>
      <c r="AI10" t="s">
        <v>349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352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учёта'!#REF!,Расходка[[#This Row],[Наименование расходного материала]])),MAX($I$1:I10)+1,0)</f>
        <v>0</v>
      </c>
      <c r="J11" s="115">
        <f>IF(ISNUMBER(SEARCH('Карта учёта'!$B$17,Расходка[[#This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11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11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11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403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368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учёта'!#REF!,Расходка[[#This Row],[Наименование расходного материала]])),MAX($I$1:I11)+1,0)</f>
        <v>0</v>
      </c>
      <c r="J12" s="115">
        <f>IF(ISNUMBER(SEARCH('Карта учёта'!$B$17,Расходка[[#This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Колибри</v>
      </c>
      <c r="Y12" s="114" t="str">
        <f>IFERROR(INDEX(Расходка[Наименование расходного материала],MATCH(Расходка[[#This Row],[№]],Поиск_расходки[Индекс8],0)),"")</f>
        <v>Колибри</v>
      </c>
      <c r="Z12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404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390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учёта'!#REF!,Расходка[[#This Row],[Наименование расходного материала]])),MAX($I$1:I12)+1,0)</f>
        <v>0</v>
      </c>
      <c r="J13" s="115">
        <f>IF(ISNUMBER(SEARCH('Карта учёта'!$B$17,Расходка[[#This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3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3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405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506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учёта'!#REF!,Расходка[[#This Row],[Наименование расходного материала]])),MAX($I$1:I13)+1,0)</f>
        <v>0</v>
      </c>
      <c r="J14" s="115">
        <f>IF(ISNUMBER(SEARCH('Карта учёта'!$B$17,Расходка[[#This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4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4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4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484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303</v>
      </c>
      <c r="C15" s="1" t="s">
        <v>328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учёта'!#REF!,Расходка[[#This Row],[Наименование расходного материала]])),MAX($I$1:I14)+1,0)</f>
        <v>0</v>
      </c>
      <c r="J15" s="115">
        <f>IF(ISNUMBER(SEARCH('Карта учёта'!$B$17,Расходка[[#This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406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303</v>
      </c>
      <c r="C16" t="s">
        <v>359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учёта'!#REF!,Расходка[[#This Row],[Наименование расходного материала]])),MAX($I$1:I15)+1,0)</f>
        <v>0</v>
      </c>
      <c r="J16" s="115">
        <f>IF(ISNUMBER(SEARCH('Карта учёта'!$B$17,Расходка[[#This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407</v>
      </c>
      <c r="AI16" t="s">
        <v>301</v>
      </c>
    </row>
    <row r="17" spans="1:35">
      <c r="A17">
        <f>ROW(Расходка[[#This Row],[Тип расходного материала ]])-1</f>
        <v>16</v>
      </c>
      <c r="B17" t="s">
        <v>301</v>
      </c>
      <c r="C17" t="s">
        <v>327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учёта'!#REF!,Расходка[[#This Row],[Наименование расходного материала]])),MAX($I$1:I16)+1,0)</f>
        <v>0</v>
      </c>
      <c r="J17" s="115">
        <f>IF(ISNUMBER(SEARCH('Карта учёта'!$B$17,Расходка[[#This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408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301</v>
      </c>
      <c r="C18" t="s">
        <v>356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учёта'!#REF!,Расходка[[#This Row],[Наименование расходного материала]])),MAX($I$1:I17)+1,0)</f>
        <v>0</v>
      </c>
      <c r="J18" s="115">
        <f>IF(ISNUMBER(SEARCH('Карта учёта'!$B$17,Расходка[[#This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409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301</v>
      </c>
      <c r="C19" t="s">
        <v>348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учёта'!#REF!,Расходка[[#This Row],[Наименование расходного материала]])),MAX($I$1:I18)+1,0)</f>
        <v>0</v>
      </c>
      <c r="J19" s="115">
        <f>IF(ISNUMBER(SEARCH('Карта учёта'!$B$17,Расходка[[#This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410</v>
      </c>
      <c r="AI19" t="s">
        <v>298</v>
      </c>
    </row>
    <row r="20" spans="1:35">
      <c r="A20">
        <f>ROW(Расходка[[#This Row],[Тип расходного материала ]])-1</f>
        <v>19</v>
      </c>
      <c r="B20" t="s">
        <v>301</v>
      </c>
      <c r="C20" t="s">
        <v>369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учёта'!#REF!,Расходка[[#This Row],[Наименование расходного материала]])),MAX($I$1:I19)+1,0)</f>
        <v>0</v>
      </c>
      <c r="J20" s="115">
        <f>IF(ISNUMBER(SEARCH('Карта учёта'!$B$17,Расходка[[#This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411</v>
      </c>
      <c r="AI20" t="s">
        <v>303</v>
      </c>
    </row>
    <row r="21" spans="1:35">
      <c r="A21">
        <f>ROW(Расходка[[#This Row],[Тип расходного материала ]])-1</f>
        <v>20</v>
      </c>
      <c r="B21" t="s">
        <v>301</v>
      </c>
      <c r="C21" t="s">
        <v>361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учёта'!#REF!,Расходка[[#This Row],[Наименование расходного материала]])),MAX($I$1:I20)+1,0)</f>
        <v>0</v>
      </c>
      <c r="J21" s="115">
        <f>IF(ISNUMBER(SEARCH('Карта учёта'!$B$17,Расходка[[#This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412</v>
      </c>
    </row>
    <row r="22" spans="1:35">
      <c r="A22">
        <f>ROW(Расходка[[#This Row],[Тип расходного материала ]])-1</f>
        <v>21</v>
      </c>
      <c r="B22" t="s">
        <v>301</v>
      </c>
      <c r="C22" t="s">
        <v>497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учёта'!#REF!,Расходка[[#This Row],[Наименование расходного материала]])),MAX($I$1:I21)+1,0)</f>
        <v>0</v>
      </c>
      <c r="J22" s="115">
        <f>IF(ISNUMBER(SEARCH('Карта учёта'!$B$17,Расходка[[#This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413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333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учёта'!#REF!,Расходка[[#This Row],[Наименование расходного материала]])),MAX($I$1:I22)+1,0)</f>
        <v>0</v>
      </c>
      <c r="J23" s="115">
        <f>IF(ISNUMBER(SEARCH('Карта учёта'!$B$17,Расходка[[#This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414</v>
      </c>
    </row>
    <row r="24" spans="1:35">
      <c r="A24">
        <f>ROW(Расходка[[#This Row],[Тип расходного материала ]])-1</f>
        <v>23</v>
      </c>
      <c r="B24" t="s">
        <v>301</v>
      </c>
      <c r="C24" s="1" t="s">
        <v>499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учёта'!#REF!,Расходка[[#This Row],[Наименование расходного материала]])),MAX($I$1:I23)+1,0)</f>
        <v>0</v>
      </c>
      <c r="J24" s="115">
        <f>IF(ISNUMBER(SEARCH('Карта учёта'!$B$17,Расходка[[#This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415</v>
      </c>
    </row>
    <row r="25" spans="1:35">
      <c r="A25">
        <f>ROW(Расходка[[#This Row],[Тип расходного материала ]])-1</f>
        <v>24</v>
      </c>
      <c r="B25" t="s">
        <v>301</v>
      </c>
      <c r="C25" s="1" t="s">
        <v>501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учёта'!#REF!,Расходка[[#This Row],[Наименование расходного материала]])),MAX($I$1:I24)+1,0)</f>
        <v>0</v>
      </c>
      <c r="J25" s="115">
        <f>IF(ISNUMBER(SEARCH('Карта учёта'!$B$17,Расходка[[#This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416</v>
      </c>
    </row>
    <row r="26" spans="1:35">
      <c r="A26">
        <f>ROW(Расходка[[#This Row],[Тип расходного материала ]])-1</f>
        <v>25</v>
      </c>
      <c r="B26" t="s">
        <v>301</v>
      </c>
      <c r="C26" s="1" t="s">
        <v>301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учёта'!#REF!,Расходка[[#This Row],[Наименование расходного материала]])),MAX($I$1:I25)+1,0)</f>
        <v>0</v>
      </c>
      <c r="J26" s="115">
        <f>IF(ISNUMBER(SEARCH('Карта учёта'!$B$17,Расходка[[#This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417</v>
      </c>
    </row>
    <row r="27" spans="1:35">
      <c r="A27">
        <f>ROW(Расходка[[#This Row],[Тип расходного материала ]])-1</f>
        <v>26</v>
      </c>
      <c r="B27" t="s">
        <v>3</v>
      </c>
      <c r="C27" s="1" t="s">
        <v>525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учёта'!#REF!,Расходка[[#This Row],[Наименование расходного материала]])),MAX($I$1:I26)+1,0)</f>
        <v>0</v>
      </c>
      <c r="J27" s="115">
        <f>IF(ISNUMBER(SEARCH('Карта учёта'!$B$17,Расходка[[#This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BMW</v>
      </c>
      <c r="Y27" s="114" t="str">
        <f>IFERROR(INDEX(Расходка[Наименование расходного материала],MATCH(Расходка[[#This Row],[№]],Поиск_расходки[Индекс8],0)),"")</f>
        <v>BMW</v>
      </c>
      <c r="Z27" s="114" t="str">
        <f>IFERROR(INDEX(Расходка[Наименование расходного материала],MATCH(Расходка[[#This Row],[№]],Поиск_расходки[Индекс9],0)),"")</f>
        <v>BMW</v>
      </c>
      <c r="AA27" s="114" t="str">
        <f>IFERROR(INDEX(Расходка[Наименование расходного материала],MATCH(Расходка[[#This Row],[№]],Поиск_расходки[Индекс10],0)),"")</f>
        <v>BMW</v>
      </c>
      <c r="AB27" s="114" t="str">
        <f>IFERROR(INDEX(Расходка[Наименование расходного материала],MATCH(Расходка[[#This Row],[№]],Поиск_расходки[Индекс11],0)),"")</f>
        <v>BMW</v>
      </c>
      <c r="AC27" s="114" t="str">
        <f>IFERROR(INDEX(Расходка[Наименование расходного материала],MATCH(Расходка[[#This Row],[№]],Поиск_расходки[Индекс12],0)),"")</f>
        <v>BMW</v>
      </c>
      <c r="AD27" s="114" t="str">
        <f>IFERROR(INDEX(Расходка[Наименование расходного материала],MATCH(Расходка[[#This Row],[№]],Поиск_расходки[Индекс13],0)),"")</f>
        <v>BMW</v>
      </c>
      <c r="AF27" s="4" t="s">
        <v>5</v>
      </c>
      <c r="AG27" s="4" t="s">
        <v>418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316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учёта'!#REF!,Расходка[[#This Row],[Наименование расходного материала]])),MAX($I$1:I27)+1,0)</f>
        <v>0</v>
      </c>
      <c r="J28" s="115">
        <f>IF(ISNUMBER(SEARCH('Карта учёта'!$B$17,Расходка[[#This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8" s="4" t="s">
        <v>5</v>
      </c>
      <c r="AG28" s="4" t="s">
        <v>419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337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учёта'!#REF!,Расходка[[#This Row],[Наименование расходного материала]])),MAX($I$1:I28)+1,0)</f>
        <v>0</v>
      </c>
      <c r="J29" s="115">
        <f>IF(ISNUMBER(SEARCH('Карта учёта'!$B$17,Расходка[[#This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9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9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9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9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9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9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9" s="4" t="s">
        <v>5</v>
      </c>
      <c r="AG29" s="4" t="s">
        <v>420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309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учёта'!#REF!,Расходка[[#This Row],[Наименование расходного материала]])),MAX($I$1:I29)+1,0)</f>
        <v>0</v>
      </c>
      <c r="J30" s="115">
        <f>IF(ISNUMBER(SEARCH('Карта учёта'!$B$17,Расходка[[#This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Fielder</v>
      </c>
      <c r="Y30" s="114" t="str">
        <f>IFERROR(INDEX(Расходка[Наименование расходного материала],MATCH(Расходка[[#This Row],[№]],Поиск_расходки[Индекс8],0)),"")</f>
        <v>Fielder</v>
      </c>
      <c r="Z30" s="114" t="str">
        <f>IFERROR(INDEX(Расходка[Наименование расходного материала],MATCH(Расходка[[#This Row],[№]],Поиск_расходки[Индекс9],0)),"")</f>
        <v>Fielder</v>
      </c>
      <c r="AA30" s="114" t="str">
        <f>IFERROR(INDEX(Расходка[Наименование расходного материала],MATCH(Расходка[[#This Row],[№]],Поиск_расходки[Индекс10],0)),"")</f>
        <v>Fielder</v>
      </c>
      <c r="AB30" s="114" t="str">
        <f>IFERROR(INDEX(Расходка[Наименование расходного материала],MATCH(Расходка[[#This Row],[№]],Поиск_расходки[Индекс11],0)),"")</f>
        <v>Fielder</v>
      </c>
      <c r="AC30" s="114" t="str">
        <f>IFERROR(INDEX(Расходка[Наименование расходного материала],MATCH(Расходка[[#This Row],[№]],Поиск_расходки[Индекс12],0)),"")</f>
        <v>Fielder</v>
      </c>
      <c r="AD30" s="114" t="str">
        <f>IFERROR(INDEX(Расходка[Наименование расходного материала],MATCH(Расходка[[#This Row],[№]],Поиск_расходки[Индекс13],0)),"")</f>
        <v>Fielder</v>
      </c>
      <c r="AF30" s="4" t="s">
        <v>5</v>
      </c>
      <c r="AG30" s="4" t="s">
        <v>482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366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учёта'!#REF!,Расходка[[#This Row],[Наименование расходного материала]])),MAX($I$1:I30)+1,0)</f>
        <v>0</v>
      </c>
      <c r="J31" s="115">
        <f>IF(ISNUMBER(SEARCH('Карта учёта'!$B$17,Расходка[[#This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Fielder XT-A</v>
      </c>
      <c r="Y31" s="114" t="str">
        <f>IFERROR(INDEX(Расходка[Наименование расходного материала],MATCH(Расходка[[#This Row],[№]],Поиск_расходки[Индекс8],0)),"")</f>
        <v>Fielder XT-A</v>
      </c>
      <c r="Z31" s="114" t="str">
        <f>IFERROR(INDEX(Расходка[Наименование расходного материала],MATCH(Расходка[[#This Row],[№]],Поиск_расходки[Индекс9],0)),"")</f>
        <v>Fielder XT-A</v>
      </c>
      <c r="AA31" s="114" t="str">
        <f>IFERROR(INDEX(Расходка[Наименование расходного материала],MATCH(Расходка[[#This Row],[№]],Поиск_расходки[Индекс10],0)),"")</f>
        <v>Fielder XT-A</v>
      </c>
      <c r="AB31" s="114" t="str">
        <f>IFERROR(INDEX(Расходка[Наименование расходного материала],MATCH(Расходка[[#This Row],[№]],Поиск_расходки[Индекс11],0)),"")</f>
        <v>Fielder XT-A</v>
      </c>
      <c r="AC31" s="114" t="str">
        <f>IFERROR(INDEX(Расходка[Наименование расходного материала],MATCH(Расходка[[#This Row],[№]],Поиск_расходки[Индекс12],0)),"")</f>
        <v>Fielder XT-A</v>
      </c>
      <c r="AD31" s="114" t="str">
        <f>IFERROR(INDEX(Расходка[Наименование расходного материала],MATCH(Расходка[[#This Row],[№]],Поиск_расходки[Индекс13],0)),"")</f>
        <v>Fielder XT-A</v>
      </c>
      <c r="AF31" s="4" t="s">
        <v>5</v>
      </c>
      <c r="AG31" s="4" t="s">
        <v>421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367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учёта'!#REF!,Расходка[[#This Row],[Наименование расходного материала]])),MAX($I$1:I31)+1,0)</f>
        <v>0</v>
      </c>
      <c r="J32" s="115">
        <f>IF(ISNUMBER(SEARCH('Карта учёта'!$B$17,Расходка[[#This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Fielder XT-R</v>
      </c>
      <c r="Y32" s="114" t="str">
        <f>IFERROR(INDEX(Расходка[Наименование расходного материала],MATCH(Расходка[[#This Row],[№]],Поиск_расходки[Индекс8],0)),"")</f>
        <v>Fielder XT-R</v>
      </c>
      <c r="Z32" s="114" t="str">
        <f>IFERROR(INDEX(Расходка[Наименование расходного материала],MATCH(Расходка[[#This Row],[№]],Поиск_расходки[Индекс9],0)),"")</f>
        <v>Fielder XT-R</v>
      </c>
      <c r="AA32" s="114" t="str">
        <f>IFERROR(INDEX(Расходка[Наименование расходного материала],MATCH(Расходка[[#This Row],[№]],Поиск_расходки[Индекс10],0)),"")</f>
        <v>Fielder XT-R</v>
      </c>
      <c r="AB32" s="114" t="str">
        <f>IFERROR(INDEX(Расходка[Наименование расходного материала],MATCH(Расходка[[#This Row],[№]],Поиск_расходки[Индекс11],0)),"")</f>
        <v>Fielder XT-R</v>
      </c>
      <c r="AC32" s="114" t="str">
        <f>IFERROR(INDEX(Расходка[Наименование расходного материала],MATCH(Расходка[[#This Row],[№]],Поиск_расходки[Индекс12],0)),"")</f>
        <v>Fielder XT-R</v>
      </c>
      <c r="AD32" s="114" t="str">
        <f>IFERROR(INDEX(Расходка[Наименование расходного материала],MATCH(Расходка[[#This Row],[№]],Поиск_расходки[Индекс13],0)),"")</f>
        <v>Fielder XT-R</v>
      </c>
      <c r="AF32" s="4" t="s">
        <v>5</v>
      </c>
      <c r="AG32" s="4" t="s">
        <v>422</v>
      </c>
    </row>
    <row r="33" spans="1:33">
      <c r="A33">
        <f>ROW(Расходка[[#This Row],[Тип расходного материала ]])-1</f>
        <v>32</v>
      </c>
      <c r="B33" t="s">
        <v>3</v>
      </c>
      <c r="C33" t="s">
        <v>503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учёта'!#REF!,Расходка[[#This Row],[Наименование расходного материала]])),MAX($I$1:I32)+1,0)</f>
        <v>0</v>
      </c>
      <c r="J33" s="115">
        <f>IF(ISNUMBER(SEARCH('Карта учёта'!$B$17,Расходка[[#This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3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3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3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3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3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3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3" s="4" t="s">
        <v>5</v>
      </c>
      <c r="AG33" s="4" t="s">
        <v>423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504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учёта'!#REF!,Расходка[[#This Row],[Наименование расходного материала]])),MAX($I$1:I33)+1,0)</f>
        <v>0</v>
      </c>
      <c r="J34" s="115">
        <f>IF(ISNUMBER(SEARCH('Карта учёта'!$B$17,Расходка[[#This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4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4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4" s="4" t="s">
        <v>5</v>
      </c>
      <c r="AG34" s="4" t="s">
        <v>424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505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учёта'!#REF!,Расходка[[#This Row],[Наименование расходного материала]])),MAX($I$1:I34)+1,0)</f>
        <v>0</v>
      </c>
      <c r="J35" s="115">
        <f>IF(ISNUMBER(SEARCH('Карта учёта'!$B$17,Расходка[[#This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5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5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5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5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5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5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5" s="4" t="s">
        <v>5</v>
      </c>
      <c r="AG35" s="4" t="s">
        <v>483</v>
      </c>
    </row>
    <row r="36" spans="1:33">
      <c r="A36">
        <f>ROW(Расходка[[#This Row],[Тип расходного материала ]])-1</f>
        <v>35</v>
      </c>
      <c r="B36" t="s">
        <v>3</v>
      </c>
      <c r="C36" s="1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учёта'!#REF!,Расходка[[#This Row],[Наименование расходного материала]])),MAX($I$1:I35)+1,0)</f>
        <v>0</v>
      </c>
      <c r="J36" s="115">
        <f>IF(ISNUMBER(SEARCH('Карта учёта'!$B$17,Расходка[[#This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Intuition</v>
      </c>
      <c r="Y36" s="114" t="str">
        <f>IFERROR(INDEX(Расходка[Наименование расходного материала],MATCH(Расходка[[#This Row],[№]],Поиск_расходки[Индекс8],0)),"")</f>
        <v>Intuition</v>
      </c>
      <c r="Z36" s="114" t="str">
        <f>IFERROR(INDEX(Расходка[Наименование расходного материала],MATCH(Расходка[[#This Row],[№]],Поиск_расходки[Индекс9],0)),"")</f>
        <v>Intuition</v>
      </c>
      <c r="AA36" s="114" t="str">
        <f>IFERROR(INDEX(Расходка[Наименование расходного материала],MATCH(Расходка[[#This Row],[№]],Поиск_расходки[Индекс10],0)),"")</f>
        <v>Intuition</v>
      </c>
      <c r="AB36" s="114" t="str">
        <f>IFERROR(INDEX(Расходка[Наименование расходного материала],MATCH(Расходка[[#This Row],[№]],Поиск_расходки[Индекс11],0)),"")</f>
        <v>Intuition</v>
      </c>
      <c r="AC36" s="114" t="str">
        <f>IFERROR(INDEX(Расходка[Наименование расходного материала],MATCH(Расходка[[#This Row],[№]],Поиск_расходки[Индекс12],0)),"")</f>
        <v>Intuition</v>
      </c>
      <c r="AD36" s="114" t="str">
        <f>IFERROR(INDEX(Расходка[Наименование расходного материала],MATCH(Расходка[[#This Row],[№]],Поиск_расходки[Индекс13],0)),"")</f>
        <v>Intuition</v>
      </c>
      <c r="AF36" s="4" t="s">
        <v>5</v>
      </c>
      <c r="AG36" s="4" t="s">
        <v>425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313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учёта'!#REF!,Расходка[[#This Row],[Наименование расходного материала]])),MAX($I$1:I36)+1,0)</f>
        <v>0</v>
      </c>
      <c r="J37" s="115">
        <f>IF(ISNUMBER(SEARCH('Карта учёта'!$B$17,Расходка[[#This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7" s="4" t="s">
        <v>6</v>
      </c>
      <c r="AG37" s="4" t="s">
        <v>398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учёта'!#REF!,Расходка[[#This Row],[Наименование расходного материала]])),MAX($I$1:I37)+1,0)</f>
        <v>0</v>
      </c>
      <c r="J38" s="115">
        <f>IF(ISNUMBER(SEARCH('Карта учёта'!$B$17,Расходка[[#This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8" s="4" t="s">
        <v>6</v>
      </c>
      <c r="AG38" s="4" t="s">
        <v>485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учёта'!#REF!,Расходка[[#This Row],[Наименование расходного материала]])),MAX($I$1:I38)+1,0)</f>
        <v>0</v>
      </c>
      <c r="J39" s="115">
        <f>IF(ISNUMBER(SEARCH('Карта учёта'!$B$17,Расходка[[#This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9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9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9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9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9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9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9" s="4" t="s">
        <v>6</v>
      </c>
      <c r="AG39" s="4" t="s">
        <v>426</v>
      </c>
    </row>
    <row r="40" spans="1:33">
      <c r="A40">
        <f>ROW(Расходка[[#This Row],[Тип расходного материала ]])-1</f>
        <v>39</v>
      </c>
      <c r="B40" t="s">
        <v>3</v>
      </c>
      <c r="C40" t="s">
        <v>311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учёта'!#REF!,Расходка[[#This Row],[Наименование расходного материала]])),MAX($I$1:I39)+1,0)</f>
        <v>0</v>
      </c>
      <c r="J40" s="115">
        <f>IF(ISNUMBER(SEARCH('Карта учёта'!$B$17,Расходка[[#This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Rinato</v>
      </c>
      <c r="Y40" s="114" t="str">
        <f>IFERROR(INDEX(Расходка[Наименование расходного материала],MATCH(Расходка[[#This Row],[№]],Поиск_расходки[Индекс8],0)),"")</f>
        <v>Rinato</v>
      </c>
      <c r="Z40" s="114" t="str">
        <f>IFERROR(INDEX(Расходка[Наименование расходного материала],MATCH(Расходка[[#This Row],[№]],Поиск_расходки[Индекс9],0)),"")</f>
        <v>Rinato</v>
      </c>
      <c r="AA40" s="114" t="str">
        <f>IFERROR(INDEX(Расходка[Наименование расходного материала],MATCH(Расходка[[#This Row],[№]],Поиск_расходки[Индекс10],0)),"")</f>
        <v>Rinato</v>
      </c>
      <c r="AB40" s="114" t="str">
        <f>IFERROR(INDEX(Расходка[Наименование расходного материала],MATCH(Расходка[[#This Row],[№]],Поиск_расходки[Индекс11],0)),"")</f>
        <v>Rinato</v>
      </c>
      <c r="AC40" s="114" t="str">
        <f>IFERROR(INDEX(Расходка[Наименование расходного материала],MATCH(Расходка[[#This Row],[№]],Поиск_расходки[Индекс12],0)),"")</f>
        <v>Rinato</v>
      </c>
      <c r="AD40" s="114" t="str">
        <f>IFERROR(INDEX(Расходка[Наименование расходного материала],MATCH(Расходка[[#This Row],[№]],Поиск_расходки[Индекс13],0)),"")</f>
        <v>Rinato</v>
      </c>
      <c r="AF40" s="4" t="s">
        <v>6</v>
      </c>
      <c r="AG40" s="4" t="s">
        <v>427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347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учёта'!#REF!,Расходка[[#This Row],[Наименование расходного материала]])),MAX($I$1:I40)+1,0)</f>
        <v>0</v>
      </c>
      <c r="J41" s="115">
        <f>IF(ISNUMBER(SEARCH('Карта учёта'!$B$17,Расходка[[#This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1" s="4" t="s">
        <v>6</v>
      </c>
      <c r="AG41" s="4" t="s">
        <v>428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354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учёта'!#REF!,Расходка[[#This Row],[Наименование расходного материала]])),MAX($I$1:I41)+1,0)</f>
        <v>0</v>
      </c>
      <c r="J42" s="115">
        <f>IF(ISNUMBER(SEARCH('Карта учёта'!$B$17,Расходка[[#This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2" s="4" t="s">
        <v>6</v>
      </c>
      <c r="AG42" s="4" t="s">
        <v>429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353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учёта'!#REF!,Расходка[[#This Row],[Наименование расходного материала]])),MAX($I$1:I42)+1,0)</f>
        <v>0</v>
      </c>
      <c r="J43" s="115">
        <f>IF(ISNUMBER(SEARCH('Карта учёта'!$B$17,Расходка[[#This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3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3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3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3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3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3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3" s="4" t="s">
        <v>6</v>
      </c>
      <c r="AG43" s="4" t="s">
        <v>402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310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учёта'!#REF!,Расходка[[#This Row],[Наименование расходного материала]])),MAX($I$1:I43)+1,0)</f>
        <v>0</v>
      </c>
      <c r="J44" s="115">
        <f>IF(ISNUMBER(SEARCH('Карта учёта'!$B$17,Расходка[[#This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Sion</v>
      </c>
      <c r="Y44" s="114" t="str">
        <f>IFERROR(INDEX(Расходка[Наименование расходного материала],MATCH(Расходка[[#This Row],[№]],Поиск_расходки[Индекс8],0)),"")</f>
        <v>Sion</v>
      </c>
      <c r="Z44" s="114" t="str">
        <f>IFERROR(INDEX(Расходка[Наименование расходного материала],MATCH(Расходка[[#This Row],[№]],Поиск_расходки[Индекс9],0)),"")</f>
        <v>Sion</v>
      </c>
      <c r="AA44" s="114" t="str">
        <f>IFERROR(INDEX(Расходка[Наименование расходного материала],MATCH(Расходка[[#This Row],[№]],Поиск_расходки[Индекс10],0)),"")</f>
        <v>Sion</v>
      </c>
      <c r="AB44" s="114" t="str">
        <f>IFERROR(INDEX(Расходка[Наименование расходного материала],MATCH(Расходка[[#This Row],[№]],Поиск_расходки[Индекс11],0)),"")</f>
        <v>Sion</v>
      </c>
      <c r="AC44" s="114" t="str">
        <f>IFERROR(INDEX(Расходка[Наименование расходного материала],MATCH(Расходка[[#This Row],[№]],Поиск_расходки[Индекс12],0)),"")</f>
        <v>Sion</v>
      </c>
      <c r="AD44" s="114" t="str">
        <f>IFERROR(INDEX(Расходка[Наименование расходного материала],MATCH(Расходка[[#This Row],[№]],Поиск_расходки[Индекс13],0)),"")</f>
        <v>Sion</v>
      </c>
      <c r="AF44" s="4" t="s">
        <v>6</v>
      </c>
      <c r="AG44" s="4" t="s">
        <v>430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учёта'!#REF!,Расходка[[#This Row],[Наименование расходного материала]])),MAX($I$1:I44)+1,0)</f>
        <v>0</v>
      </c>
      <c r="J45" s="115">
        <f>IF(ISNUMBER(SEARCH('Карта учёта'!$B$17,Расходка[[#This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Sion Black</v>
      </c>
      <c r="Y45" s="114" t="str">
        <f>IFERROR(INDEX(Расходка[Наименование расходного материала],MATCH(Расходка[[#This Row],[№]],Поиск_расходки[Индекс8],0)),"")</f>
        <v>Sion Black</v>
      </c>
      <c r="Z45" s="114" t="str">
        <f>IFERROR(INDEX(Расходка[Наименование расходного материала],MATCH(Расходка[[#This Row],[№]],Поиск_расходки[Индекс9],0)),"")</f>
        <v>Sion Black</v>
      </c>
      <c r="AA45" s="114" t="str">
        <f>IFERROR(INDEX(Расходка[Наименование расходного материала],MATCH(Расходка[[#This Row],[№]],Поиск_расходки[Индекс10],0)),"")</f>
        <v>Sion Black</v>
      </c>
      <c r="AB45" s="114" t="str">
        <f>IFERROR(INDEX(Расходка[Наименование расходного материала],MATCH(Расходка[[#This Row],[№]],Поиск_расходки[Индекс11],0)),"")</f>
        <v>Sion Black</v>
      </c>
      <c r="AC45" s="114" t="str">
        <f>IFERROR(INDEX(Расходка[Наименование расходного материала],MATCH(Расходка[[#This Row],[№]],Поиск_расходки[Индекс12],0)),"")</f>
        <v>Sion Black</v>
      </c>
      <c r="AD45" s="114" t="str">
        <f>IFERROR(INDEX(Расходка[Наименование расходного материала],MATCH(Расходка[[#This Row],[№]],Поиск_расходки[Индекс13],0)),"")</f>
        <v>Sion Black</v>
      </c>
      <c r="AF45" s="4" t="s">
        <v>6</v>
      </c>
      <c r="AG45" s="4" t="s">
        <v>431</v>
      </c>
    </row>
    <row r="46" spans="1:33">
      <c r="A46">
        <f>ROW(Расходка[[#This Row],[Тип расходного материала ]])-1</f>
        <v>45</v>
      </c>
      <c r="B46" t="s">
        <v>3</v>
      </c>
      <c r="C46" s="1" t="s">
        <v>365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учёта'!#REF!,Расходка[[#This Row],[Наименование расходного материала]])),MAX($I$1:I45)+1,0)</f>
        <v>0</v>
      </c>
      <c r="J46" s="115">
        <f>IF(ISNUMBER(SEARCH('Карта учёта'!$B$17,Расходка[[#This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Sion Blue</v>
      </c>
      <c r="Y46" s="114" t="str">
        <f>IFERROR(INDEX(Расходка[Наименование расходного материала],MATCH(Расходка[[#This Row],[№]],Поиск_расходки[Индекс8],0)),"")</f>
        <v>Sion Blue</v>
      </c>
      <c r="Z46" s="114" t="str">
        <f>IFERROR(INDEX(Расходка[Наименование расходного материала],MATCH(Расходка[[#This Row],[№]],Поиск_расходки[Индекс9],0)),"")</f>
        <v>Sion Blue</v>
      </c>
      <c r="AA46" s="114" t="str">
        <f>IFERROR(INDEX(Расходка[Наименование расходного материала],MATCH(Расходка[[#This Row],[№]],Поиск_расходки[Индекс10],0)),"")</f>
        <v>Sion Blue</v>
      </c>
      <c r="AB46" s="114" t="str">
        <f>IFERROR(INDEX(Расходка[Наименование расходного материала],MATCH(Расходка[[#This Row],[№]],Поиск_расходки[Индекс11],0)),"")</f>
        <v>Sion Blue</v>
      </c>
      <c r="AC46" s="114" t="str">
        <f>IFERROR(INDEX(Расходка[Наименование расходного материала],MATCH(Расходка[[#This Row],[№]],Поиск_расходки[Индекс12],0)),"")</f>
        <v>Sion Blue</v>
      </c>
      <c r="AD46" s="114" t="str">
        <f>IFERROR(INDEX(Расходка[Наименование расходного материала],MATCH(Расходка[[#This Row],[№]],Поиск_расходки[Индекс13],0)),"")</f>
        <v>Sion Blue</v>
      </c>
      <c r="AF46" s="4" t="s">
        <v>6</v>
      </c>
      <c r="AG46" s="4" t="s">
        <v>432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312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учёта'!#REF!,Расходка[[#This Row],[Наименование расходного материала]])),MAX($I$1:I46)+1,0)</f>
        <v>0</v>
      </c>
      <c r="J47" s="115">
        <f>IF(ISNUMBER(SEARCH('Карта учёта'!$B$17,Расходка[[#This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Thunder</v>
      </c>
      <c r="Y47" s="114" t="str">
        <f>IFERROR(INDEX(Расходка[Наименование расходного материала],MATCH(Расходка[[#This Row],[№]],Поиск_расходки[Индекс8],0)),"")</f>
        <v>Thunder</v>
      </c>
      <c r="Z47" s="114" t="str">
        <f>IFERROR(INDEX(Расходка[Наименование расходного материала],MATCH(Расходка[[#This Row],[№]],Поиск_расходки[Индекс9],0)),"")</f>
        <v>Thunder</v>
      </c>
      <c r="AA47" s="114" t="str">
        <f>IFERROR(INDEX(Расходка[Наименование расходного материала],MATCH(Расходка[[#This Row],[№]],Поиск_расходки[Индекс10],0)),"")</f>
        <v>Thunder</v>
      </c>
      <c r="AB47" s="114" t="str">
        <f>IFERROR(INDEX(Расходка[Наименование расходного материала],MATCH(Расходка[[#This Row],[№]],Поиск_расходки[Индекс11],0)),"")</f>
        <v>Thunder</v>
      </c>
      <c r="AC47" s="114" t="str">
        <f>IFERROR(INDEX(Расходка[Наименование расходного материала],MATCH(Расходка[[#This Row],[№]],Поиск_расходки[Индекс12],0)),"")</f>
        <v>Thunder</v>
      </c>
      <c r="AD47" s="114" t="str">
        <f>IFERROR(INDEX(Расходка[Наименование расходного материала],MATCH(Расходка[[#This Row],[№]],Поиск_расходки[Индекс13],0)),"")</f>
        <v>Thunder</v>
      </c>
      <c r="AF47" s="4" t="s">
        <v>6</v>
      </c>
      <c r="AG47" s="4" t="s">
        <v>433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511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учёта'!#REF!,Расходка[[#This Row],[Наименование расходного материала]])),MAX($I$1:I47)+1,0)</f>
        <v>0</v>
      </c>
      <c r="J48" s="115">
        <f>IF(ISNUMBER(SEARCH('Карта учёта'!$B$17,Расходка[[#This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8" s="4" t="s">
        <v>6</v>
      </c>
      <c r="AG48" s="4" t="s">
        <v>434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учёта'!#REF!,Расходка[[#This Row],[Наименование расходного материала]])),MAX($I$1:I48)+1,0)</f>
        <v>0</v>
      </c>
      <c r="J49" s="115">
        <f>IF(ISNUMBER(SEARCH('Карта учёта'!$B$17,Расходка[[#This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9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9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9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9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9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9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9" s="4" t="s">
        <v>6</v>
      </c>
      <c r="AG49" s="4" t="s">
        <v>435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355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учёта'!#REF!,Расходка[[#This Row],[Наименование расходного материала]])),MAX($I$1:I49)+1,0)</f>
        <v>0</v>
      </c>
      <c r="J50" s="115">
        <f>IF(ISNUMBER(SEARCH('Карта учёта'!$B$17,Расходка[[#This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Winn 200T</v>
      </c>
      <c r="Y50" s="114" t="str">
        <f>IFERROR(INDEX(Расходка[Наименование расходного материала],MATCH(Расходка[[#This Row],[№]],Поиск_расходки[Индекс8],0)),"")</f>
        <v>Winn 200T</v>
      </c>
      <c r="Z50" s="114" t="str">
        <f>IFERROR(INDEX(Расходка[Наименование расходного материала],MATCH(Расходка[[#This Row],[№]],Поиск_расходки[Индекс9],0)),"")</f>
        <v>Winn 200T</v>
      </c>
      <c r="AA50" s="114" t="str">
        <f>IFERROR(INDEX(Расходка[Наименование расходного материала],MATCH(Расходка[[#This Row],[№]],Поиск_расходки[Индекс10],0)),"")</f>
        <v>Winn 200T</v>
      </c>
      <c r="AB50" s="114" t="str">
        <f>IFERROR(INDEX(Расходка[Наименование расходного материала],MATCH(Расходка[[#This Row],[№]],Поиск_расходки[Индекс11],0)),"")</f>
        <v>Winn 200T</v>
      </c>
      <c r="AC50" s="114" t="str">
        <f>IFERROR(INDEX(Расходка[Наименование расходного материала],MATCH(Расходка[[#This Row],[№]],Поиск_расходки[Индекс12],0)),"")</f>
        <v>Winn 200T</v>
      </c>
      <c r="AD50" s="114" t="str">
        <f>IFERROR(INDEX(Расходка[Наименование расходного материала],MATCH(Расходка[[#This Row],[№]],Поиск_расходки[Индекс13],0)),"")</f>
        <v>Winn 200T</v>
      </c>
      <c r="AF50" s="4" t="s">
        <v>6</v>
      </c>
      <c r="AG50" s="4" t="s">
        <v>436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341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учёта'!#REF!,Расходка[[#This Row],[Наименование расходного материала]])),MAX($I$1:I50)+1,0)</f>
        <v>0</v>
      </c>
      <c r="J51" s="115">
        <f>IF(ISNUMBER(SEARCH('Карта учёта'!$B$17,Расходка[[#This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1" s="4" t="s">
        <v>6</v>
      </c>
      <c r="AG51" s="4" t="s">
        <v>437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502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учёта'!#REF!,Расходка[[#This Row],[Наименование расходного материала]])),MAX($I$1:I51)+1,0)</f>
        <v>0</v>
      </c>
      <c r="J52" s="115">
        <f>IF(ISNUMBER(SEARCH('Карта учёта'!$B$17,Расходка[[#This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2" s="4" t="s">
        <v>6</v>
      </c>
      <c r="AG52" s="4" t="s">
        <v>438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96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учёта'!#REF!,Расходка[[#This Row],[Наименование расходного материала]])),MAX($I$1:I52)+1,0)</f>
        <v>0</v>
      </c>
      <c r="J53" s="115">
        <f>IF(ISNUMBER(SEARCH('Карта учёта'!$B$17,Расходка[[#This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3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3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3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3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3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3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3" s="4" t="s">
        <v>6</v>
      </c>
      <c r="AG53" s="4" t="s">
        <v>439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500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учёта'!#REF!,Расходка[[#This Row],[Наименование расходного материала]])),MAX($I$1:I53)+1,0)</f>
        <v>0</v>
      </c>
      <c r="J54" s="115">
        <f>IF(ISNUMBER(SEARCH('Карта учёта'!$B$17,Расходка[[#This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4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4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4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4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4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4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4" s="4" t="s">
        <v>6</v>
      </c>
      <c r="AG54" s="4" t="s">
        <v>440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510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учёта'!#REF!,Расходка[[#This Row],[Наименование расходного материала]])),MAX($I$1:I54)+1,0)</f>
        <v>0</v>
      </c>
      <c r="J55" s="115">
        <f>IF(ISNUMBER(SEARCH('Карта учёта'!$B$17,Расходка[[#This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Shunmei</v>
      </c>
      <c r="Y55" s="114" t="str">
        <f>IFERROR(INDEX(Расходка[Наименование расходного материала],MATCH(Расходка[[#This Row],[№]],Поиск_расходки[Индекс8],0)),"")</f>
        <v>Shunmei</v>
      </c>
      <c r="Z55" s="114" t="str">
        <f>IFERROR(INDEX(Расходка[Наименование расходного материала],MATCH(Расходка[[#This Row],[№]],Поиск_расходки[Индекс9],0)),"")</f>
        <v>Shunmei</v>
      </c>
      <c r="AA55" s="114" t="str">
        <f>IFERROR(INDEX(Расходка[Наименование расходного материала],MATCH(Расходка[[#This Row],[№]],Поиск_расходки[Индекс10],0)),"")</f>
        <v>Shunmei</v>
      </c>
      <c r="AB55" s="114" t="str">
        <f>IFERROR(INDEX(Расходка[Наименование расходного материала],MATCH(Расходка[[#This Row],[№]],Поиск_расходки[Индекс11],0)),"")</f>
        <v>Shunmei</v>
      </c>
      <c r="AC55" s="114" t="str">
        <f>IFERROR(INDEX(Расходка[Наименование расходного материала],MATCH(Расходка[[#This Row],[№]],Поиск_расходки[Индекс12],0)),"")</f>
        <v>Shunmei</v>
      </c>
      <c r="AD55" s="114" t="str">
        <f>IFERROR(INDEX(Расходка[Наименование расходного материала],MATCH(Расходка[[#This Row],[№]],Поиск_расходки[Индекс13],0)),"")</f>
        <v>Shunmei</v>
      </c>
      <c r="AF55" s="4" t="s">
        <v>6</v>
      </c>
      <c r="AG55" s="4" t="s">
        <v>441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514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учёта'!#REF!,Расходка[[#This Row],[Наименование расходного материала]])),MAX($I$1:I55)+1,0)</f>
        <v>0</v>
      </c>
      <c r="J56" s="115">
        <f>IF(ISNUMBER(SEARCH('Карта учёта'!$B$17,Расходка[[#This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442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515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учёта'!#REF!,Расходка[[#This Row],[Наименование расходного материала]])),MAX($I$1:I56)+1,0)</f>
        <v>0</v>
      </c>
      <c r="J57" s="115">
        <f>IF(ISNUMBER(SEARCH('Карта учёта'!$B$17,Расходка[[#This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443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275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учёта'!#REF!,Расходка[[#This Row],[Наименование расходного материала]])),MAX($I$1:I57)+1,0)</f>
        <v>0</v>
      </c>
      <c r="J58" s="115">
        <f>IF(ISNUMBER(SEARCH('Карта учёта'!$B$17,Расходка[[#This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444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340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учёта'!#REF!,Расходка[[#This Row],[Наименование расходного материала]])),MAX($I$1:I58)+1,0)</f>
        <v>0</v>
      </c>
      <c r="J59" s="115">
        <f>IF(ISNUMBER(SEARCH('Карта учёта'!$B$17,Расходка[[#This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445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521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учёта'!#REF!,Расходка[[#This Row],[Наименование расходного материала]])),MAX($I$1:I59)+1,0)</f>
        <v>0</v>
      </c>
      <c r="J60" s="115">
        <f>IF(ISNUMBER(SEARCH('Карта учёта'!$B$17,Расходка[[#This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446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339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учёта'!#REF!,Расходка[[#This Row],[Наименование расходного материала]])),MAX($I$1:I60)+1,0)</f>
        <v>0</v>
      </c>
      <c r="J61" s="115">
        <f>IF(ISNUMBER(SEARCH('Карта учёта'!$B$17,Расходка[[#This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407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318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учёта'!#REF!,Расходка[[#This Row],[Наименование расходного материала]])),MAX($I$1:I61)+1,0)</f>
        <v>0</v>
      </c>
      <c r="J62" s="115">
        <f>IF(ISNUMBER(SEARCH('Карта учёта'!$B$17,Расходка[[#This Row],[Наименование расходного материала]])),MAX($J$1:J61)+1,0)</f>
        <v>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447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351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учёта'!#REF!,Расходка[[#This Row],[Наименование расходного материала]])),MAX($I$1:I62)+1,0)</f>
        <v>0</v>
      </c>
      <c r="J63" s="115">
        <f>IF(ISNUMBER(SEARCH('Карта учёта'!$B$17,Расходка[[#This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448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378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учёта'!#REF!,Расходка[[#This Row],[Наименование расходного материала]])),MAX($I$1:I63)+1,0)</f>
        <v>0</v>
      </c>
      <c r="J64" s="115">
        <f>IF(ISNUMBER(SEARCH('Карта учёта'!$B$17,Расходка[[#This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449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377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учёта'!#REF!,Расходка[[#This Row],[Наименование расходного материала]])),MAX($I$1:I64)+1,0)</f>
        <v>0</v>
      </c>
      <c r="J65" s="115">
        <f>IF(ISNUMBER(SEARCH('Карта учёта'!$B$17,Расходка[[#This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450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508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учёта'!#REF!,Расходка[[#This Row],[Наименование расходного материала]])),MAX($I$1:I65)+1,0)</f>
        <v>0</v>
      </c>
      <c r="J66" s="115">
        <f>IF(ISNUMBER(SEARCH('Карта учёта'!$B$17,Расходка[[#This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451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509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учёта'!#REF!,Расходка[[#This Row],[Наименование расходного материала]])),MAX($I$1:I66)+1,0)</f>
        <v>0</v>
      </c>
      <c r="J67" s="196">
        <f>IF(ISNUMBER(SEARCH('Карта учёта'!$B$17,Расходка[[#This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452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319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учёта'!#REF!,Расходка[[#This Row],[Наименование расходного материала]])),MAX($I$1:I67)+1,0)</f>
        <v>0</v>
      </c>
      <c r="J68" s="196">
        <f>IF(ISNUMBER(SEARCH('Карта учёта'!$B$17,Расходка[[#This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453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338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учёта'!#REF!,Расходка[[#This Row],[Наименование расходного материала]])),MAX($I$1:I68)+1,0)</f>
        <v>0</v>
      </c>
      <c r="J69" s="196">
        <f>IF(ISNUMBER(SEARCH('Карта учёта'!$B$17,Расходка[[#This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454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344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учёта'!#REF!,Расходка[[#This Row],[Наименование расходного материала]])),MAX($I$1:I69)+1,0)</f>
        <v>0</v>
      </c>
      <c r="J70" s="196">
        <f>IF(ISNUMBER(SEARCH('Карта учёта'!$B$17,Расходка[[#This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455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345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учёта'!#REF!,Расходка[[#This Row],[Наименование расходного материала]])),MAX($I$1:I70)+1,0)</f>
        <v>0</v>
      </c>
      <c r="J71" s="196">
        <f>IF(ISNUMBER(SEARCH('Карта учёта'!$B$17,Расходка[[#This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410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320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учёта'!#REF!,Расходка[[#This Row],[Наименование расходного материала]])),MAX($I$1:I71)+1,0)</f>
        <v>0</v>
      </c>
      <c r="J72" s="196">
        <f>IF(ISNUMBER(SEARCH('Карта учёта'!$B$17,Расходка[[#This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456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321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учёта'!#REF!,Расходка[[#This Row],[Наименование расходного материала]])),MAX($I$1:I72)+1,0)</f>
        <v>0</v>
      </c>
      <c r="J73" s="196">
        <f>IF(ISNUMBER(SEARCH('Карта учёта'!$B$17,Расходка[[#This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411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322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учёта'!#REF!,Расходка[[#This Row],[Наименование расходного материала]])),MAX($I$1:I73)+1,0)</f>
        <v>0</v>
      </c>
      <c r="J74" s="196">
        <f>IF(ISNUMBER(SEARCH('Карта учёта'!$B$17,Расходка[[#This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457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323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учёта'!#REF!,Расходка[[#This Row],[Наименование расходного материала]])),MAX($I$1:I74)+1,0)</f>
        <v>0</v>
      </c>
      <c r="J75" s="196">
        <f>IF(ISNUMBER(SEARCH('Карта учёта'!$B$17,Расходка[[#This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458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329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учёта'!#REF!,Расходка[[#This Row],[Наименование расходного материала]])),MAX($I$1:I75)+1,0)</f>
        <v>0</v>
      </c>
      <c r="J76" s="196">
        <f>IF(ISNUMBER(SEARCH('Карта учёта'!$B$17,Расходка[[#This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459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324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1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учёта'!#REF!,Расходка[[#This Row],[Наименование расходного материала]])),MAX($I$1:I76)+1,0)</f>
        <v>0</v>
      </c>
      <c r="J77" s="196">
        <f>IF(ISNUMBER(SEARCH('Карта учёта'!$B$17,Расходка[[#This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460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325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учёта'!#REF!,Расходка[[#This Row],[Наименование расходного материала]])),MAX($I$1:I77)+1,0)</f>
        <v>0</v>
      </c>
      <c r="J78" s="196">
        <f>IF(ISNUMBER(SEARCH('Карта учёта'!$B$17,Расходка[[#This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461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335</v>
      </c>
      <c r="AF79" s="4" t="s">
        <v>6</v>
      </c>
      <c r="AG79" s="4" t="s">
        <v>462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334</v>
      </c>
      <c r="AF80" s="4" t="s">
        <v>6</v>
      </c>
      <c r="AG80" s="4" t="s">
        <v>463</v>
      </c>
    </row>
    <row r="81" spans="1:33">
      <c r="A81">
        <f>ROW(Расходка[[#This Row],[Тип расходного материала ]])-1</f>
        <v>80</v>
      </c>
      <c r="B81" t="s">
        <v>298</v>
      </c>
      <c r="C81" s="1" t="s">
        <v>326</v>
      </c>
      <c r="AF81" s="4" t="s">
        <v>6</v>
      </c>
      <c r="AG81" s="4" t="s">
        <v>464</v>
      </c>
    </row>
    <row r="82" spans="1:33">
      <c r="AF82" s="4" t="s">
        <v>6</v>
      </c>
      <c r="AG82" s="4" t="s">
        <v>465</v>
      </c>
    </row>
    <row r="83" spans="1:33">
      <c r="AF83" s="4" t="s">
        <v>6</v>
      </c>
      <c r="AG83" s="4" t="s">
        <v>466</v>
      </c>
    </row>
    <row r="84" spans="1:33">
      <c r="AF84" s="4" t="s">
        <v>6</v>
      </c>
      <c r="AG84" s="4" t="s">
        <v>417</v>
      </c>
    </row>
    <row r="85" spans="1:33">
      <c r="AF85" s="4" t="s">
        <v>6</v>
      </c>
      <c r="AG85" s="4" t="s">
        <v>418</v>
      </c>
    </row>
    <row r="86" spans="1:33">
      <c r="AF86" s="4" t="s">
        <v>6</v>
      </c>
      <c r="AG86" s="4" t="s">
        <v>467</v>
      </c>
    </row>
    <row r="87" spans="1:33">
      <c r="AF87" s="4" t="s">
        <v>6</v>
      </c>
      <c r="AG87" s="4" t="s">
        <v>468</v>
      </c>
    </row>
    <row r="88" spans="1:33">
      <c r="AF88" s="4" t="s">
        <v>6</v>
      </c>
      <c r="AG88" s="4" t="s">
        <v>469</v>
      </c>
    </row>
    <row r="89" spans="1:33">
      <c r="AF89" s="4" t="s">
        <v>6</v>
      </c>
      <c r="AG89" s="4" t="s">
        <v>470</v>
      </c>
    </row>
    <row r="90" spans="1:33">
      <c r="AF90" s="4" t="s">
        <v>6</v>
      </c>
      <c r="AG90" s="4" t="s">
        <v>471</v>
      </c>
    </row>
    <row r="91" spans="1:33">
      <c r="AF91" s="4" t="s">
        <v>6</v>
      </c>
      <c r="AG91" s="4" t="s">
        <v>472</v>
      </c>
    </row>
    <row r="92" spans="1:33">
      <c r="AF92" s="4" t="s">
        <v>6</v>
      </c>
      <c r="AG92" s="4" t="s">
        <v>473</v>
      </c>
    </row>
    <row r="93" spans="1:33">
      <c r="AF93" s="4" t="s">
        <v>6</v>
      </c>
      <c r="AG93" s="4" t="s">
        <v>474</v>
      </c>
    </row>
    <row r="94" spans="1:33">
      <c r="AF94" s="4" t="s">
        <v>6</v>
      </c>
      <c r="AG94" s="4" t="s">
        <v>421</v>
      </c>
    </row>
    <row r="95" spans="1:33">
      <c r="AF95" s="4" t="s">
        <v>6</v>
      </c>
      <c r="AG95" s="4" t="s">
        <v>422</v>
      </c>
    </row>
    <row r="96" spans="1:33">
      <c r="AF96" s="4" t="s">
        <v>6</v>
      </c>
      <c r="AG96" s="4" t="s">
        <v>475</v>
      </c>
    </row>
    <row r="97" spans="32:33">
      <c r="AF97" s="4" t="s">
        <v>6</v>
      </c>
      <c r="AG97" s="4" t="s">
        <v>476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zoomScale="90" zoomScaleNormal="90" workbookViewId="0">
      <selection activeCell="C2" sqref="C2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529</v>
      </c>
      <c r="C4" t="str">
        <f>CONCATENATE(A4,B4)</f>
        <v>И/О заведующего отделения: М.А. Дибиров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299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507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530</v>
      </c>
      <c r="C17" t="str">
        <f t="shared" si="0"/>
        <v>И/О старшей мед.сетры: О.В. Севринова</v>
      </c>
    </row>
    <row r="18" spans="1:3">
      <c r="A18" t="s">
        <v>123</v>
      </c>
      <c r="B18" t="s">
        <v>343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265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532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262</v>
      </c>
    </row>
    <row r="27" spans="1:3">
      <c r="A27" t="s">
        <v>170</v>
      </c>
      <c r="B27" t="s">
        <v>266</v>
      </c>
    </row>
    <row r="28" spans="1:3">
      <c r="A28" t="s">
        <v>170</v>
      </c>
      <c r="B28" t="s">
        <v>528</v>
      </c>
    </row>
    <row r="29" spans="1:3">
      <c r="A29" t="s">
        <v>170</v>
      </c>
      <c r="B29" t="s">
        <v>256</v>
      </c>
    </row>
    <row r="30" spans="1:3">
      <c r="A30" t="s">
        <v>170</v>
      </c>
      <c r="B30" t="s">
        <v>255</v>
      </c>
    </row>
    <row r="31" spans="1:3">
      <c r="A31" t="s">
        <v>170</v>
      </c>
      <c r="B31" t="s">
        <v>516</v>
      </c>
    </row>
    <row r="32" spans="1:3">
      <c r="A32" t="s">
        <v>170</v>
      </c>
      <c r="B32" t="s">
        <v>254</v>
      </c>
    </row>
    <row r="33" spans="1:2">
      <c r="A33" t="s">
        <v>170</v>
      </c>
      <c r="B33" t="s">
        <v>267</v>
      </c>
    </row>
    <row r="34" spans="1:2">
      <c r="A34" t="s">
        <v>170</v>
      </c>
      <c r="B34" t="s">
        <v>346</v>
      </c>
    </row>
    <row r="35" spans="1:2">
      <c r="A35" t="s">
        <v>170</v>
      </c>
      <c r="B35" t="s">
        <v>261</v>
      </c>
    </row>
    <row r="36" spans="1:2">
      <c r="A36" t="s">
        <v>170</v>
      </c>
      <c r="B36" t="s">
        <v>249</v>
      </c>
    </row>
    <row r="37" spans="1:2">
      <c r="A37" t="s">
        <v>170</v>
      </c>
      <c r="B37" t="s">
        <v>253</v>
      </c>
    </row>
    <row r="38" spans="1:2">
      <c r="A38" t="s">
        <v>170</v>
      </c>
      <c r="B38" t="s">
        <v>248</v>
      </c>
    </row>
    <row r="39" spans="1:2">
      <c r="A39" t="s">
        <v>170</v>
      </c>
      <c r="B39" t="s">
        <v>357</v>
      </c>
    </row>
    <row r="40" spans="1:2">
      <c r="A40" t="s">
        <v>170</v>
      </c>
      <c r="B40" t="s">
        <v>498</v>
      </c>
    </row>
    <row r="41" spans="1:2">
      <c r="A41" t="s">
        <v>170</v>
      </c>
      <c r="B41" t="s">
        <v>264</v>
      </c>
    </row>
    <row r="42" spans="1:2">
      <c r="A42" t="s">
        <v>170</v>
      </c>
      <c r="B42" t="s">
        <v>263</v>
      </c>
    </row>
    <row r="43" spans="1:2">
      <c r="A43" t="s">
        <v>170</v>
      </c>
      <c r="B43" t="s">
        <v>257</v>
      </c>
    </row>
    <row r="44" spans="1:2">
      <c r="A44" t="s">
        <v>170</v>
      </c>
      <c r="B44" t="s">
        <v>251</v>
      </c>
    </row>
    <row r="45" spans="1:2">
      <c r="A45" t="s">
        <v>170</v>
      </c>
      <c r="B45" t="s">
        <v>252</v>
      </c>
    </row>
    <row r="46" spans="1:2">
      <c r="A46" t="s">
        <v>299</v>
      </c>
      <c r="B46" t="s">
        <v>259</v>
      </c>
    </row>
    <row r="47" spans="1:2">
      <c r="A47" t="s">
        <v>299</v>
      </c>
      <c r="B47" t="s">
        <v>260</v>
      </c>
    </row>
    <row r="48" spans="1:2">
      <c r="A48" t="s">
        <v>299</v>
      </c>
      <c r="B48" t="s">
        <v>527</v>
      </c>
    </row>
    <row r="49" spans="1:2">
      <c r="A49" t="s">
        <v>299</v>
      </c>
      <c r="B49" t="s">
        <v>517</v>
      </c>
    </row>
    <row r="50" spans="1:2">
      <c r="A50" t="s">
        <v>299</v>
      </c>
      <c r="B50" t="s">
        <v>178</v>
      </c>
    </row>
    <row r="51" spans="1:2">
      <c r="A51" t="s">
        <v>299</v>
      </c>
      <c r="B51" t="s">
        <v>524</v>
      </c>
    </row>
    <row r="52" spans="1:2">
      <c r="A52" t="s">
        <v>299</v>
      </c>
      <c r="B52" t="s">
        <v>526</v>
      </c>
    </row>
    <row r="53" spans="1:2">
      <c r="A53" t="s">
        <v>299</v>
      </c>
      <c r="B53" t="s">
        <v>177</v>
      </c>
    </row>
    <row r="54" spans="1:2">
      <c r="A54" t="s">
        <v>299</v>
      </c>
      <c r="B54" t="s">
        <v>496</v>
      </c>
    </row>
    <row r="55" spans="1:2">
      <c r="A55" t="s">
        <v>299</v>
      </c>
      <c r="B55" t="s">
        <v>258</v>
      </c>
    </row>
    <row r="56" spans="1:2">
      <c r="A56" t="s">
        <v>299</v>
      </c>
      <c r="B56" t="s">
        <v>362</v>
      </c>
    </row>
    <row r="57" spans="1:2">
      <c r="A57" t="s">
        <v>299</v>
      </c>
      <c r="B57" t="s">
        <v>358</v>
      </c>
    </row>
    <row r="58" spans="1:2">
      <c r="A58" t="s">
        <v>171</v>
      </c>
      <c r="B58" t="s">
        <v>144</v>
      </c>
    </row>
    <row r="59" spans="1:2">
      <c r="A59" t="s">
        <v>171</v>
      </c>
      <c r="B59" t="s">
        <v>147</v>
      </c>
    </row>
    <row r="60" spans="1:2">
      <c r="A60" t="s">
        <v>171</v>
      </c>
      <c r="B60" t="s">
        <v>150</v>
      </c>
    </row>
    <row r="61" spans="1:2">
      <c r="A61" t="s">
        <v>171</v>
      </c>
      <c r="B61" t="s">
        <v>153</v>
      </c>
    </row>
    <row r="62" spans="1:2">
      <c r="A62" t="s">
        <v>171</v>
      </c>
      <c r="B62" t="s">
        <v>156</v>
      </c>
    </row>
    <row r="63" spans="1:2">
      <c r="A63" t="s">
        <v>171</v>
      </c>
      <c r="B63" t="s">
        <v>159</v>
      </c>
    </row>
    <row r="64" spans="1:2">
      <c r="A64" t="s">
        <v>171</v>
      </c>
      <c r="B64" t="s">
        <v>164</v>
      </c>
    </row>
    <row r="65" spans="1:2">
      <c r="A65" t="s">
        <v>171</v>
      </c>
      <c r="B65" t="s">
        <v>272</v>
      </c>
    </row>
    <row r="66" spans="1:2">
      <c r="A66" t="s">
        <v>171</v>
      </c>
      <c r="B66" t="s">
        <v>166</v>
      </c>
    </row>
    <row r="67" spans="1:2">
      <c r="A67" t="s">
        <v>171</v>
      </c>
      <c r="B67" t="s">
        <v>167</v>
      </c>
    </row>
    <row r="68" spans="1:2">
      <c r="A68" t="s">
        <v>171</v>
      </c>
      <c r="B68" t="s">
        <v>168</v>
      </c>
    </row>
    <row r="69" spans="1:2">
      <c r="A69" t="s">
        <v>171</v>
      </c>
      <c r="B69" t="s">
        <v>169</v>
      </c>
    </row>
    <row r="70" spans="1:2">
      <c r="A70" t="s">
        <v>171</v>
      </c>
      <c r="B70" t="s">
        <v>141</v>
      </c>
    </row>
    <row r="71" spans="1:2">
      <c r="A71" t="s">
        <v>171</v>
      </c>
      <c r="B71" t="s">
        <v>185</v>
      </c>
    </row>
    <row r="72" spans="1:2">
      <c r="A72" t="s">
        <v>172</v>
      </c>
      <c r="B72" t="s">
        <v>336</v>
      </c>
    </row>
    <row r="73" spans="1:2">
      <c r="A73" t="s">
        <v>172</v>
      </c>
      <c r="B73" t="s">
        <v>143</v>
      </c>
    </row>
    <row r="74" spans="1:2">
      <c r="A74" t="s">
        <v>172</v>
      </c>
      <c r="B74" t="s">
        <v>360</v>
      </c>
    </row>
    <row r="75" spans="1:2">
      <c r="A75" t="s">
        <v>172</v>
      </c>
      <c r="B75" t="s">
        <v>146</v>
      </c>
    </row>
    <row r="76" spans="1:2">
      <c r="A76" t="s">
        <v>172</v>
      </c>
      <c r="B76" t="s">
        <v>140</v>
      </c>
    </row>
    <row r="77" spans="1:2">
      <c r="A77" t="s">
        <v>172</v>
      </c>
      <c r="B77" t="s">
        <v>149</v>
      </c>
    </row>
    <row r="78" spans="1:2">
      <c r="A78" t="s">
        <v>172</v>
      </c>
      <c r="B78" t="s">
        <v>152</v>
      </c>
    </row>
    <row r="79" spans="1:2">
      <c r="A79" t="s">
        <v>172</v>
      </c>
      <c r="B79" t="s">
        <v>155</v>
      </c>
    </row>
    <row r="80" spans="1:2">
      <c r="A80" t="s">
        <v>172</v>
      </c>
      <c r="B80" t="s">
        <v>158</v>
      </c>
    </row>
    <row r="81" spans="1:2">
      <c r="A81" t="s">
        <v>172</v>
      </c>
      <c r="B81" t="s">
        <v>161</v>
      </c>
    </row>
    <row r="82" spans="1:2">
      <c r="A82" t="s">
        <v>172</v>
      </c>
      <c r="B82" t="s">
        <v>531</v>
      </c>
    </row>
    <row r="83" spans="1:2">
      <c r="A83" t="s">
        <v>172</v>
      </c>
      <c r="B83" t="s">
        <v>163</v>
      </c>
    </row>
    <row r="84" spans="1:2">
      <c r="A84" t="s">
        <v>184</v>
      </c>
      <c r="B84" t="s">
        <v>142</v>
      </c>
    </row>
    <row r="85" spans="1:2">
      <c r="A85" t="s">
        <v>184</v>
      </c>
      <c r="B85" t="s">
        <v>271</v>
      </c>
    </row>
    <row r="86" spans="1:2">
      <c r="A86" t="s">
        <v>184</v>
      </c>
      <c r="B86" t="s">
        <v>145</v>
      </c>
    </row>
    <row r="87" spans="1:2">
      <c r="A87" t="s">
        <v>184</v>
      </c>
      <c r="B87" t="s">
        <v>148</v>
      </c>
    </row>
    <row r="88" spans="1:2">
      <c r="A88" t="s">
        <v>184</v>
      </c>
      <c r="B88" t="s">
        <v>151</v>
      </c>
    </row>
    <row r="89" spans="1:2">
      <c r="A89" t="s">
        <v>184</v>
      </c>
      <c r="B89" t="s">
        <v>154</v>
      </c>
    </row>
    <row r="90" spans="1:2">
      <c r="A90" t="s">
        <v>184</v>
      </c>
      <c r="B90" t="s">
        <v>160</v>
      </c>
    </row>
    <row r="91" spans="1:2">
      <c r="A91" t="s">
        <v>184</v>
      </c>
      <c r="B91" t="s">
        <v>157</v>
      </c>
    </row>
    <row r="92" spans="1:2">
      <c r="A92" t="s">
        <v>184</v>
      </c>
      <c r="B92" t="s">
        <v>162</v>
      </c>
    </row>
    <row r="93" spans="1:2">
      <c r="A93" t="s">
        <v>184</v>
      </c>
      <c r="B93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3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374</v>
      </c>
    </row>
    <row r="2" spans="1:1">
      <c r="A2" t="s">
        <v>371</v>
      </c>
    </row>
    <row r="3" spans="1:1">
      <c r="A3" t="s">
        <v>375</v>
      </c>
    </row>
    <row r="4" spans="1:1">
      <c r="A4" t="s">
        <v>376</v>
      </c>
    </row>
    <row r="5" spans="1:1">
      <c r="A5" t="s">
        <v>372</v>
      </c>
    </row>
    <row r="6" spans="1:1">
      <c r="A6" t="s">
        <v>373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6</vt:i4>
      </vt:variant>
    </vt:vector>
  </HeadingPairs>
  <TitlesOfParts>
    <vt:vector size="15" baseType="lpstr">
      <vt:lpstr>КАГ</vt:lpstr>
      <vt:lpstr>ЧКВ</vt:lpstr>
      <vt:lpstr>КАГ to 1C</vt:lpstr>
      <vt:lpstr>Карта учёта</vt:lpstr>
      <vt:lpstr>Коромакс</vt:lpstr>
      <vt:lpstr>Вмешательства</vt:lpstr>
      <vt:lpstr>Расходный материал</vt:lpstr>
      <vt:lpstr>Сотрудники</vt:lpstr>
      <vt:lpstr>Остальное</vt:lpstr>
      <vt:lpstr>дата</vt:lpstr>
      <vt:lpstr>КАГ!Область_печати</vt:lpstr>
      <vt:lpstr>'КАГ to 1C'!Область_печати</vt:lpstr>
      <vt:lpstr>'Карта учёта'!Область_печати</vt:lpstr>
      <vt:lpstr>Коромакс!Область_печати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2025-06-25T13:54:06Z</cp:lastPrinted>
  <dcterms:created xsi:type="dcterms:W3CDTF">2015-06-05T18:19:34Z</dcterms:created>
  <dcterms:modified xsi:type="dcterms:W3CDTF">2025-06-25T13:55:57Z</dcterms:modified>
</cp:coreProperties>
</file>