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6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1" l="1"/>
  <c r="B12" i="9" l="1"/>
  <c r="E38" i="9" l="1"/>
  <c r="A6" i="4"/>
  <c r="A3" i="4"/>
  <c r="A4" i="4"/>
  <c r="A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A14" i="3" l="1"/>
  <c r="A15" i="3"/>
  <c r="A16" i="3"/>
  <c r="A17" i="3"/>
  <c r="A18" i="3"/>
  <c r="A19" i="3"/>
  <c r="A20" i="3"/>
  <c r="A21" i="3"/>
  <c r="A22" i="3"/>
  <c r="A23" i="3"/>
  <c r="A24" i="3"/>
  <c r="A25" i="3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6" i="3"/>
  <c r="A27" i="3"/>
  <c r="A1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7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8" i="1" l="1"/>
  <c r="U26" i="1" s="1"/>
  <c r="U21" i="1"/>
  <c r="U60" i="1"/>
  <c r="U5" i="1"/>
  <c r="U8" i="1"/>
  <c r="U28" i="1"/>
  <c r="U6" i="1"/>
  <c r="U50" i="1"/>
  <c r="U55" i="1"/>
  <c r="U66" i="1"/>
  <c r="U34" i="1"/>
  <c r="U62" i="1"/>
  <c r="U39" i="1"/>
  <c r="U58" i="1"/>
  <c r="U56" i="1"/>
  <c r="U64" i="1"/>
  <c r="U17" i="1"/>
  <c r="U13" i="1"/>
  <c r="U7" i="1"/>
  <c r="U20" i="1"/>
  <c r="U9" i="1"/>
  <c r="U24" i="1"/>
  <c r="U30" i="1"/>
  <c r="U4" i="1"/>
  <c r="U12" i="1"/>
  <c r="U3" i="1"/>
  <c r="U32" i="1"/>
  <c r="U37" i="1"/>
  <c r="U65" i="1"/>
  <c r="U71" i="1"/>
  <c r="U74" i="1"/>
  <c r="U68" i="1"/>
  <c r="U40" i="1"/>
  <c r="U54" i="1"/>
  <c r="U61" i="1"/>
  <c r="U52" i="1"/>
  <c r="U51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U43" i="1" l="1"/>
  <c r="U16" i="1"/>
  <c r="U10" i="1"/>
  <c r="U69" i="1"/>
  <c r="U23" i="1"/>
  <c r="U14" i="1"/>
  <c r="U46" i="1"/>
  <c r="U70" i="1"/>
  <c r="U45" i="1"/>
  <c r="U59" i="1"/>
  <c r="U72" i="1"/>
  <c r="U42" i="1"/>
  <c r="U75" i="1"/>
  <c r="U67" i="1"/>
  <c r="U48" i="1"/>
  <c r="U76" i="1"/>
  <c r="U36" i="1"/>
  <c r="U25" i="1"/>
  <c r="U29" i="1"/>
  <c r="U22" i="1"/>
  <c r="U35" i="1"/>
  <c r="U11" i="1"/>
  <c r="U57" i="1"/>
  <c r="U41" i="1"/>
  <c r="U73" i="1"/>
  <c r="U49" i="1"/>
  <c r="U78" i="1"/>
  <c r="U27" i="1"/>
  <c r="U44" i="1"/>
  <c r="U63" i="1"/>
  <c r="U31" i="1"/>
  <c r="U18" i="1"/>
  <c r="U15" i="1"/>
  <c r="U38" i="1"/>
  <c r="U47" i="1"/>
  <c r="U77" i="1"/>
  <c r="U19" i="1"/>
  <c r="U33" i="1"/>
  <c r="U53" i="1"/>
  <c r="I77" i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2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1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7" i="1" l="1"/>
  <c r="V74" i="1"/>
  <c r="V61" i="1"/>
  <c r="V50" i="1"/>
  <c r="V2" i="1"/>
  <c r="V44" i="1"/>
  <c r="V48" i="1"/>
  <c r="V59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9" i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Y2" i="1"/>
  <c r="T36" i="1" l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14" i="1"/>
  <c r="Y59" i="1"/>
  <c r="Y40" i="1"/>
  <c r="Y52" i="1"/>
  <c r="Y49" i="1"/>
  <c r="Y68" i="1"/>
  <c r="Y62" i="1"/>
  <c r="Y55" i="1"/>
  <c r="Y46" i="1"/>
  <c r="Y47" i="1"/>
  <c r="Y17" i="1"/>
  <c r="Y15" i="1"/>
  <c r="Y9" i="1"/>
  <c r="Y71" i="1"/>
  <c r="Y51" i="1"/>
  <c r="Y20" i="1"/>
  <c r="Y48" i="1"/>
  <c r="Y36" i="1"/>
  <c r="Y10" i="1"/>
  <c r="Y60" i="1"/>
  <c r="Y8" i="1"/>
  <c r="Y35" i="1"/>
  <c r="Y34" i="1"/>
  <c r="Y67" i="1"/>
  <c r="Y25" i="1"/>
  <c r="Y11" i="1"/>
  <c r="Y41" i="1"/>
  <c r="Y56" i="1"/>
  <c r="Y45" i="1"/>
  <c r="Y4" i="1"/>
  <c r="Y66" i="1"/>
  <c r="Y30" i="1"/>
  <c r="Y74" i="1"/>
  <c r="Y76" i="1"/>
  <c r="M72" i="1"/>
  <c r="Y43" i="1" l="1"/>
  <c r="Y75" i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5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<sst xmlns="http://schemas.openxmlformats.org/spreadsheetml/2006/main" count="902" uniqueCount="543">
  <si>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</si>
  <si>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</si>
  <si>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</si>
  <si>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</si>
  <si>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</si>
  <si>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</si>
  <si>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</si>
  <si>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</si>
  <si>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</si>
  <si>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</si>
  <si>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</si>
  <si>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</si>
  <si>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</si>
  <si>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</si>
  <si>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</si>
  <si>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</si>
  <si>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</si>
  <si>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</si>
  <si>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</si>
  <si>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</si>
  <si>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</si>
  <si>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</si>
  <si>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</si>
  <si>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</si>
  <si>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</si>
  <si>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</si>
  <si>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</si>
  <si>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</si>
  <si>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</si>
  <si>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</si>
  <si>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</si>
  <si>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</si>
  <si>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</si>
  <si>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</si>
  <si>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</si>
  <si>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</si>
  <si>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</si>
  <si>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</si>
  <si>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</si>
  <si>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</si>
  <si>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</si>
  <si>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</si>
  <si>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</si>
  <si>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</si>
  <si>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</si>
  <si>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</si>
  <si>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</si>
  <si>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</si>
  <si>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</si>
  <si>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</si>
  <si>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</si>
  <si>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</si>
  <si>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</si>
  <si>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</si>
  <si>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</si>
  <si>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</si>
  <si>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</si>
  <si>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</si>
  <si>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</si>
  <si>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</si>
  <si>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</si>
  <si>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</si>
  <si>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</si>
  <si>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</si>
  <si>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</si>
  <si>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</si>
  <si>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</si>
  <si>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</si>
  <si>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</si>
  <si>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</si>
  <si>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</si>
  <si>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</si>
  <si>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</si>
  <si>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</si>
  <si>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</si>
  <si>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</si>
  <si>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</si>
  <si>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</si>
  <si>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</si>
  <si>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</si>
  <si>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</si>
  <si>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</si>
  <si>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</si>
  <si>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</si>
  <si>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</si>
  <si>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</si>
  <si>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</si>
  <si>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</si>
  <si>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</si>
  <si>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</si>
  <si>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</si>
  <si>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</si>
  <si>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</si>
  <si>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</si>
  <si>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</si>
  <si>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</si>
  <si>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</si>
  <si>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</si>
  <si>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</si>
  <si>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</si>
  <si>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</si>
  <si>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</si>
  <si>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</si>
  <si>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</si>
  <si>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</si>
  <si>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</si>
  <si>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</si>
  <si>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</si>
  <si>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</si>
  <si>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</si>
  <si>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</si>
  <si>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</si>
  <si>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</si>
  <si>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</si>
  <si>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</si>
  <si>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</si>
  <si>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</si>
  <si>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</si>
  <si>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</si>
  <si>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</si>
  <si>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</si>
  <si>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</si>
  <si>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</si>
  <si>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</si>
  <si>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</si>
  <si>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</si>
  <si>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</si>
  <si>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</si>
  <si>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</si>
  <si>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</si>
  <si>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</si>
  <si>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</si>
  <si>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</si>
  <si>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</si>
  <si>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</si>
  <si>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</si>
  <si>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</si>
  <si>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</si>
  <si>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</si>
  <si>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</si>
  <si>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</si>
  <si>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</si>
  <si>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</si>
  <si>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</si>
  <si>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</si>
  <si>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</si>
  <si>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</si>
  <si>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</si>
  <si>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</si>
  <si>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</si>
  <si>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</si>
  <si>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</si>
  <si>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</si>
  <si>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</si>
  <si>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</si>
  <si>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</si>
  <si>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</si>
  <si>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</si>
  <si>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</si>
  <si>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</si>
  <si>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</si>
  <si>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</si>
  <si>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</si>
  <si>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</si>
  <si>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</si>
  <si>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</si>
  <si>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</si>
  <si>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</si>
  <si>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</si>
  <si>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</si>
  <si>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</si>
  <si>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</si>
  <si>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</si>
  <si>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</si>
  <si>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</si>
  <si>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</si>
  <si>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</si>
  <si>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</si>
  <si>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</si>
  <si>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</si>
  <si>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</si>
  <si>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</si>
  <si>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</si>
  <si>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</si>
  <si>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</si>
  <si>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</si>
  <si>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</si>
  <si>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</si>
  <si>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</si>
  <si>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</si>
  <si>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</si>
  <si>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</si>
  <si>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</si>
  <si>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</si>
  <si>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</si>
  <si>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</si>
  <si>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</si>
  <si>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</si>
  <si>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</si>
  <si>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</si>
  <si>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</si>
  <si>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</si>
  <si>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</si>
  <si>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</si>
  <si>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</si>
  <si>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</si>
  <si>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</si>
  <si>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</si>
  <si>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</si>
  <si>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</si>
  <si>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</si>
  <si>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</si>
  <si>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</si>
  <si>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</si>
  <si>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</si>
  <si>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</si>
  <si>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</si>
  <si>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</si>
  <si>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</si>
  <si>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</si>
  <si>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</si>
  <si>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</si>
  <si>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</si>
  <si>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</si>
  <si>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</si>
  <si>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</si>
  <si>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</si>
  <si>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</si>
  <si>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</si>
  <si>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</si>
  <si>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</si>
  <si>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</si>
  <si>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</si>
  <si>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</si>
  <si>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</si>
  <si>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</si>
  <si>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</si>
  <si>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</si>
  <si>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</si>
  <si>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</si>
  <si>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</si>
  <si>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</si>
  <si>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</si>
  <si>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</si>
  <si>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</si>
  <si>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</si>
  <si>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</si>
  <si>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</si>
  <si>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</si>
  <si>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</si>
  <si>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</si>
  <si>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</si>
  <si>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</si>
  <si>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</si>
  <si>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</si>
  <si>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</si>
  <si>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</si>
  <si>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</si>
  <si>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</si>
  <si>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</si>
  <si>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</si>
  <si>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</si>
  <si>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</si>
  <si>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</si>
  <si>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</si>
  <si>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</si>
  <si>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</si>
  <si>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</si>
  <si>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</si>
  <si>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</si>
  <si>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</si>
  <si>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</si>
  <si>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</si>
  <si>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</si>
  <si>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</si>
  <si>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</si>
  <si>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</si>
  <si>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</si>
  <si>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</si>
  <si>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</si>
  <si>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</si>
  <si>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</si>
  <si>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</si>
  <si>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</si>
  <si>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</si>
  <si>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</si>
  <si>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</si>
  <si>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</si>
  <si>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</si>
  <si>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</si>
  <si>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</si>
  <si>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</si>
  <si>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</si>
  <si>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</si>
  <si>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</si>
  <si>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</si>
  <si>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</si>
  <si>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</si>
  <si>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</si>
  <si>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</si>
  <si>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</si>
  <si>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</si>
  <si>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</si>
  <si>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</si>
  <si>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</si>
  <si>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</si>
  <si>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</si>
  <si>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</si>
  <si>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</si>
  <si>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</si>
  <si>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</si>
  <si>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</si>
  <si>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</si>
  <si>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</si>
  <si>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</si>
  <si>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</si>
  <si>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</si>
  <si>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</si>
  <si>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</si>
  <si>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</si>
  <si>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</si>
  <si>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</si>
  <si>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</si>
  <si>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</si>
  <si>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</si>
  <si>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</si>
  <si>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</si>
  <si>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</si>
  <si>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</si>
  <si>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</si>
  <si>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</si>
  <si>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</si>
  <si>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</si>
  <si>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</si>
  <si>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</si>
  <si>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</si>
  <si>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</si>
  <si>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</si>
  <si>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</si>
  <si>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</si>
  <si>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</si>
  <si>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</si>
  <si>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</si>
  <si>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</si>
  <si>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</si>
  <si>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</si>
  <si>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</si>
  <si>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</si>
  <si>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</si>
  <si>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</si>
  <si>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</si>
  <si>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</si>
  <si>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</si>
  <si>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</si>
  <si>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</si>
  <si>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</si>
  <si>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</si>
  <si>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</si>
  <si>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</si>
  <si>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</si>
  <si>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</si>
  <si>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</si>
  <si>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</si>
  <si>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</si>
  <si>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</si>
  <si>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</si>
  <si>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</si>
  <si>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</si>
  <si>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</si>
  <si>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</si>
  <si>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</si>
  <si>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</si>
  <si>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</si>
  <si>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</si>
  <si>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</si>
  <si>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</si>
  <si>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</si>
  <si>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</si>
  <si>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</si>
  <si>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</si>
  <si>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</si>
  <si>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</si>
  <si>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</si>
  <si>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</si>
  <si>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</si>
  <si>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</si>
  <si>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</si>
  <si>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</si>
  <si>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</si>
  <si>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</si>
  <si>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</si>
  <si>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</si>
  <si>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</si>
  <si>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</si>
  <si>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</si>
  <si>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</si>
  <si>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</si>
  <si>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</si>
  <si>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</si>
  <si>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</si>
  <si>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</si>
  <si>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</si>
  <si>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</si>
  <si>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</si>
  <si>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</si>
  <si>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</si>
  <si>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</si>
  <si>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</si>
  <si>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</si>
  <si>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</si>
  <si>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</si>
  <si>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</si>
  <si>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</si>
  <si>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</si>
  <si>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</si>
  <si>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</si>
  <si>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</si>
  <si>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</si>
  <si>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</si>
  <si>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</si>
  <si>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</si>
  <si>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</si>
  <si>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</si>
  <si>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</si>
  <si>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</si>
  <si>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</si>
  <si>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</si>
  <si>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</si>
  <si>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</si>
  <si>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</si>
  <si>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</si>
  <si>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</si>
  <si>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</si>
  <si>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</si>
  <si>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</si>
  <si>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</si>
  <si>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</si>
  <si>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</si>
  <si>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</si>
  <si>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</si>
  <si>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</si>
  <si>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</si>
  <si>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</si>
  <si>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</si>
  <si>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</si>
  <si>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</si>
  <si>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</si>
  <si>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</si>
  <si>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</si>
  <si>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</si>
  <si>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</si>
  <si>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</si>
  <si>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</si>
  <si>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</si>
  <si>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</si>
  <si>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</si>
  <si>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</si>
  <si>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</si>
  <si>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</si>
  <si>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</si>
  <si>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</si>
  <si>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</si>
  <si>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</si>
  <si>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</si>
  <si>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</si>
  <si>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</si>
  <si>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</si>
  <si>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</si>
  <si>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</si>
  <si>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</si>
  <si>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</si>
  <si>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</si>
  <si>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</si>
  <si>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</si>
  <si>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</si>
  <si>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</si>
  <si>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</si>
  <si>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</si>
  <si>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</si>
  <si>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</si>
  <si>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</si>
  <si>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</si>
  <si>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</si>
  <si>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</si>
  <si>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</si>
  <si>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</si>
  <si>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</si>
  <si>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</si>
  <si>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</si>
  <si>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</si>
  <si>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</si>
  <si>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</si>
  <si>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</si>
  <si>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</si>
  <si>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</si>
  <si>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</si>
  <si>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</si>
  <si>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</si>
  <si>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</si>
  <si>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</si>
  <si>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</si>
  <si>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</si>
  <si>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</si>
  <si>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</si>
  <si>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</si>
  <si>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</si>
  <si>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</si>
  <si>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</si>
  <si>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</si>
  <si>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</si>
  <si>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</si>
  <si>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</si>
  <si>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</si>
  <si>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</si>
  <si>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</si>
  <si>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</si>
  <si>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</si>
  <si>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</si>
  <si>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</si>
  <si>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</si>
  <si>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</si>
  <si>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</si>
  <si>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</si>
  <si>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</si>
  <si>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</si>
  <si>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</si>
  <si>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</si>
  <si>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</si>
  <si>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</si>
  <si>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</si>
  <si>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 xml:space="preserve">Контроль места пункции, повязка на 6 ч. </t>
  </si>
  <si>
    <t>100 ml</t>
  </si>
  <si>
    <t>Крюкова Н.С.</t>
  </si>
  <si>
    <t>Иопроскан 370</t>
  </si>
  <si>
    <t>Правый</t>
  </si>
  <si>
    <t>11:00</t>
  </si>
  <si>
    <t>Турик А.В.</t>
  </si>
  <si>
    <t>Совместно с д/кардиологом: с учетом клинических данных, ЭКГ и КАГ рекомендовано ЧКВ ПНА.</t>
  </si>
  <si>
    <t>проходим, контуры ровные</t>
  </si>
  <si>
    <t xml:space="preserve">бассейн представлен крупной доминантной ВТК. Определяется стеноз дистального сегмента до 70%. Кровоток TIMI III. </t>
  </si>
  <si>
    <t>бассейн проходим, контуры ровные. Кровоток TIMI III.</t>
  </si>
  <si>
    <t>стеноз проксимального сегмента 30%, неровности контуров среднего сегмента, на границе среднего и дистального сегментов определяется острая тотальная окклюзия, стеноз дистального сегмента 40%. Кровоток за зоной окклюзии ПНА TIMI III. ДВ1 - стеноз прокс/3 50%</t>
  </si>
  <si>
    <t xml:space="preserve">Устье ЛКА катетеризировано проводниковым катетером Launcher EBU 3.5 6Fr. Коронарный проводник Shunmei заведен в дистальный сегмент ПНА. Реканализация артерии выполнена аспирационным каттером Medtronic Export Advance (получен мелкий фрагмент тромба. 15:59). БК Artimes 2.0-15 выполена ангиопластика субокклюзирующего стеноза дистального сегмента ПНА.   В зону  стеноза  дистального сегмента  имплантирован стенты DES Resolute Integrity 2,5-22 мм (14 атм.).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ПНА востановлен до 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</si>
</sst>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56" fillId="0" borderId="32" xfId="0" applyFont="1" applyBorder="1" applyAlignment="1" applyProtection="1">
      <alignment horizontal="center" vertical="center"/>
      <protection locked="0"/>
    </xf>
    <xf numFmtId="0" fontId="56" fillId="0" borderId="34" xfId="0" applyFont="1" applyBorder="1" applyAlignment="1" applyProtection="1">
      <alignment horizontal="center" vertical="center"/>
      <protection locked="0"/>
    </xf>
    <xf numFmtId="0" fontId="56" fillId="0" borderId="35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6" xfId="6" applyFont="1" applyBorder="1" applyAlignment="1">
      <alignment horizontal="left" vertical="center"/>
    </xf>
    <xf numFmtId="14" fontId="55" fillId="9" borderId="37" xfId="7" applyNumberFormat="1" applyFont="1" applyBorder="1" applyAlignment="1">
      <alignment horizontal="left" vertical="center"/>
    </xf>
    <xf numFmtId="14" fontId="48" fillId="9" borderId="38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9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2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46" fillId="0" borderId="0" xfId="0" applyFont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9" totalsRowShown="0">
  <autoFilter ref="AI1:AK9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3:AI23" totalsRowShown="0">
  <autoFilter ref="AI13:AI23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2:B92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J23" sqref="J23"/>
    </sheetView>
  </sheetViews>
  <sheetFormatPr defaultColWidth="0" defaultRowHeight="15" zeroHeight="1"/>
  <cols>
    <col min="1" max="1" width="17.7109375" style="207" bestFit="1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.28515625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9" t="s">
        <v>212</v>
      </c>
      <c r="B6" s="220"/>
      <c r="C6" s="220"/>
      <c r="D6" s="220"/>
      <c r="E6" s="220"/>
      <c r="F6" s="220"/>
      <c r="G6" s="220"/>
      <c r="H6" s="221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45830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0.64583333333333337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0.65277777777777779</v>
      </c>
      <c r="C10" s="54"/>
      <c r="D10" s="94" t="s">
        <v>172</v>
      </c>
      <c r="E10" s="92"/>
      <c r="F10" s="92"/>
      <c r="G10" s="23" t="s">
        <v>270</v>
      </c>
      <c r="H10" s="25"/>
    </row>
    <row r="11" spans="1:8" ht="17.25" thickTop="1" thickBot="1">
      <c r="A11" s="88" t="s">
        <v>191</v>
      </c>
      <c r="B11" s="199" t="s">
        <v>536</v>
      </c>
      <c r="C11" s="8"/>
      <c r="D11" s="94" t="s">
        <v>169</v>
      </c>
      <c r="E11" s="92"/>
      <c r="F11" s="92"/>
      <c r="G11" s="23" t="s">
        <v>532</v>
      </c>
      <c r="H11" s="25"/>
    </row>
    <row r="12" spans="1:8" ht="16.5" thickTop="1">
      <c r="A12" s="80" t="s">
        <v>8</v>
      </c>
      <c r="B12" s="81">
        <v>26981</v>
      </c>
      <c r="C12" s="11"/>
      <c r="D12" s="94" t="s">
        <v>297</v>
      </c>
      <c r="E12" s="92"/>
      <c r="F12" s="92"/>
      <c r="G12" s="23" t="s">
        <v>176</v>
      </c>
      <c r="H12" s="25"/>
    </row>
    <row r="13" spans="1:8" ht="15.75">
      <c r="A13" s="14" t="s">
        <v>10</v>
      </c>
      <c r="B13" s="29">
        <f>DATEDIF(B12,B8,"y")</f>
        <v>51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17232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35</v>
      </c>
      <c r="C15"/>
      <c r="D15" s="35"/>
      <c r="E15" s="35"/>
      <c r="F15" s="35"/>
      <c r="G15" s="161" t="s">
        <v>392</v>
      </c>
      <c r="H15" s="165" t="s">
        <v>535</v>
      </c>
    </row>
    <row r="16" spans="1:8" ht="15.6" customHeight="1">
      <c r="A16" s="14" t="s">
        <v>105</v>
      </c>
      <c r="B16" s="18" t="s">
        <v>305</v>
      </c>
      <c r="C16"/>
      <c r="D16" s="35"/>
      <c r="E16" s="35"/>
      <c r="F16" s="35"/>
      <c r="G16" s="162" t="s">
        <v>394</v>
      </c>
      <c r="H16" s="160">
        <v>5150</v>
      </c>
    </row>
    <row r="17" spans="1:8" ht="14.45" customHeight="1">
      <c r="A17" s="39"/>
      <c r="B17" s="30"/>
      <c r="C17" s="30"/>
      <c r="D17" s="87"/>
      <c r="E17" s="87"/>
      <c r="F17" s="87"/>
      <c r="G17" s="163" t="s">
        <v>381</v>
      </c>
      <c r="H17" s="164">
        <f>H16*0.0019</f>
        <v>9.7850000000000001</v>
      </c>
    </row>
    <row r="18" spans="1:8" ht="14.45" customHeight="1">
      <c r="A18" s="56" t="s">
        <v>187</v>
      </c>
      <c r="B18" s="86" t="s">
        <v>534</v>
      </c>
      <c r="C18"/>
      <c r="D18" s="27" t="s">
        <v>209</v>
      </c>
      <c r="E18" s="27"/>
      <c r="F18" s="27"/>
      <c r="G18" s="84" t="s">
        <v>188</v>
      </c>
      <c r="H18" s="85" t="s">
        <v>522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2" t="s">
        <v>538</v>
      </c>
      <c r="C20" s="223"/>
      <c r="D20" s="223"/>
      <c r="E20" s="223"/>
      <c r="F20" s="223"/>
      <c r="G20" s="223"/>
      <c r="H20" s="224"/>
    </row>
    <row r="21" spans="1:8">
      <c r="A21" s="57"/>
      <c r="B21" s="225"/>
      <c r="C21" s="225"/>
      <c r="D21" s="225"/>
      <c r="E21" s="225"/>
      <c r="F21" s="225"/>
      <c r="G21" s="225"/>
      <c r="H21" s="226"/>
    </row>
    <row r="22" spans="1:8" ht="15.6" customHeight="1">
      <c r="A22" s="58" t="s">
        <v>266</v>
      </c>
      <c r="B22" s="227" t="s">
        <v>541</v>
      </c>
      <c r="C22" s="227"/>
      <c r="D22" s="227"/>
      <c r="E22" s="227"/>
      <c r="F22" s="227"/>
      <c r="G22" s="227"/>
      <c r="H22" s="228"/>
    </row>
    <row r="23" spans="1:8" ht="14.45" customHeight="1">
      <c r="A23" s="37"/>
      <c r="B23" s="222"/>
      <c r="C23" s="222"/>
      <c r="D23" s="222"/>
      <c r="E23" s="222"/>
      <c r="F23" s="222"/>
      <c r="G23" s="222"/>
      <c r="H23" s="229"/>
    </row>
    <row r="24" spans="1:8" ht="14.45" customHeight="1">
      <c r="A24" s="59"/>
      <c r="B24" s="222"/>
      <c r="C24" s="222"/>
      <c r="D24" s="222"/>
      <c r="E24" s="222"/>
      <c r="F24" s="222"/>
      <c r="G24" s="222"/>
      <c r="H24" s="229"/>
    </row>
    <row r="25" spans="1:8" ht="14.45" customHeight="1">
      <c r="A25" s="37"/>
      <c r="B25" s="222"/>
      <c r="C25" s="222"/>
      <c r="D25" s="222"/>
      <c r="E25" s="222"/>
      <c r="F25" s="222"/>
      <c r="G25" s="222"/>
      <c r="H25" s="229"/>
    </row>
    <row r="26" spans="1:8" ht="14.45" customHeight="1">
      <c r="A26" s="39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8" t="s">
        <v>267</v>
      </c>
      <c r="B27" s="227" t="s">
        <v>539</v>
      </c>
      <c r="C27" s="227"/>
      <c r="D27" s="227"/>
      <c r="E27" s="227"/>
      <c r="F27" s="227"/>
      <c r="G27" s="227"/>
      <c r="H27" s="228"/>
    </row>
    <row r="28" spans="1:8" ht="15.6" customHeight="1">
      <c r="A28" s="37"/>
      <c r="B28" s="222"/>
      <c r="C28" s="222"/>
      <c r="D28" s="222"/>
      <c r="E28" s="222"/>
      <c r="F28" s="222"/>
      <c r="G28" s="222"/>
      <c r="H28" s="229"/>
    </row>
    <row r="29" spans="1:8" ht="14.45" customHeight="1">
      <c r="A29" s="37"/>
      <c r="B29" s="222"/>
      <c r="C29" s="222"/>
      <c r="D29" s="222"/>
      <c r="E29" s="222"/>
      <c r="F29" s="222"/>
      <c r="G29" s="222"/>
      <c r="H29" s="229"/>
    </row>
    <row r="30" spans="1:8" ht="14.45" customHeight="1">
      <c r="A30" s="31"/>
      <c r="B30" s="222"/>
      <c r="C30" s="222"/>
      <c r="D30" s="222"/>
      <c r="E30" s="222"/>
      <c r="F30" s="222"/>
      <c r="G30" s="222"/>
      <c r="H30" s="229"/>
    </row>
    <row r="31" spans="1:8" ht="14.45" customHeight="1">
      <c r="A31" s="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8" t="s">
        <v>268</v>
      </c>
      <c r="B32" s="227" t="s">
        <v>540</v>
      </c>
      <c r="C32" s="227"/>
      <c r="D32" s="227"/>
      <c r="E32" s="227"/>
      <c r="F32" s="227"/>
      <c r="G32" s="227"/>
      <c r="H32" s="228"/>
    </row>
    <row r="33" spans="1:8" ht="14.45" customHeight="1">
      <c r="A33" s="37"/>
      <c r="B33" s="222"/>
      <c r="C33" s="222"/>
      <c r="D33" s="222"/>
      <c r="E33" s="222"/>
      <c r="F33" s="222"/>
      <c r="G33" s="222"/>
      <c r="H33" s="229"/>
    </row>
    <row r="34" spans="1:8" ht="15.6" customHeight="1">
      <c r="A34" s="37"/>
      <c r="B34" s="222"/>
      <c r="C34" s="222"/>
      <c r="D34" s="222"/>
      <c r="E34" s="222"/>
      <c r="F34" s="222"/>
      <c r="G34" s="222"/>
      <c r="H34" s="229"/>
    </row>
    <row r="35" spans="1:8" ht="14.45" customHeight="1">
      <c r="A35" s="37"/>
      <c r="B35" s="222"/>
      <c r="C35" s="222"/>
      <c r="D35" s="222"/>
      <c r="E35" s="222"/>
      <c r="F35" s="222"/>
      <c r="G35" s="222"/>
      <c r="H35" s="229"/>
    </row>
    <row r="36" spans="1:8" ht="15.6" customHeight="1">
      <c r="A36" s="37"/>
      <c r="B36" s="222"/>
      <c r="C36" s="222"/>
      <c r="D36" s="222"/>
      <c r="E36" s="222"/>
      <c r="F36" s="222"/>
      <c r="G36" s="222"/>
      <c r="H36" s="229"/>
    </row>
    <row r="37" spans="1:8" ht="14.45" customHeight="1">
      <c r="A37" s="37"/>
      <c r="B37"/>
      <c r="C37"/>
      <c r="D37" s="215" t="str">
        <f>IF($A$6=Вмешательства!$D$3,Вмешательства!$F$18,"")</f>
        <v/>
      </c>
      <c r="E37" s="215"/>
      <c r="F37" s="118"/>
      <c r="G37" s="118"/>
      <c r="H37" s="122"/>
    </row>
    <row r="38" spans="1:8" ht="14.45" customHeight="1">
      <c r="A38" s="37"/>
      <c r="B38"/>
      <c r="C38" s="123"/>
      <c r="D38" s="216"/>
      <c r="E38" s="217"/>
      <c r="F38" s="217"/>
      <c r="G38" s="217"/>
      <c r="H38" s="218"/>
    </row>
    <row r="39" spans="1:8" ht="14.45" customHeight="1">
      <c r="A39" s="34"/>
      <c r="B39" s="118"/>
      <c r="C39" s="123"/>
      <c r="D39" s="217"/>
      <c r="E39" s="217"/>
      <c r="F39" s="217"/>
      <c r="G39" s="217"/>
      <c r="H39" s="218"/>
    </row>
    <row r="40" spans="1:8" ht="14.45" customHeight="1">
      <c r="A40" s="34"/>
      <c r="B40" s="118"/>
      <c r="C40" s="123"/>
      <c r="D40" s="217"/>
      <c r="E40" s="217"/>
      <c r="F40" s="217"/>
      <c r="G40" s="217"/>
      <c r="H40" s="218"/>
    </row>
    <row r="41" spans="1:8" ht="14.45" customHeight="1">
      <c r="A41" s="34"/>
      <c r="B41" s="118"/>
      <c r="C41" s="123"/>
      <c r="D41" s="217"/>
      <c r="E41" s="217"/>
      <c r="F41" s="217"/>
      <c r="G41" s="217"/>
      <c r="H41" s="218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7,Вмешательства!F24,IF(ЧКВ!A6=Вмешательства!D8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2" t="s">
        <v>537</v>
      </c>
      <c r="E43" s="213"/>
      <c r="F43" s="213"/>
      <c r="G43" s="213"/>
      <c r="H43" s="214"/>
    </row>
    <row r="44" spans="1:8" ht="14.45" customHeight="1">
      <c r="A44" s="34"/>
      <c r="B44" s="118"/>
      <c r="C44" s="125"/>
      <c r="D44" s="213"/>
      <c r="E44" s="213"/>
      <c r="F44" s="213"/>
      <c r="G44" s="213"/>
      <c r="H44" s="214"/>
    </row>
    <row r="45" spans="1:8" ht="14.45" customHeight="1">
      <c r="A45" s="34"/>
      <c r="B45" s="118"/>
      <c r="C45" s="125"/>
      <c r="D45" s="213"/>
      <c r="E45" s="213"/>
      <c r="F45" s="213"/>
      <c r="G45" s="213"/>
      <c r="H45" s="214"/>
    </row>
    <row r="46" spans="1:8">
      <c r="A46" s="34"/>
      <c r="B46" s="118"/>
      <c r="C46" s="125"/>
      <c r="D46" s="213"/>
      <c r="E46" s="213"/>
      <c r="F46" s="213"/>
      <c r="G46" s="213"/>
      <c r="H46" s="214"/>
    </row>
    <row r="47" spans="1:8">
      <c r="A47" s="37"/>
      <c r="B47"/>
      <c r="C47" s="125"/>
      <c r="D47" s="213"/>
      <c r="E47" s="213"/>
      <c r="F47" s="213"/>
      <c r="G47" s="213"/>
      <c r="H47" s="214"/>
    </row>
    <row r="48" spans="1:8">
      <c r="A48" s="37"/>
      <c r="B48"/>
      <c r="C48" s="125"/>
      <c r="D48" s="213"/>
      <c r="E48" s="213"/>
      <c r="F48" s="213"/>
      <c r="G48" s="213"/>
      <c r="H48" s="214"/>
    </row>
    <row r="49" spans="1:13">
      <c r="A49" s="37"/>
      <c r="B49" s="201"/>
      <c r="C49" s="202"/>
      <c r="D49" s="213"/>
      <c r="E49" s="213"/>
      <c r="F49" s="213"/>
      <c r="G49" s="213"/>
      <c r="H49" s="214"/>
    </row>
    <row r="50" spans="1:13">
      <c r="A50" s="37"/>
      <c r="B50"/>
      <c r="C50"/>
      <c r="D50" s="213"/>
      <c r="E50" s="213"/>
      <c r="F50" s="213"/>
      <c r="G50" s="213"/>
      <c r="H50" s="214"/>
      <c r="M50" t="s">
        <v>210</v>
      </c>
    </row>
    <row r="51" spans="1:13">
      <c r="A51" s="61" t="s">
        <v>533</v>
      </c>
      <c r="B51" s="62" t="s">
        <v>531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520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4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08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2" t="s">
        <v>207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1" t="s">
        <v>220</v>
      </c>
      <c r="D8" s="241"/>
      <c r="E8" s="241"/>
      <c r="F8" s="186">
        <v>1</v>
      </c>
      <c r="G8" s="117" t="s">
        <v>303</v>
      </c>
      <c r="H8" s="154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1"/>
      <c r="D9" s="241"/>
      <c r="E9" s="241"/>
      <c r="F9" s="186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5"/>
      <c r="C10" s="245"/>
      <c r="D10" s="245"/>
      <c r="E10" s="245"/>
      <c r="F10" s="189"/>
      <c r="G10" s="117"/>
      <c r="H10" s="38"/>
    </row>
    <row r="11" spans="1:8">
      <c r="A11" s="188"/>
      <c r="B11" s="192"/>
      <c r="C11" s="195">
        <f>SUM(F8:F10)</f>
        <v>1</v>
      </c>
      <c r="D11"/>
      <c r="E11"/>
      <c r="F11"/>
      <c r="G11"/>
      <c r="H11" s="38"/>
    </row>
    <row r="12" spans="1:8" ht="18.75">
      <c r="A12" s="74" t="s">
        <v>190</v>
      </c>
      <c r="B12" s="19">
        <f>КАГ!B8</f>
        <v>45830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v>0.65277777777777779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193</v>
      </c>
      <c r="B14" s="21">
        <v>0.6875</v>
      </c>
      <c r="C14" s="11"/>
      <c r="D14" s="94" t="s">
        <v>172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59" t="s">
        <v>380</v>
      </c>
      <c r="B15" s="184">
        <f>IF(B14&lt;B13,B14+1,B14)-B13</f>
        <v>3.472222222222221E-2</v>
      </c>
      <c r="C15"/>
      <c r="D15" s="94" t="s">
        <v>169</v>
      </c>
      <c r="E15" s="92"/>
      <c r="F15" s="92"/>
      <c r="G15" s="79" t="str">
        <f>КАГ!G11</f>
        <v>Крюкова Н.С.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197" t="str">
        <f>КАГ!B11</f>
        <v>Турик А.В.</v>
      </c>
      <c r="C16" s="196">
        <f>LEN(КАГ!B11)</f>
        <v>10</v>
      </c>
      <c r="D16" s="94" t="s">
        <v>297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26981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17232</v>
      </c>
      <c r="C19" s="68"/>
      <c r="D19" s="68"/>
      <c r="E19" s="68"/>
      <c r="F19" s="68"/>
      <c r="G19" s="161" t="s">
        <v>392</v>
      </c>
      <c r="H19" s="176" t="str">
        <f>КАГ!H15</f>
        <v>11:00</v>
      </c>
    </row>
    <row r="20" spans="1:8" ht="14.45" customHeight="1">
      <c r="A20" s="14" t="s">
        <v>132</v>
      </c>
      <c r="B20" s="67">
        <f>КАГ!B15</f>
        <v>35</v>
      </c>
      <c r="C20" s="69"/>
      <c r="D20" s="69"/>
      <c r="E20" s="69"/>
      <c r="F20" s="69"/>
      <c r="G20" s="162" t="s">
        <v>394</v>
      </c>
      <c r="H20" s="177">
        <f>КАГ!H16</f>
        <v>5150</v>
      </c>
    </row>
    <row r="21" spans="1:8" ht="14.45" customHeight="1">
      <c r="A21" s="14" t="s">
        <v>105</v>
      </c>
      <c r="B21" s="66" t="str">
        <f>КАГ!B16</f>
        <v>ОКС БПST</v>
      </c>
      <c r="C21" s="69"/>
      <c r="D21"/>
      <c r="E21" s="70"/>
      <c r="F21" s="70"/>
      <c r="G21" s="163" t="s">
        <v>381</v>
      </c>
      <c r="H21" s="164">
        <f>КАГ!H17</f>
        <v>9.7850000000000001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0"/>
      <c r="H22" s="181"/>
    </row>
    <row r="23" spans="1:8" ht="14.45" customHeight="1">
      <c r="A23" s="64" t="s">
        <v>384</v>
      </c>
      <c r="B23" s="168" t="s">
        <v>383</v>
      </c>
      <c r="C23" s="158"/>
      <c r="D23" s="158"/>
      <c r="E23" s="158"/>
      <c r="F23" s="158"/>
      <c r="G23"/>
      <c r="H23" s="38"/>
    </row>
    <row r="24" spans="1:8" ht="14.45" customHeight="1">
      <c r="A24" s="179" t="s">
        <v>382</v>
      </c>
      <c r="B24" s="166"/>
      <c r="C24" s="166"/>
      <c r="D24" s="166"/>
      <c r="E24" s="166"/>
      <c r="F24" s="166"/>
      <c r="G24" s="166"/>
      <c r="H24" s="167"/>
    </row>
    <row r="25" spans="1:8" ht="14.45" customHeight="1">
      <c r="A25" s="249" t="s">
        <v>542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3" t="s">
        <v>388</v>
      </c>
      <c r="B38" s="171"/>
      <c r="C38" s="172"/>
      <c r="D38" s="172"/>
      <c r="E38" s="182" t="str">
        <f>IF(A6=Вмешательства!D4,Вмешательства!V16,IF(ЧКВ!A6=Вмешательства!D6,Вмешательства!V16,Вмешательства!V17))</f>
        <v>СТЕНТ/Ы</v>
      </c>
      <c r="F38" s="172"/>
      <c r="G38" s="175"/>
      <c r="H38"/>
    </row>
    <row r="39" spans="1:12" ht="15.75">
      <c r="A39" s="169" t="s">
        <v>385</v>
      </c>
      <c r="B39" s="69" t="s">
        <v>387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70" t="s">
        <v>386</v>
      </c>
      <c r="B40" s="174" t="s">
        <v>515</v>
      </c>
      <c r="C40" s="119"/>
      <c r="D40" s="246" t="s">
        <v>530</v>
      </c>
      <c r="E40" s="247"/>
      <c r="F40" s="247"/>
      <c r="G40" s="247"/>
      <c r="H40" s="248"/>
    </row>
    <row r="41" spans="1:12" ht="14.45" customHeight="1">
      <c r="A41" s="31"/>
      <c r="B41" s="27"/>
      <c r="C41" s="119"/>
      <c r="D41" s="247"/>
      <c r="E41" s="247"/>
      <c r="F41" s="247"/>
      <c r="G41" s="247"/>
      <c r="H41" s="248"/>
    </row>
    <row r="42" spans="1:12" ht="14.45" customHeight="1">
      <c r="A42" s="31"/>
      <c r="B42" s="27"/>
      <c r="C42" s="119"/>
      <c r="D42" s="247"/>
      <c r="E42" s="247"/>
      <c r="F42" s="247"/>
      <c r="G42" s="247"/>
      <c r="H42" s="248"/>
    </row>
    <row r="43" spans="1:12" ht="14.45" customHeight="1">
      <c r="A43" s="31"/>
      <c r="B43" s="27"/>
      <c r="C43" s="119"/>
      <c r="D43" s="247"/>
      <c r="E43" s="247"/>
      <c r="F43" s="247"/>
      <c r="G43" s="247"/>
      <c r="H43" s="248"/>
    </row>
    <row r="44" spans="1:12" ht="14.45" customHeight="1">
      <c r="A44" s="31"/>
      <c r="B44" s="27"/>
      <c r="C44" s="119"/>
      <c r="D44" s="247"/>
      <c r="E44" s="247"/>
      <c r="F44" s="247"/>
      <c r="G44" s="247"/>
      <c r="H44" s="248"/>
      <c r="L44" s="156"/>
    </row>
    <row r="45" spans="1:12" ht="14.45" customHeight="1">
      <c r="A45" s="31"/>
      <c r="B45" s="27"/>
      <c r="C45" s="119"/>
      <c r="D45" s="247"/>
      <c r="E45" s="247"/>
      <c r="F45" s="247"/>
      <c r="G45" s="247"/>
      <c r="H45" s="248"/>
    </row>
    <row r="46" spans="1:12" ht="14.45" customHeight="1">
      <c r="A46" s="31"/>
      <c r="B46" s="27"/>
      <c r="C46" s="119"/>
      <c r="D46" s="247"/>
      <c r="E46" s="247"/>
      <c r="F46" s="247"/>
      <c r="G46" s="247"/>
      <c r="H46" s="248"/>
    </row>
    <row r="47" spans="1:12" ht="14.45" customHeight="1">
      <c r="A47" s="37"/>
      <c r="B47"/>
      <c r="C47" s="119"/>
      <c r="D47" s="247"/>
      <c r="E47" s="247"/>
      <c r="F47" s="247"/>
      <c r="G47" s="247"/>
      <c r="H47" s="248"/>
    </row>
    <row r="48" spans="1:12" ht="14.45" customHeight="1">
      <c r="A48" s="37"/>
      <c r="B48"/>
      <c r="C48" s="119"/>
      <c r="D48" s="247"/>
      <c r="E48" s="247"/>
      <c r="F48" s="247"/>
      <c r="G48" s="247"/>
      <c r="H48" s="248"/>
    </row>
    <row r="49" spans="1:8" ht="14.45" customHeight="1">
      <c r="A49" s="37"/>
      <c r="B49"/>
      <c r="C49" s="119"/>
      <c r="D49" s="247"/>
      <c r="E49" s="247"/>
      <c r="F49" s="247"/>
      <c r="G49" s="247"/>
      <c r="H49" s="248"/>
    </row>
    <row r="50" spans="1:8">
      <c r="A50" s="61" t="s">
        <v>533</v>
      </c>
      <c r="B50" s="62" t="s">
        <v>531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521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2" t="s">
        <v>364</v>
      </c>
      <c r="B52" s="233"/>
      <c r="C52" s="233"/>
      <c r="D52" s="233"/>
      <c r="E52" s="233"/>
      <c r="F52" s="234"/>
      <c r="G52"/>
      <c r="H52" s="38"/>
    </row>
    <row r="53" spans="1:8" ht="15" customHeight="1">
      <c r="A53" s="235"/>
      <c r="B53" s="236"/>
      <c r="C53" s="236"/>
      <c r="D53" s="236"/>
      <c r="E53" s="236"/>
      <c r="F53" s="237"/>
      <c r="G53" s="73" t="str">
        <f>IF(ISBLANK(H13),"",H13)</f>
        <v/>
      </c>
      <c r="H53" s="63"/>
    </row>
    <row r="54" spans="1:8">
      <c r="A54" s="238"/>
      <c r="B54" s="239"/>
      <c r="C54" s="239"/>
      <c r="D54" s="239"/>
      <c r="E54" s="239"/>
      <c r="F54" s="240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5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6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стеноз проксимального сегмента 30%, неровности контуров среднего сегмента, на границе среднего и дистального сегментов определяется острая тотальная окклюзия, стеноз дистального сегмента 40%. Кровоток за зоной окклюзии ПНА TIMI III. ДВ1 - стеноз прокс/3 50%
Бассейн  ОА:   бассейн представлен крупной доминантной ВТК. Определяется стеноз дистального сегмента до 70%. Кровоток TIMI III. 
Бассейн ПКА:   бассейн проходим, контуры ровные. Кровоток TIMI III.</v>
      </c>
    </row>
    <row r="4" spans="1:1">
      <c r="A4" s="205"/>
    </row>
    <row r="5" spans="1:1">
      <c r="A5" s="205"/>
    </row>
    <row r="6" spans="1:1">
      <c r="A6" s="205"/>
    </row>
    <row r="7" spans="1:1">
      <c r="A7" s="205"/>
    </row>
    <row r="8" spans="1:1">
      <c r="A8" s="205"/>
    </row>
    <row r="9" spans="1:1">
      <c r="A9" s="205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16" sqref="B16"/>
    </sheetView>
  </sheetViews>
  <sheetFormatPr defaultColWidth="0" defaultRowHeight="15" zeroHeight="1"/>
  <cols>
    <col min="1" max="1" width="18.7109375" style="209" customWidth="1"/>
    <col min="2" max="2" width="45.7109375" style="209" customWidth="1"/>
    <col min="3" max="3" width="15.7109375" style="209" customWidth="1"/>
    <col min="4" max="4" width="20.7109375" style="209" customWidth="1"/>
    <col min="5" max="5" width="7.7109375" style="209" bestFit="1" customWidth="1"/>
    <col min="6" max="6" width="10.7109375" style="209" bestFit="1" customWidth="1"/>
    <col min="7" max="8" width="10.7109375" style="209" hidden="1" customWidth="1"/>
    <col min="9" max="13" width="11.7109375" style="209" hidden="1" customWidth="1"/>
    <col min="14" max="16384" width="9.140625" style="209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97</v>
      </c>
      <c r="B2" s="96">
        <f>$D$10</f>
        <v>45830</v>
      </c>
      <c r="C2" s="148" t="str">
        <f>IF(ЧКВ!A6=Вмешательства!D4,Вмешательства!F20,IF(ЧКВ!A6=Вмешательства!D37,Вмешательства!F20,Вмешательства!F22))</f>
        <v>ВМП 1</v>
      </c>
      <c r="D2" s="97" t="s">
        <v>98</v>
      </c>
    </row>
    <row r="3" spans="1:4" ht="20.45" customHeight="1">
      <c r="A3" s="98" t="s">
        <v>96</v>
      </c>
      <c r="B3" s="99"/>
      <c r="C3"/>
      <c r="D3" s="38"/>
    </row>
    <row r="4" spans="1:4" ht="16.5" thickBot="1">
      <c r="A4" s="143" t="s">
        <v>194</v>
      </c>
      <c r="B4" s="144" t="s">
        <v>104</v>
      </c>
      <c r="C4" s="145" t="s">
        <v>15</v>
      </c>
      <c r="D4" s="200" t="str">
        <f>КАГ!$B$11</f>
        <v>Турик А.В.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26981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51</v>
      </c>
    </row>
    <row r="7" spans="1:4">
      <c r="A7" s="37"/>
      <c r="B7"/>
      <c r="C7" s="100" t="s">
        <v>12</v>
      </c>
      <c r="D7" s="102">
        <f>КАГ!$B$14</f>
        <v>17232</v>
      </c>
    </row>
    <row r="8" spans="1:4">
      <c r="A8" s="190" t="str">
        <f>ЧКВ!$A$9</f>
        <v>Код модели: 21167</v>
      </c>
      <c r="B8" s="103"/>
      <c r="C8" s="100" t="s">
        <v>132</v>
      </c>
      <c r="D8" s="102">
        <f>КАГ!$B$15</f>
        <v>35</v>
      </c>
    </row>
    <row r="9" spans="1:4">
      <c r="A9" s="190" t="str">
        <f>ЧКВ!$A$10</f>
        <v>Код метода: 47</v>
      </c>
      <c r="B9"/>
      <c r="C9" s="104" t="s">
        <v>105</v>
      </c>
      <c r="D9" s="102" t="str">
        <f>КАГ!$B$16</f>
        <v>ОКС БПST</v>
      </c>
    </row>
    <row r="10" spans="1:4">
      <c r="A10" s="191"/>
      <c r="B10" s="30"/>
      <c r="C10" s="146" t="s">
        <v>13</v>
      </c>
      <c r="D10" s="147">
        <f>КАГ!$B$8</f>
        <v>45830</v>
      </c>
    </row>
    <row r="11" spans="1:4">
      <c r="A11" s="26"/>
      <c r="B11" s="111"/>
      <c r="C11" s="111"/>
      <c r="D11" s="112"/>
    </row>
    <row r="12" spans="1:4" ht="18.75" customHeight="1">
      <c r="A12" s="135" t="s">
        <v>329</v>
      </c>
      <c r="B12" s="136" t="s">
        <v>0</v>
      </c>
      <c r="C12" s="136" t="s">
        <v>14</v>
      </c>
      <c r="D12" s="137" t="s">
        <v>99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9" t="s">
        <v>300</v>
      </c>
      <c r="C13" s="183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0" t="s">
        <v>319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0" t="s">
        <v>512</v>
      </c>
      <c r="C15" s="134">
        <v>0.7</v>
      </c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0" t="s">
        <v>363</v>
      </c>
      <c r="C16" s="134"/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0" t="s">
        <v>317</v>
      </c>
      <c r="C17" s="134" t="s">
        <v>433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0" t="s">
        <v>524</v>
      </c>
      <c r="C18" s="134" t="s">
        <v>399</v>
      </c>
      <c r="D18" s="139">
        <v>1</v>
      </c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0"/>
      <c r="C19" s="178"/>
      <c r="D19" s="139"/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1"/>
      <c r="C20" s="134" t="s">
        <v>210</v>
      </c>
      <c r="D20" s="139" t="s">
        <v>210</v>
      </c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0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0"/>
      <c r="C22" s="134"/>
      <c r="D22" s="140"/>
    </row>
    <row r="23" spans="1:4" ht="27.75" customHeight="1">
      <c r="A2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0"/>
      <c r="C23" s="134"/>
      <c r="D23" s="140"/>
    </row>
    <row r="24" spans="1:4" ht="27.75" customHeight="1">
      <c r="A2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0"/>
      <c r="C24" s="134"/>
      <c r="D24" s="140"/>
    </row>
    <row r="25" spans="1:4" ht="27.75" customHeight="1">
      <c r="A2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2"/>
      <c r="C25" s="141"/>
      <c r="D25" s="142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370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509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0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V22" sqref="V22: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f>ROW(Вмешательства[[#This Row],[№]])-1</f>
        <v>1</v>
      </c>
      <c r="B2" s="2" t="s">
        <v>9</v>
      </c>
      <c r="C2" s="8" t="s">
        <v>227</v>
      </c>
      <c r="D2" s="5" t="s">
        <v>212</v>
      </c>
      <c r="F2" t="s">
        <v>105</v>
      </c>
      <c r="G2" s="3" t="s">
        <v>479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f>ROW(Вмешательства[[#This Row],[№]])-1</f>
        <v>2</v>
      </c>
      <c r="B3" s="2" t="s">
        <v>18</v>
      </c>
      <c r="C3" s="8" t="s">
        <v>84</v>
      </c>
      <c r="D3" s="5" t="s">
        <v>213</v>
      </c>
      <c r="F3" t="s">
        <v>478</v>
      </c>
      <c r="G3" s="3" t="s">
        <v>479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207</v>
      </c>
      <c r="F4" t="s">
        <v>305</v>
      </c>
      <c r="G4" s="3" t="s">
        <v>479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f>ROW(Вмешательства[[#This Row],[№]])-1</f>
        <v>4</v>
      </c>
      <c r="B5" s="2" t="s">
        <v>36</v>
      </c>
      <c r="C5" s="8" t="s">
        <v>37</v>
      </c>
      <c r="D5" s="5" t="s">
        <v>393</v>
      </c>
      <c r="F5" t="s">
        <v>130</v>
      </c>
      <c r="G5" s="3" t="s">
        <v>479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>
      <c r="A6" s="8">
        <f>ROW(Вмешательства[[#This Row],[№]])-1</f>
        <v>5</v>
      </c>
      <c r="B6" s="2"/>
      <c r="C6" s="77" t="s">
        <v>81</v>
      </c>
      <c r="D6" s="5" t="s">
        <v>241</v>
      </c>
      <c r="F6" t="s">
        <v>124</v>
      </c>
      <c r="G6" s="3" t="s">
        <v>479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 ht="30">
      <c r="A7" s="8">
        <f>ROW(Вмешательства[[#This Row],[№]])-1</f>
        <v>6</v>
      </c>
      <c r="B7" s="2"/>
      <c r="C7" s="8" t="s">
        <v>228</v>
      </c>
      <c r="D7" s="5" t="s">
        <v>131</v>
      </c>
      <c r="F7" t="s">
        <v>126</v>
      </c>
      <c r="G7" s="3" t="s">
        <v>479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246</v>
      </c>
      <c r="F8" t="s">
        <v>125</v>
      </c>
      <c r="G8" s="3" t="s">
        <v>479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f>ROW(Вмешательства[[#This Row],[№]])-1</f>
        <v>8</v>
      </c>
      <c r="B9" s="2" t="s">
        <v>35</v>
      </c>
      <c r="C9" s="8" t="s">
        <v>85</v>
      </c>
      <c r="D9" s="5" t="s">
        <v>86</v>
      </c>
      <c r="F9" t="s">
        <v>127</v>
      </c>
      <c r="G9" s="3" t="s">
        <v>479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f>ROW(Вмешательства[[#This Row],[№]])-1</f>
        <v>9</v>
      </c>
      <c r="B10" s="2"/>
      <c r="C10" s="8" t="s">
        <v>229</v>
      </c>
      <c r="D10" s="5" t="s">
        <v>138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230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231</v>
      </c>
      <c r="D12" s="5" t="s">
        <v>20</v>
      </c>
      <c r="F12" t="s">
        <v>105</v>
      </c>
      <c r="G12" s="3" t="s">
        <v>480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232</v>
      </c>
      <c r="D13" s="5" t="s">
        <v>22</v>
      </c>
      <c r="F13" t="s">
        <v>478</v>
      </c>
      <c r="G13" s="3" t="s">
        <v>480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233</v>
      </c>
      <c r="D14" s="5" t="s">
        <v>24</v>
      </c>
      <c r="F14" t="s">
        <v>305</v>
      </c>
      <c r="G14" s="3" t="s">
        <v>480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234</v>
      </c>
      <c r="D15" s="5" t="s">
        <v>28</v>
      </c>
      <c r="F15" t="s">
        <v>130</v>
      </c>
      <c r="G15" s="3" t="s">
        <v>480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388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235</v>
      </c>
      <c r="D16" s="5" t="s">
        <v>30</v>
      </c>
      <c r="V16" t="s">
        <v>389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236</v>
      </c>
      <c r="D17" s="5" t="s">
        <v>32</v>
      </c>
      <c r="F17" t="s">
        <v>481</v>
      </c>
      <c r="V17" t="s">
        <v>390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237</v>
      </c>
      <c r="D18" s="5" t="s">
        <v>34</v>
      </c>
      <c r="F18" t="s">
        <v>214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206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299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330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331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341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496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243</v>
      </c>
      <c r="D28" s="5" t="s">
        <v>244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239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238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240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82</v>
      </c>
      <c r="C34" s="77" t="s">
        <v>83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/>
      <c r="C35" s="77" t="s">
        <v>245</v>
      </c>
      <c r="D35" s="5" t="s">
        <v>87</v>
      </c>
      <c r="H35" s="10"/>
      <c r="W35" s="10"/>
    </row>
    <row r="36" spans="1:23" ht="34.15" customHeight="1">
      <c r="A36" s="8"/>
      <c r="B36" s="2"/>
      <c r="C36" s="77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K9" sqref="AK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100</v>
      </c>
      <c r="F1" s="114" t="s">
        <v>101</v>
      </c>
      <c r="G1" s="114" t="s">
        <v>274</v>
      </c>
      <c r="H1" s="114" t="s">
        <v>275</v>
      </c>
      <c r="I1" s="114" t="s">
        <v>276</v>
      </c>
      <c r="J1" s="114" t="s">
        <v>277</v>
      </c>
      <c r="K1" s="115" t="s">
        <v>278</v>
      </c>
      <c r="L1" s="115" t="s">
        <v>279</v>
      </c>
      <c r="M1" s="115" t="s">
        <v>280</v>
      </c>
      <c r="N1" s="115" t="s">
        <v>281</v>
      </c>
      <c r="O1" s="115" t="s">
        <v>282</v>
      </c>
      <c r="P1" s="115" t="s">
        <v>283</v>
      </c>
      <c r="Q1" s="115" t="s">
        <v>284</v>
      </c>
      <c r="R1" s="114" t="s">
        <v>102</v>
      </c>
      <c r="S1" s="114" t="s">
        <v>103</v>
      </c>
      <c r="T1" s="114" t="s">
        <v>285</v>
      </c>
      <c r="U1" s="114" t="s">
        <v>286</v>
      </c>
      <c r="V1" s="114" t="s">
        <v>287</v>
      </c>
      <c r="W1" s="114" t="s">
        <v>288</v>
      </c>
      <c r="X1" s="114" t="s">
        <v>289</v>
      </c>
      <c r="Y1" s="114" t="s">
        <v>290</v>
      </c>
      <c r="Z1" s="114" t="s">
        <v>291</v>
      </c>
      <c r="AA1" s="114" t="s">
        <v>292</v>
      </c>
      <c r="AB1" s="114" t="s">
        <v>293</v>
      </c>
      <c r="AC1" s="114" t="s">
        <v>294</v>
      </c>
      <c r="AD1" s="114" t="s">
        <v>295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493</v>
      </c>
      <c r="AN1" s="2" t="s">
        <v>487</v>
      </c>
      <c r="AO1" t="s">
        <v>350</v>
      </c>
      <c r="AP1" s="155"/>
    </row>
    <row r="2" spans="1:42">
      <c r="A2">
        <f>ROW(Расходка[[#This Row],[Тип расходного материала ]])-1</f>
        <v>1</v>
      </c>
      <c r="B2" t="s">
        <v>93</v>
      </c>
      <c r="C2" s="1" t="s">
        <v>304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Artimes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395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3">
        <v>155800</v>
      </c>
      <c r="AN2" s="204" t="s">
        <v>303</v>
      </c>
      <c r="AO2" s="205" t="s">
        <v>489</v>
      </c>
      <c r="AP2" s="127"/>
    </row>
    <row r="3" spans="1:42">
      <c r="A3">
        <f>ROW(Расходка[[#This Row],[Тип расходного материала ]])-1</f>
        <v>2</v>
      </c>
      <c r="B3" t="s">
        <v>93</v>
      </c>
      <c r="C3" t="s">
        <v>363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1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396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5">
        <v>218190</v>
      </c>
      <c r="AN3" s="2" t="s">
        <v>482</v>
      </c>
      <c r="AO3" t="s">
        <v>490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524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1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397</v>
      </c>
      <c r="AI4" t="s">
        <v>189</v>
      </c>
      <c r="AJ4" t="s">
        <v>200</v>
      </c>
      <c r="AK4" t="str">
        <f t="shared" si="0"/>
        <v>Контраст: Оптирей 350</v>
      </c>
      <c r="AM4" s="185">
        <v>337440</v>
      </c>
      <c r="AN4" s="2" t="s">
        <v>495</v>
      </c>
      <c r="AO4" t="s">
        <v>492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272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398</v>
      </c>
      <c r="AI5" t="s">
        <v>189</v>
      </c>
      <c r="AJ5" t="s">
        <v>201</v>
      </c>
      <c r="AK5" t="str">
        <f t="shared" si="0"/>
        <v>Контраст: Юнигексол 350</v>
      </c>
      <c r="AM5" s="203">
        <v>136170</v>
      </c>
      <c r="AN5" s="204"/>
      <c r="AO5" s="205" t="s">
        <v>491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525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399</v>
      </c>
      <c r="AI6" t="s">
        <v>189</v>
      </c>
      <c r="AJ6" t="s">
        <v>202</v>
      </c>
      <c r="AK6" t="str">
        <f t="shared" si="0"/>
        <v>Контраст: Сканлюкс 370</v>
      </c>
      <c r="AM6" s="185">
        <v>135820</v>
      </c>
      <c r="AN6" s="2"/>
      <c r="AO6" t="s">
        <v>494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400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3">
        <v>155760</v>
      </c>
      <c r="AN7" s="204"/>
      <c r="AO7" s="205" t="s">
        <v>488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301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401</v>
      </c>
      <c r="AI8" t="s">
        <v>189</v>
      </c>
      <c r="AJ8" t="s">
        <v>204</v>
      </c>
      <c r="AK8" t="str">
        <f t="shared" si="1"/>
        <v>Контраст: Визипак 320</v>
      </c>
      <c r="AM8" s="185">
        <v>218140</v>
      </c>
      <c r="AN8" s="2"/>
      <c r="AO8" t="s">
        <v>88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271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402</v>
      </c>
      <c r="AI9" t="s">
        <v>189</v>
      </c>
      <c r="AJ9" t="s">
        <v>533</v>
      </c>
      <c r="AK9" t="str">
        <f>CONCATENATE(AI9,AJ9)</f>
        <v>Контраст: Иопроскан 370</v>
      </c>
      <c r="AM9" s="185">
        <v>218160</v>
      </c>
      <c r="AN9" s="2"/>
      <c r="AO9" t="s">
        <v>89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307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403</v>
      </c>
      <c r="AM10" s="185">
        <v>194510</v>
      </c>
      <c r="AN10" s="2"/>
      <c r="AO10" t="s">
        <v>90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352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404</v>
      </c>
      <c r="AM11" s="185">
        <v>323500</v>
      </c>
      <c r="AN11" s="2"/>
      <c r="AO11" t="s">
        <v>91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368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405</v>
      </c>
      <c r="AM12" s="185">
        <v>323510</v>
      </c>
      <c r="AN12" s="2"/>
      <c r="AO12" t="s">
        <v>92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391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406</v>
      </c>
      <c r="AI13" t="s">
        <v>349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507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485</v>
      </c>
      <c r="AI14" t="s">
        <v>4</v>
      </c>
      <c r="AM14" s="185"/>
      <c r="AN14" s="2"/>
    </row>
    <row r="15" spans="1:42">
      <c r="A15">
        <f>ROW(Расходка[[#This Row],[Тип расходного материала ]])-1</f>
        <v>14</v>
      </c>
      <c r="B15" t="s">
        <v>302</v>
      </c>
      <c r="C15" s="1" t="s">
        <v>327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407</v>
      </c>
      <c r="AI15" t="s">
        <v>3</v>
      </c>
    </row>
    <row r="16" spans="1:42">
      <c r="A16">
        <f>ROW(Расходка[[#This Row],[Тип расходного материала ]])-1</f>
        <v>15</v>
      </c>
      <c r="B16" t="s">
        <v>302</v>
      </c>
      <c r="C16" t="s">
        <v>359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408</v>
      </c>
      <c r="AI16" t="s">
        <v>6</v>
      </c>
    </row>
    <row r="17" spans="1:35">
      <c r="A17">
        <f>ROW(Расходка[[#This Row],[Тип расходного материала ]])-1</f>
        <v>16</v>
      </c>
      <c r="B17" t="s">
        <v>300</v>
      </c>
      <c r="C17" t="s">
        <v>326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409</v>
      </c>
      <c r="AI17" t="s">
        <v>5</v>
      </c>
    </row>
    <row r="18" spans="1:35">
      <c r="A18">
        <f>ROW(Расходка[[#This Row],[Тип расходного материала ]])-1</f>
        <v>17</v>
      </c>
      <c r="B18" t="s">
        <v>300</v>
      </c>
      <c r="C18" t="s">
        <v>356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410</v>
      </c>
      <c r="AI18" t="s">
        <v>93</v>
      </c>
    </row>
    <row r="19" spans="1:35">
      <c r="A19">
        <f>ROW(Расходка[[#This Row],[Тип расходного материала ]])-1</f>
        <v>18</v>
      </c>
      <c r="B19" t="s">
        <v>300</v>
      </c>
      <c r="C19" t="s">
        <v>348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411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300</v>
      </c>
      <c r="C20" t="s">
        <v>369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412</v>
      </c>
      <c r="AI20" t="s">
        <v>205</v>
      </c>
    </row>
    <row r="21" spans="1:35">
      <c r="A21">
        <f>ROW(Расходка[[#This Row],[Тип расходного материала ]])-1</f>
        <v>20</v>
      </c>
      <c r="B21" t="s">
        <v>300</v>
      </c>
      <c r="C21" t="s">
        <v>361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413</v>
      </c>
      <c r="AI21" t="s">
        <v>94</v>
      </c>
    </row>
    <row r="22" spans="1:35">
      <c r="A22">
        <f>ROW(Расходка[[#This Row],[Тип расходного материала ]])-1</f>
        <v>21</v>
      </c>
      <c r="B22" t="s">
        <v>300</v>
      </c>
      <c r="C22" t="s">
        <v>498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414</v>
      </c>
      <c r="AI22" t="s">
        <v>296</v>
      </c>
    </row>
    <row r="23" spans="1:35">
      <c r="A23">
        <f>ROW(Расходка[[#This Row],[Тип расходного материала ]])-1</f>
        <v>22</v>
      </c>
      <c r="B23" t="s">
        <v>205</v>
      </c>
      <c r="C23" s="1" t="s">
        <v>332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415</v>
      </c>
      <c r="AI23" t="s">
        <v>302</v>
      </c>
    </row>
    <row r="24" spans="1:35">
      <c r="A24">
        <f>ROW(Расходка[[#This Row],[Тип расходного материала ]])-1</f>
        <v>23</v>
      </c>
      <c r="B24" t="s">
        <v>300</v>
      </c>
      <c r="C24" s="1" t="s">
        <v>500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416</v>
      </c>
    </row>
    <row r="25" spans="1:35">
      <c r="A25">
        <f>ROW(Расходка[[#This Row],[Тип расходного материала ]])-1</f>
        <v>24</v>
      </c>
      <c r="B25" t="s">
        <v>300</v>
      </c>
      <c r="C25" s="1" t="s">
        <v>502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417</v>
      </c>
    </row>
    <row r="26" spans="1:35">
      <c r="A26">
        <f>ROW(Расходка[[#This Row],[Тип расходного материала ]])-1</f>
        <v>25</v>
      </c>
      <c r="B26" t="s">
        <v>300</v>
      </c>
      <c r="C26" s="1" t="s">
        <v>300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418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527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419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315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420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336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421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308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483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366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422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367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423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504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424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505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425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506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484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316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426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312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399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313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486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314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427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428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347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429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354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430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403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309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431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371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432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433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311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434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513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435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514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436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437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438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503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439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440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501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441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512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442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443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517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444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273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445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3" t="s">
        <v>339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446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1" t="s">
        <v>523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447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3" t="s">
        <v>338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408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317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1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448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351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449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7" t="s">
        <v>379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450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378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451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510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452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511</v>
      </c>
      <c r="E67" s="193">
        <f>IF(ISNUMBER(SEARCH('Карта учёта'!$B$13,Расходка[[#This Row],[Наименование расходного материала]])),MAX($E$1:E66)+1,0)</f>
        <v>0</v>
      </c>
      <c r="F67" s="193">
        <f>IF(ISNUMBER(SEARCH('Карта учёта'!$B$14,Расходка[[#This Row],[Наименование расходного материала]])),MAX($F$1:F66)+1,0)</f>
        <v>0</v>
      </c>
      <c r="G67" s="193">
        <f>IF(ISNUMBER(SEARCH('Карта учёта'!$B$15,Расходка[[#This Row],[Наименование расходного материала]])),MAX($G$1:G66)+1,0)</f>
        <v>0</v>
      </c>
      <c r="H67" s="193">
        <f>IF(ISNUMBER(SEARCH('Карта учёта'!$B$16,Расходка[[#This Row],[Наименование расходного материала]])),MAX($H$1:H66)+1,0)</f>
        <v>0</v>
      </c>
      <c r="I67" s="193">
        <f>IF(ISNUMBER(SEARCH('Карта учёта'!$B$17,Расходка[[#This Row],[Наименование расходного материала]])),MAX($I$1:I66)+1,0)</f>
        <v>0</v>
      </c>
      <c r="J67" s="193">
        <f>IF(ISNUMBER(SEARCH('Карта учёта'!$B$18,Расходка[[#This Row],[Наименование расходного материала]])),MAX($J$1:J66)+1,0)</f>
        <v>0</v>
      </c>
      <c r="K67" s="193">
        <f>IF(ISNUMBER(SEARCH('Карта учёта'!$B$19,Расходка[[#This Row],[Наименование расходного материала]])),MAX($K$1:K66)+1,0)</f>
        <v>66</v>
      </c>
      <c r="L67" s="193">
        <f>IF(ISNUMBER(SEARCH('Карта учёта'!$B$20,Расходка[[#This Row],[Наименование расходного материала]])),MAX($L$1:L66)+1,0)</f>
        <v>66</v>
      </c>
      <c r="M67" s="193">
        <f>IF(ISNUMBER(SEARCH('Карта учёта'!$B$21,Расходка[[#This Row],[Наименование расходного материала]])),MAX($M$1:M66)+1,0)</f>
        <v>66</v>
      </c>
      <c r="N67" s="193">
        <f>IF(ISNUMBER(SEARCH('Карта учёта'!$B$22,Расходка[[#This Row],[Наименование расходного материала]])),MAX($N$1:N66)+1,0)</f>
        <v>66</v>
      </c>
      <c r="O67" s="193">
        <f>IF(ISNUMBER(SEARCH('Карта учёта'!$B$23,Расходка[[#This Row],[Наименование расходного материала]])),MAX($O$1:O66)+1,0)</f>
        <v>66</v>
      </c>
      <c r="P67" s="193">
        <f>IF(ISNUMBER(SEARCH('Карта учёта'!$B$24,Расходка[[#This Row],[Наименование расходного материала]])),MAX($P$1:P66)+1,0)</f>
        <v>66</v>
      </c>
      <c r="Q67" s="193">
        <f>IF(ISNUMBER(SEARCH('Карта учёта'!$B$25,Расходка[[#This Row],[Наименование расходного материала]])),MAX($Q$1:Q66)+1,0)</f>
        <v>66</v>
      </c>
      <c r="R67" s="194" t="str">
        <f>IFERROR(INDEX(Расходка[Наименование расходного материала],MATCH(Расходка[[#This Row],[№]],Поиск_расходки[Индекс1],0)),"")</f>
        <v/>
      </c>
      <c r="S67" s="194" t="str">
        <f>IFERROR(INDEX(Расходка[Наименование расходного материала],MATCH(Расходка[[#This Row],[№]],Поиск_расходки[Индекс2],0)),"")</f>
        <v/>
      </c>
      <c r="T67" s="194" t="str">
        <f>IFERROR(INDEX(Расходка[Наименование расходного материала],MATCH(Расходка[[#This Row],[№]],Поиск_расходки[Индекс3],0)),"")</f>
        <v/>
      </c>
      <c r="U67" s="194" t="str">
        <f>IFERROR(INDEX(Расходка[Наименование расходного материала],MATCH(Расходка[[#This Row],[№]],Поиск_расходки[Индекс4],0)),"")</f>
        <v/>
      </c>
      <c r="V67" s="194" t="str">
        <f>IFERROR(INDEX(Расходка[Наименование расходного материала],MATCH(Расходка[[#This Row],[№]],Поиск_расходки[Индекс5],0)),"")</f>
        <v/>
      </c>
      <c r="W67" s="194" t="str">
        <f>IFERROR(INDEX(Расходка[Наименование расходного материала],MATCH(Расходка[[#This Row],[№]],Поиск_расходки[Индекс6],0)),"")</f>
        <v/>
      </c>
      <c r="X67" s="194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4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4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4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4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4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4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453</v>
      </c>
    </row>
    <row r="68" spans="1:33">
      <c r="A68">
        <f>ROW(Расходка[[#This Row],[Тип расходного материала ]])-1</f>
        <v>67</v>
      </c>
      <c r="B68" t="s">
        <v>94</v>
      </c>
      <c r="C68" s="1" t="s">
        <v>318</v>
      </c>
      <c r="E68" s="193">
        <f>IF(ISNUMBER(SEARCH('Карта учёта'!$B$13,Расходка[[#This Row],[Наименование расходного материала]])),MAX($E$1:E67)+1,0)</f>
        <v>0</v>
      </c>
      <c r="F68" s="193">
        <f>IF(ISNUMBER(SEARCH('Карта учёта'!$B$14,Расходка[[#This Row],[Наименование расходного материала]])),MAX($F$1:F67)+1,0)</f>
        <v>0</v>
      </c>
      <c r="G68" s="193">
        <f>IF(ISNUMBER(SEARCH('Карта учёта'!$B$15,Расходка[[#This Row],[Наименование расходного материала]])),MAX($G$1:G67)+1,0)</f>
        <v>0</v>
      </c>
      <c r="H68" s="193">
        <f>IF(ISNUMBER(SEARCH('Карта учёта'!$B$16,Расходка[[#This Row],[Наименование расходного материала]])),MAX($H$1:H67)+1,0)</f>
        <v>0</v>
      </c>
      <c r="I68" s="193">
        <f>IF(ISNUMBER(SEARCH('Карта учёта'!$B$17,Расходка[[#This Row],[Наименование расходного материала]])),MAX($I$1:I67)+1,0)</f>
        <v>0</v>
      </c>
      <c r="J68" s="193">
        <f>IF(ISNUMBER(SEARCH('Карта учёта'!$B$18,Расходка[[#This Row],[Наименование расходного материала]])),MAX($J$1:J67)+1,0)</f>
        <v>0</v>
      </c>
      <c r="K68" s="193">
        <f>IF(ISNUMBER(SEARCH('Карта учёта'!$B$19,Расходка[[#This Row],[Наименование расходного материала]])),MAX($K$1:K67)+1,0)</f>
        <v>67</v>
      </c>
      <c r="L68" s="193">
        <f>IF(ISNUMBER(SEARCH('Карта учёта'!$B$20,Расходка[[#This Row],[Наименование расходного материала]])),MAX($L$1:L67)+1,0)</f>
        <v>67</v>
      </c>
      <c r="M68" s="193">
        <f>IF(ISNUMBER(SEARCH('Карта учёта'!$B$21,Расходка[[#This Row],[Наименование расходного материала]])),MAX($M$1:M67)+1,0)</f>
        <v>67</v>
      </c>
      <c r="N68" s="193">
        <f>IF(ISNUMBER(SEARCH('Карта учёта'!$B$22,Расходка[[#This Row],[Наименование расходного материала]])),MAX($N$1:N67)+1,0)</f>
        <v>67</v>
      </c>
      <c r="O68" s="193">
        <f>IF(ISNUMBER(SEARCH('Карта учёта'!$B$23,Расходка[[#This Row],[Наименование расходного материала]])),MAX($O$1:O67)+1,0)</f>
        <v>67</v>
      </c>
      <c r="P68" s="193">
        <f>IF(ISNUMBER(SEARCH('Карта учёта'!$B$24,Расходка[[#This Row],[Наименование расходного материала]])),MAX($P$1:P67)+1,0)</f>
        <v>67</v>
      </c>
      <c r="Q68" s="193">
        <f>IF(ISNUMBER(SEARCH('Карта учёта'!$B$25,Расходка[[#This Row],[Наименование расходного материала]])),MAX($Q$1:Q67)+1,0)</f>
        <v>67</v>
      </c>
      <c r="R68" s="194" t="str">
        <f>IFERROR(INDEX(Расходка[Наименование расходного материала],MATCH(Расходка[[#This Row],[№]],Поиск_расходки[Индекс1],0)),"")</f>
        <v/>
      </c>
      <c r="S68" s="194" t="str">
        <f>IFERROR(INDEX(Расходка[Наименование расходного материала],MATCH(Расходка[[#This Row],[№]],Поиск_расходки[Индекс2],0)),"")</f>
        <v/>
      </c>
      <c r="T68" s="194" t="str">
        <f>IFERROR(INDEX(Расходка[Наименование расходного материала],MATCH(Расходка[[#This Row],[№]],Поиск_расходки[Индекс3],0)),"")</f>
        <v/>
      </c>
      <c r="U68" s="194" t="str">
        <f>IFERROR(INDEX(Расходка[Наименование расходного материала],MATCH(Расходка[[#This Row],[№]],Поиск_расходки[Индекс4],0)),"")</f>
        <v/>
      </c>
      <c r="V68" s="194" t="str">
        <f>IFERROR(INDEX(Расходка[Наименование расходного материала],MATCH(Расходка[[#This Row],[№]],Поиск_расходки[Индекс5],0)),"")</f>
        <v/>
      </c>
      <c r="W68" s="194" t="str">
        <f>IFERROR(INDEX(Расходка[Наименование расходного материала],MATCH(Расходка[[#This Row],[№]],Поиск_расходки[Индекс6],0)),"")</f>
        <v/>
      </c>
      <c r="X68" s="194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4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4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4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4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4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4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454</v>
      </c>
    </row>
    <row r="69" spans="1:33">
      <c r="A69">
        <f>ROW(Расходка[[#This Row],[Тип расходного материала ]])-1</f>
        <v>68</v>
      </c>
      <c r="B69" t="s">
        <v>94</v>
      </c>
      <c r="C69" s="1" t="s">
        <v>337</v>
      </c>
      <c r="E69" s="193">
        <f>IF(ISNUMBER(SEARCH('Карта учёта'!$B$13,Расходка[[#This Row],[Наименование расходного материала]])),MAX($E$1:E68)+1,0)</f>
        <v>0</v>
      </c>
      <c r="F69" s="193">
        <f>IF(ISNUMBER(SEARCH('Карта учёта'!$B$14,Расходка[[#This Row],[Наименование расходного материала]])),MAX($F$1:F68)+1,0)</f>
        <v>0</v>
      </c>
      <c r="G69" s="193">
        <f>IF(ISNUMBER(SEARCH('Карта учёта'!$B$15,Расходка[[#This Row],[Наименование расходного материала]])),MAX($G$1:G68)+1,0)</f>
        <v>0</v>
      </c>
      <c r="H69" s="193">
        <f>IF(ISNUMBER(SEARCH('Карта учёта'!$B$16,Расходка[[#This Row],[Наименование расходного материала]])),MAX($H$1:H68)+1,0)</f>
        <v>0</v>
      </c>
      <c r="I69" s="193">
        <f>IF(ISNUMBER(SEARCH('Карта учёта'!$B$17,Расходка[[#This Row],[Наименование расходного материала]])),MAX($I$1:I68)+1,0)</f>
        <v>0</v>
      </c>
      <c r="J69" s="193">
        <f>IF(ISNUMBER(SEARCH('Карта учёта'!$B$18,Расходка[[#This Row],[Наименование расходного материала]])),MAX($J$1:J68)+1,0)</f>
        <v>0</v>
      </c>
      <c r="K69" s="193">
        <f>IF(ISNUMBER(SEARCH('Карта учёта'!$B$19,Расходка[[#This Row],[Наименование расходного материала]])),MAX($K$1:K68)+1,0)</f>
        <v>68</v>
      </c>
      <c r="L69" s="193">
        <f>IF(ISNUMBER(SEARCH('Карта учёта'!$B$20,Расходка[[#This Row],[Наименование расходного материала]])),MAX($L$1:L68)+1,0)</f>
        <v>68</v>
      </c>
      <c r="M69" s="193">
        <f>IF(ISNUMBER(SEARCH('Карта учёта'!$B$21,Расходка[[#This Row],[Наименование расходного материала]])),MAX($M$1:M68)+1,0)</f>
        <v>68</v>
      </c>
      <c r="N69" s="193">
        <f>IF(ISNUMBER(SEARCH('Карта учёта'!$B$22,Расходка[[#This Row],[Наименование расходного материала]])),MAX($N$1:N68)+1,0)</f>
        <v>68</v>
      </c>
      <c r="O69" s="193">
        <f>IF(ISNUMBER(SEARCH('Карта учёта'!$B$23,Расходка[[#This Row],[Наименование расходного материала]])),MAX($O$1:O68)+1,0)</f>
        <v>68</v>
      </c>
      <c r="P69" s="193">
        <f>IF(ISNUMBER(SEARCH('Карта учёта'!$B$24,Расходка[[#This Row],[Наименование расходного материала]])),MAX($P$1:P68)+1,0)</f>
        <v>68</v>
      </c>
      <c r="Q69" s="193">
        <f>IF(ISNUMBER(SEARCH('Карта учёта'!$B$25,Расходка[[#This Row],[Наименование расходного материала]])),MAX($Q$1:Q68)+1,0)</f>
        <v>68</v>
      </c>
      <c r="R69" s="194" t="str">
        <f>IFERROR(INDEX(Расходка[Наименование расходного материала],MATCH(Расходка[[#This Row],[№]],Поиск_расходки[Индекс1],0)),"")</f>
        <v/>
      </c>
      <c r="S69" s="194" t="str">
        <f>IFERROR(INDEX(Расходка[Наименование расходного материала],MATCH(Расходка[[#This Row],[№]],Поиск_расходки[Индекс2],0)),"")</f>
        <v/>
      </c>
      <c r="T69" s="194" t="str">
        <f>IFERROR(INDEX(Расходка[Наименование расходного материала],MATCH(Расходка[[#This Row],[№]],Поиск_расходки[Индекс3],0)),"")</f>
        <v/>
      </c>
      <c r="U69" s="194" t="str">
        <f>IFERROR(INDEX(Расходка[Наименование расходного материала],MATCH(Расходка[[#This Row],[№]],Поиск_расходки[Индекс4],0)),"")</f>
        <v/>
      </c>
      <c r="V69" s="194" t="str">
        <f>IFERROR(INDEX(Расходка[Наименование расходного материала],MATCH(Расходка[[#This Row],[№]],Поиск_расходки[Индекс5],0)),"")</f>
        <v/>
      </c>
      <c r="W69" s="194" t="str">
        <f>IFERROR(INDEX(Расходка[Наименование расходного материала],MATCH(Расходка[[#This Row],[№]],Поиск_расходки[Индекс6],0)),"")</f>
        <v/>
      </c>
      <c r="X69" s="194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4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4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4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4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4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4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455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344</v>
      </c>
      <c r="E70" s="193">
        <f>IF(ISNUMBER(SEARCH('Карта учёта'!$B$13,Расходка[[#This Row],[Наименование расходного материала]])),MAX($E$1:E69)+1,0)</f>
        <v>0</v>
      </c>
      <c r="F70" s="193">
        <f>IF(ISNUMBER(SEARCH('Карта учёта'!$B$14,Расходка[[#This Row],[Наименование расходного материала]])),MAX($F$1:F69)+1,0)</f>
        <v>0</v>
      </c>
      <c r="G70" s="193">
        <f>IF(ISNUMBER(SEARCH('Карта учёта'!$B$15,Расходка[[#This Row],[Наименование расходного материала]])),MAX($G$1:G69)+1,0)</f>
        <v>0</v>
      </c>
      <c r="H70" s="193">
        <f>IF(ISNUMBER(SEARCH('Карта учёта'!$B$16,Расходка[[#This Row],[Наименование расходного материала]])),MAX($H$1:H69)+1,0)</f>
        <v>0</v>
      </c>
      <c r="I70" s="193">
        <f>IF(ISNUMBER(SEARCH('Карта учёта'!$B$17,Расходка[[#This Row],[Наименование расходного материала]])),MAX($I$1:I69)+1,0)</f>
        <v>0</v>
      </c>
      <c r="J70" s="193">
        <f>IF(ISNUMBER(SEARCH('Карта учёта'!$B$18,Расходка[[#This Row],[Наименование расходного материала]])),MAX($J$1:J69)+1,0)</f>
        <v>0</v>
      </c>
      <c r="K70" s="193">
        <f>IF(ISNUMBER(SEARCH('Карта учёта'!$B$19,Расходка[[#This Row],[Наименование расходного материала]])),MAX($K$1:K69)+1,0)</f>
        <v>69</v>
      </c>
      <c r="L70" s="193">
        <f>IF(ISNUMBER(SEARCH('Карта учёта'!$B$20,Расходка[[#This Row],[Наименование расходного материала]])),MAX($L$1:L69)+1,0)</f>
        <v>69</v>
      </c>
      <c r="M70" s="193">
        <f>IF(ISNUMBER(SEARCH('Карта учёта'!$B$21,Расходка[[#This Row],[Наименование расходного материала]])),MAX($M$1:M69)+1,0)</f>
        <v>69</v>
      </c>
      <c r="N70" s="193">
        <f>IF(ISNUMBER(SEARCH('Карта учёта'!$B$22,Расходка[[#This Row],[Наименование расходного материала]])),MAX($N$1:N69)+1,0)</f>
        <v>69</v>
      </c>
      <c r="O70" s="193">
        <f>IF(ISNUMBER(SEARCH('Карта учёта'!$B$23,Расходка[[#This Row],[Наименование расходного материала]])),MAX($O$1:O69)+1,0)</f>
        <v>69</v>
      </c>
      <c r="P70" s="193">
        <f>IF(ISNUMBER(SEARCH('Карта учёта'!$B$24,Расходка[[#This Row],[Наименование расходного материала]])),MAX($P$1:P69)+1,0)</f>
        <v>69</v>
      </c>
      <c r="Q70" s="193">
        <f>IF(ISNUMBER(SEARCH('Карта учёта'!$B$25,Расходка[[#This Row],[Наименование расходного материала]])),MAX($Q$1:Q69)+1,0)</f>
        <v>69</v>
      </c>
      <c r="R70" s="194" t="str">
        <f>IFERROR(INDEX(Расходка[Наименование расходного материала],MATCH(Расходка[[#This Row],[№]],Поиск_расходки[Индекс1],0)),"")</f>
        <v/>
      </c>
      <c r="S70" s="194" t="str">
        <f>IFERROR(INDEX(Расходка[Наименование расходного материала],MATCH(Расходка[[#This Row],[№]],Поиск_расходки[Индекс2],0)),"")</f>
        <v/>
      </c>
      <c r="T70" s="194" t="str">
        <f>IFERROR(INDEX(Расходка[Наименование расходного материала],MATCH(Расходка[[#This Row],[№]],Поиск_расходки[Индекс3],0)),"")</f>
        <v/>
      </c>
      <c r="U70" s="194" t="str">
        <f>IFERROR(INDEX(Расходка[Наименование расходного материала],MATCH(Расходка[[#This Row],[№]],Поиск_расходки[Индекс4],0)),"")</f>
        <v/>
      </c>
      <c r="V70" s="194" t="str">
        <f>IFERROR(INDEX(Расходка[Наименование расходного материала],MATCH(Расходка[[#This Row],[№]],Поиск_расходки[Индекс5],0)),"")</f>
        <v/>
      </c>
      <c r="W70" s="194" t="str">
        <f>IFERROR(INDEX(Расходка[Наименование расходного материала],MATCH(Расходка[[#This Row],[№]],Поиск_расходки[Индекс6],0)),"")</f>
        <v/>
      </c>
      <c r="X70" s="194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4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4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4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4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4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4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456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345</v>
      </c>
      <c r="E71" s="193">
        <f>IF(ISNUMBER(SEARCH('Карта учёта'!$B$13,Расходка[[#This Row],[Наименование расходного материала]])),MAX($E$1:E70)+1,0)</f>
        <v>0</v>
      </c>
      <c r="F71" s="193">
        <f>IF(ISNUMBER(SEARCH('Карта учёта'!$B$14,Расходка[[#This Row],[Наименование расходного материала]])),MAX($F$1:F70)+1,0)</f>
        <v>0</v>
      </c>
      <c r="G71" s="193">
        <f>IF(ISNUMBER(SEARCH('Карта учёта'!$B$15,Расходка[[#This Row],[Наименование расходного материала]])),MAX($G$1:G70)+1,0)</f>
        <v>0</v>
      </c>
      <c r="H71" s="193">
        <f>IF(ISNUMBER(SEARCH('Карта учёта'!$B$16,Расходка[[#This Row],[Наименование расходного материала]])),MAX($H$1:H70)+1,0)</f>
        <v>0</v>
      </c>
      <c r="I71" s="193">
        <f>IF(ISNUMBER(SEARCH('Карта учёта'!$B$17,Расходка[[#This Row],[Наименование расходного материала]])),MAX($I$1:I70)+1,0)</f>
        <v>0</v>
      </c>
      <c r="J71" s="193">
        <f>IF(ISNUMBER(SEARCH('Карта учёта'!$B$18,Расходка[[#This Row],[Наименование расходного материала]])),MAX($J$1:J70)+1,0)</f>
        <v>0</v>
      </c>
      <c r="K71" s="193">
        <f>IF(ISNUMBER(SEARCH('Карта учёта'!$B$19,Расходка[[#This Row],[Наименование расходного материала]])),MAX($K$1:K70)+1,0)</f>
        <v>70</v>
      </c>
      <c r="L71" s="193">
        <f>IF(ISNUMBER(SEARCH('Карта учёта'!$B$20,Расходка[[#This Row],[Наименование расходного материала]])),MAX($L$1:L70)+1,0)</f>
        <v>70</v>
      </c>
      <c r="M71" s="193">
        <f>IF(ISNUMBER(SEARCH('Карта учёта'!$B$21,Расходка[[#This Row],[Наименование расходного материала]])),MAX($M$1:M70)+1,0)</f>
        <v>70</v>
      </c>
      <c r="N71" s="193">
        <f>IF(ISNUMBER(SEARCH('Карта учёта'!$B$22,Расходка[[#This Row],[Наименование расходного материала]])),MAX($N$1:N70)+1,0)</f>
        <v>70</v>
      </c>
      <c r="O71" s="193">
        <f>IF(ISNUMBER(SEARCH('Карта учёта'!$B$23,Расходка[[#This Row],[Наименование расходного материала]])),MAX($O$1:O70)+1,0)</f>
        <v>70</v>
      </c>
      <c r="P71" s="193">
        <f>IF(ISNUMBER(SEARCH('Карта учёта'!$B$24,Расходка[[#This Row],[Наименование расходного материала]])),MAX($P$1:P70)+1,0)</f>
        <v>70</v>
      </c>
      <c r="Q71" s="193">
        <f>IF(ISNUMBER(SEARCH('Карта учёта'!$B$25,Расходка[[#This Row],[Наименование расходного материала]])),MAX($Q$1:Q70)+1,0)</f>
        <v>70</v>
      </c>
      <c r="R71" s="194" t="str">
        <f>IFERROR(INDEX(Расходка[Наименование расходного материала],MATCH(Расходка[[#This Row],[№]],Поиск_расходки[Индекс1],0)),"")</f>
        <v/>
      </c>
      <c r="S71" s="194" t="str">
        <f>IFERROR(INDEX(Расходка[Наименование расходного материала],MATCH(Расходка[[#This Row],[№]],Поиск_расходки[Индекс2],0)),"")</f>
        <v/>
      </c>
      <c r="T71" s="194" t="str">
        <f>IFERROR(INDEX(Расходка[Наименование расходного материала],MATCH(Расходка[[#This Row],[№]],Поиск_расходки[Индекс3],0)),"")</f>
        <v/>
      </c>
      <c r="U71" s="194" t="str">
        <f>IFERROR(INDEX(Расходка[Наименование расходного материала],MATCH(Расходка[[#This Row],[№]],Поиск_расходки[Индекс4],0)),"")</f>
        <v/>
      </c>
      <c r="V71" s="194" t="str">
        <f>IFERROR(INDEX(Расходка[Наименование расходного материала],MATCH(Расходка[[#This Row],[№]],Поиск_расходки[Индекс5],0)),"")</f>
        <v/>
      </c>
      <c r="W71" s="194" t="str">
        <f>IFERROR(INDEX(Расходка[Наименование расходного материала],MATCH(Расходка[[#This Row],[№]],Поиск_расходки[Индекс6],0)),"")</f>
        <v/>
      </c>
      <c r="X71" s="194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4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4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4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4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4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4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411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319</v>
      </c>
      <c r="E72" s="193">
        <f>IF(ISNUMBER(SEARCH('Карта учёта'!$B$13,Расходка[[#This Row],[Наименование расходного материала]])),MAX($E$1:E71)+1,0)</f>
        <v>0</v>
      </c>
      <c r="F72" s="193">
        <f>IF(ISNUMBER(SEARCH('Карта учёта'!$B$14,Расходка[[#This Row],[Наименование расходного материала]])),MAX($F$1:F71)+1,0)</f>
        <v>1</v>
      </c>
      <c r="G72" s="193">
        <f>IF(ISNUMBER(SEARCH('Карта учёта'!$B$15,Расходка[[#This Row],[Наименование расходного материала]])),MAX($G$1:G71)+1,0)</f>
        <v>0</v>
      </c>
      <c r="H72" s="193">
        <f>IF(ISNUMBER(SEARCH('Карта учёта'!$B$16,Расходка[[#This Row],[Наименование расходного материала]])),MAX($H$1:H71)+1,0)</f>
        <v>0</v>
      </c>
      <c r="I72" s="193">
        <f>IF(ISNUMBER(SEARCH('Карта учёта'!$B$17,Расходка[[#This Row],[Наименование расходного материала]])),MAX($I$1:I71)+1,0)</f>
        <v>0</v>
      </c>
      <c r="J72" s="193">
        <f>IF(ISNUMBER(SEARCH('Карта учёта'!$B$18,Расходка[[#This Row],[Наименование расходного материала]])),MAX($J$1:J71)+1,0)</f>
        <v>0</v>
      </c>
      <c r="K72" s="193">
        <f>IF(ISNUMBER(SEARCH('Карта учёта'!$B$19,Расходка[[#This Row],[Наименование расходного материала]])),MAX($K$1:K71)+1,0)</f>
        <v>71</v>
      </c>
      <c r="L72" s="193">
        <f>IF(ISNUMBER(SEARCH('Карта учёта'!$B$20,Расходка[[#This Row],[Наименование расходного материала]])),MAX($L$1:L71)+1,0)</f>
        <v>71</v>
      </c>
      <c r="M72" s="193">
        <f>IF(ISNUMBER(SEARCH('Карта учёта'!$B$21,Расходка[[#This Row],[Наименование расходного материала]])),MAX($M$1:M71)+1,0)</f>
        <v>71</v>
      </c>
      <c r="N72" s="193">
        <f>IF(ISNUMBER(SEARCH('Карта учёта'!$B$22,Расходка[[#This Row],[Наименование расходного материала]])),MAX($N$1:N71)+1,0)</f>
        <v>71</v>
      </c>
      <c r="O72" s="193">
        <f>IF(ISNUMBER(SEARCH('Карта учёта'!$B$23,Расходка[[#This Row],[Наименование расходного материала]])),MAX($O$1:O71)+1,0)</f>
        <v>71</v>
      </c>
      <c r="P72" s="193">
        <f>IF(ISNUMBER(SEARCH('Карта учёта'!$B$24,Расходка[[#This Row],[Наименование расходного материала]])),MAX($P$1:P71)+1,0)</f>
        <v>71</v>
      </c>
      <c r="Q72" s="193">
        <f>IF(ISNUMBER(SEARCH('Карта учёта'!$B$25,Расходка[[#This Row],[Наименование расходного материала]])),MAX($Q$1:Q71)+1,0)</f>
        <v>71</v>
      </c>
      <c r="R72" s="194" t="str">
        <f>IFERROR(INDEX(Расходка[Наименование расходного материала],MATCH(Расходка[[#This Row],[№]],Поиск_расходки[Индекс1],0)),"")</f>
        <v/>
      </c>
      <c r="S72" s="194" t="str">
        <f>IFERROR(INDEX(Расходка[Наименование расходного материала],MATCH(Расходка[[#This Row],[№]],Поиск_расходки[Индекс2],0)),"")</f>
        <v/>
      </c>
      <c r="T72" s="194" t="str">
        <f>IFERROR(INDEX(Расходка[Наименование расходного материала],MATCH(Расходка[[#This Row],[№]],Поиск_расходки[Индекс3],0)),"")</f>
        <v/>
      </c>
      <c r="U72" s="194" t="str">
        <f>IFERROR(INDEX(Расходка[Наименование расходного материала],MATCH(Расходка[[#This Row],[№]],Поиск_расходки[Индекс4],0)),"")</f>
        <v/>
      </c>
      <c r="V72" s="194" t="str">
        <f>IFERROR(INDEX(Расходка[Наименование расходного материала],MATCH(Расходка[[#This Row],[№]],Поиск_расходки[Индекс5],0)),"")</f>
        <v/>
      </c>
      <c r="W72" s="194" t="str">
        <f>IFERROR(INDEX(Расходка[Наименование расходного материала],MATCH(Расходка[[#This Row],[№]],Поиск_расходки[Индекс6],0)),"")</f>
        <v/>
      </c>
      <c r="X72" s="194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4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4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4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4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4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4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457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320</v>
      </c>
      <c r="E73" s="193">
        <f>IF(ISNUMBER(SEARCH('Карта учёта'!$B$13,Расходка[[#This Row],[Наименование расходного материала]])),MAX($E$1:E72)+1,0)</f>
        <v>0</v>
      </c>
      <c r="F73" s="193">
        <f>IF(ISNUMBER(SEARCH('Карта учёта'!$B$14,Расходка[[#This Row],[Наименование расходного материала]])),MAX($F$1:F72)+1,0)</f>
        <v>0</v>
      </c>
      <c r="G73" s="193">
        <f>IF(ISNUMBER(SEARCH('Карта учёта'!$B$15,Расходка[[#This Row],[Наименование расходного материала]])),MAX($G$1:G72)+1,0)</f>
        <v>0</v>
      </c>
      <c r="H73" s="193">
        <f>IF(ISNUMBER(SEARCH('Карта учёта'!$B$16,Расходка[[#This Row],[Наименование расходного материала]])),MAX($H$1:H72)+1,0)</f>
        <v>0</v>
      </c>
      <c r="I73" s="193">
        <f>IF(ISNUMBER(SEARCH('Карта учёта'!$B$17,Расходка[[#This Row],[Наименование расходного материала]])),MAX($I$1:I72)+1,0)</f>
        <v>0</v>
      </c>
      <c r="J73" s="193">
        <f>IF(ISNUMBER(SEARCH('Карта учёта'!$B$18,Расходка[[#This Row],[Наименование расходного материала]])),MAX($J$1:J72)+1,0)</f>
        <v>0</v>
      </c>
      <c r="K73" s="193">
        <f>IF(ISNUMBER(SEARCH('Карта учёта'!$B$19,Расходка[[#This Row],[Наименование расходного материала]])),MAX($K$1:K72)+1,0)</f>
        <v>72</v>
      </c>
      <c r="L73" s="193">
        <f>IF(ISNUMBER(SEARCH('Карта учёта'!$B$20,Расходка[[#This Row],[Наименование расходного материала]])),MAX($L$1:L72)+1,0)</f>
        <v>72</v>
      </c>
      <c r="M73" s="193">
        <f>IF(ISNUMBER(SEARCH('Карта учёта'!$B$21,Расходка[[#This Row],[Наименование расходного материала]])),MAX($M$1:M72)+1,0)</f>
        <v>72</v>
      </c>
      <c r="N73" s="193">
        <f>IF(ISNUMBER(SEARCH('Карта учёта'!$B$22,Расходка[[#This Row],[Наименование расходного материала]])),MAX($N$1:N72)+1,0)</f>
        <v>72</v>
      </c>
      <c r="O73" s="193">
        <f>IF(ISNUMBER(SEARCH('Карта учёта'!$B$23,Расходка[[#This Row],[Наименование расходного материала]])),MAX($O$1:O72)+1,0)</f>
        <v>72</v>
      </c>
      <c r="P73" s="193">
        <f>IF(ISNUMBER(SEARCH('Карта учёта'!$B$24,Расходка[[#This Row],[Наименование расходного материала]])),MAX($P$1:P72)+1,0)</f>
        <v>72</v>
      </c>
      <c r="Q73" s="193">
        <f>IF(ISNUMBER(SEARCH('Карта учёта'!$B$25,Расходка[[#This Row],[Наименование расходного материала]])),MAX($Q$1:Q72)+1,0)</f>
        <v>72</v>
      </c>
      <c r="R73" s="194" t="str">
        <f>IFERROR(INDEX(Расходка[Наименование расходного материала],MATCH(Расходка[[#This Row],[№]],Поиск_расходки[Индекс1],0)),"")</f>
        <v/>
      </c>
      <c r="S73" s="194" t="str">
        <f>IFERROR(INDEX(Расходка[Наименование расходного материала],MATCH(Расходка[[#This Row],[№]],Поиск_расходки[Индекс2],0)),"")</f>
        <v/>
      </c>
      <c r="T73" s="194" t="str">
        <f>IFERROR(INDEX(Расходка[Наименование расходного материала],MATCH(Расходка[[#This Row],[№]],Поиск_расходки[Индекс3],0)),"")</f>
        <v/>
      </c>
      <c r="U73" s="194" t="str">
        <f>IFERROR(INDEX(Расходка[Наименование расходного материала],MATCH(Расходка[[#This Row],[№]],Поиск_расходки[Индекс4],0)),"")</f>
        <v/>
      </c>
      <c r="V73" s="194" t="str">
        <f>IFERROR(INDEX(Расходка[Наименование расходного материала],MATCH(Расходка[[#This Row],[№]],Поиск_расходки[Индекс5],0)),"")</f>
        <v/>
      </c>
      <c r="W73" s="194" t="str">
        <f>IFERROR(INDEX(Расходка[Наименование расходного материала],MATCH(Расходка[[#This Row],[№]],Поиск_расходки[Индекс6],0)),"")</f>
        <v/>
      </c>
      <c r="X73" s="194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4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4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4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4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4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4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412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321</v>
      </c>
      <c r="E74" s="193">
        <f>IF(ISNUMBER(SEARCH('Карта учёта'!$B$13,Расходка[[#This Row],[Наименование расходного материала]])),MAX($E$1:E73)+1,0)</f>
        <v>0</v>
      </c>
      <c r="F74" s="193">
        <f>IF(ISNUMBER(SEARCH('Карта учёта'!$B$14,Расходка[[#This Row],[Наименование расходного материала]])),MAX($F$1:F73)+1,0)</f>
        <v>0</v>
      </c>
      <c r="G74" s="193">
        <f>IF(ISNUMBER(SEARCH('Карта учёта'!$B$15,Расходка[[#This Row],[Наименование расходного материала]])),MAX($G$1:G73)+1,0)</f>
        <v>0</v>
      </c>
      <c r="H74" s="193">
        <f>IF(ISNUMBER(SEARCH('Карта учёта'!$B$16,Расходка[[#This Row],[Наименование расходного материала]])),MAX($H$1:H73)+1,0)</f>
        <v>0</v>
      </c>
      <c r="I74" s="193">
        <f>IF(ISNUMBER(SEARCH('Карта учёта'!$B$17,Расходка[[#This Row],[Наименование расходного материала]])),MAX($I$1:I73)+1,0)</f>
        <v>0</v>
      </c>
      <c r="J74" s="193">
        <f>IF(ISNUMBER(SEARCH('Карта учёта'!$B$18,Расходка[[#This Row],[Наименование расходного материала]])),MAX($J$1:J73)+1,0)</f>
        <v>0</v>
      </c>
      <c r="K74" s="193">
        <f>IF(ISNUMBER(SEARCH('Карта учёта'!$B$19,Расходка[[#This Row],[Наименование расходного материала]])),MAX($K$1:K73)+1,0)</f>
        <v>73</v>
      </c>
      <c r="L74" s="193">
        <f>IF(ISNUMBER(SEARCH('Карта учёта'!$B$20,Расходка[[#This Row],[Наименование расходного материала]])),MAX($L$1:L73)+1,0)</f>
        <v>73</v>
      </c>
      <c r="M74" s="193">
        <f>IF(ISNUMBER(SEARCH('Карта учёта'!$B$21,Расходка[[#This Row],[Наименование расходного материала]])),MAX($M$1:M73)+1,0)</f>
        <v>73</v>
      </c>
      <c r="N74" s="193">
        <f>IF(ISNUMBER(SEARCH('Карта учёта'!$B$22,Расходка[[#This Row],[Наименование расходного материала]])),MAX($N$1:N73)+1,0)</f>
        <v>73</v>
      </c>
      <c r="O74" s="193">
        <f>IF(ISNUMBER(SEARCH('Карта учёта'!$B$23,Расходка[[#This Row],[Наименование расходного материала]])),MAX($O$1:O73)+1,0)</f>
        <v>73</v>
      </c>
      <c r="P74" s="193">
        <f>IF(ISNUMBER(SEARCH('Карта учёта'!$B$24,Расходка[[#This Row],[Наименование расходного материала]])),MAX($P$1:P73)+1,0)</f>
        <v>73</v>
      </c>
      <c r="Q74" s="193">
        <f>IF(ISNUMBER(SEARCH('Карта учёта'!$B$25,Расходка[[#This Row],[Наименование расходного материала]])),MAX($Q$1:Q73)+1,0)</f>
        <v>73</v>
      </c>
      <c r="R74" s="194" t="str">
        <f>IFERROR(INDEX(Расходка[Наименование расходного материала],MATCH(Расходка[[#This Row],[№]],Поиск_расходки[Индекс1],0)),"")</f>
        <v/>
      </c>
      <c r="S74" s="194" t="str">
        <f>IFERROR(INDEX(Расходка[Наименование расходного материала],MATCH(Расходка[[#This Row],[№]],Поиск_расходки[Индекс2],0)),"")</f>
        <v/>
      </c>
      <c r="T74" s="194" t="str">
        <f>IFERROR(INDEX(Расходка[Наименование расходного материала],MATCH(Расходка[[#This Row],[№]],Поиск_расходки[Индекс3],0)),"")</f>
        <v/>
      </c>
      <c r="U74" s="194" t="str">
        <f>IFERROR(INDEX(Расходка[Наименование расходного материала],MATCH(Расходка[[#This Row],[№]],Поиск_расходки[Индекс4],0)),"")</f>
        <v/>
      </c>
      <c r="V74" s="194" t="str">
        <f>IFERROR(INDEX(Расходка[Наименование расходного материала],MATCH(Расходка[[#This Row],[№]],Поиск_расходки[Индекс5],0)),"")</f>
        <v/>
      </c>
      <c r="W74" s="194" t="str">
        <f>IFERROR(INDEX(Расходка[Наименование расходного материала],MATCH(Расходка[[#This Row],[№]],Поиск_расходки[Индекс6],0)),"")</f>
        <v/>
      </c>
      <c r="X74" s="194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4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4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4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4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4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4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458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322</v>
      </c>
      <c r="E75" s="193">
        <f>IF(ISNUMBER(SEARCH('Карта учёта'!$B$13,Расходка[[#This Row],[Наименование расходного материала]])),MAX($E$1:E74)+1,0)</f>
        <v>0</v>
      </c>
      <c r="F75" s="193">
        <f>IF(ISNUMBER(SEARCH('Карта учёта'!$B$14,Расходка[[#This Row],[Наименование расходного материала]])),MAX($F$1:F74)+1,0)</f>
        <v>0</v>
      </c>
      <c r="G75" s="193">
        <f>IF(ISNUMBER(SEARCH('Карта учёта'!$B$15,Расходка[[#This Row],[Наименование расходного материала]])),MAX($G$1:G74)+1,0)</f>
        <v>0</v>
      </c>
      <c r="H75" s="193">
        <f>IF(ISNUMBER(SEARCH('Карта учёта'!$B$16,Расходка[[#This Row],[Наименование расходного материала]])),MAX($H$1:H74)+1,0)</f>
        <v>0</v>
      </c>
      <c r="I75" s="193">
        <f>IF(ISNUMBER(SEARCH('Карта учёта'!$B$17,Расходка[[#This Row],[Наименование расходного материала]])),MAX($I$1:I74)+1,0)</f>
        <v>0</v>
      </c>
      <c r="J75" s="193">
        <f>IF(ISNUMBER(SEARCH('Карта учёта'!$B$18,Расходка[[#This Row],[Наименование расходного материала]])),MAX($J$1:J74)+1,0)</f>
        <v>0</v>
      </c>
      <c r="K75" s="193">
        <f>IF(ISNUMBER(SEARCH('Карта учёта'!$B$19,Расходка[[#This Row],[Наименование расходного материала]])),MAX($K$1:K74)+1,0)</f>
        <v>74</v>
      </c>
      <c r="L75" s="193">
        <f>IF(ISNUMBER(SEARCH('Карта учёта'!$B$20,Расходка[[#This Row],[Наименование расходного материала]])),MAX($L$1:L74)+1,0)</f>
        <v>74</v>
      </c>
      <c r="M75" s="193">
        <f>IF(ISNUMBER(SEARCH('Карта учёта'!$B$21,Расходка[[#This Row],[Наименование расходного материала]])),MAX($M$1:M74)+1,0)</f>
        <v>74</v>
      </c>
      <c r="N75" s="193">
        <f>IF(ISNUMBER(SEARCH('Карта учёта'!$B$22,Расходка[[#This Row],[Наименование расходного материала]])),MAX($N$1:N74)+1,0)</f>
        <v>74</v>
      </c>
      <c r="O75" s="193">
        <f>IF(ISNUMBER(SEARCH('Карта учёта'!$B$23,Расходка[[#This Row],[Наименование расходного материала]])),MAX($O$1:O74)+1,0)</f>
        <v>74</v>
      </c>
      <c r="P75" s="193">
        <f>IF(ISNUMBER(SEARCH('Карта учёта'!$B$24,Расходка[[#This Row],[Наименование расходного материала]])),MAX($P$1:P74)+1,0)</f>
        <v>74</v>
      </c>
      <c r="Q75" s="193">
        <f>IF(ISNUMBER(SEARCH('Карта учёта'!$B$25,Расходка[[#This Row],[Наименование расходного материала]])),MAX($Q$1:Q74)+1,0)</f>
        <v>74</v>
      </c>
      <c r="R75" s="194" t="str">
        <f>IFERROR(INDEX(Расходка[Наименование расходного материала],MATCH(Расходка[[#This Row],[№]],Поиск_расходки[Индекс1],0)),"")</f>
        <v/>
      </c>
      <c r="S75" s="194" t="str">
        <f>IFERROR(INDEX(Расходка[Наименование расходного материала],MATCH(Расходка[[#This Row],[№]],Поиск_расходки[Индекс2],0)),"")</f>
        <v/>
      </c>
      <c r="T75" s="194" t="str">
        <f>IFERROR(INDEX(Расходка[Наименование расходного материала],MATCH(Расходка[[#This Row],[№]],Поиск_расходки[Индекс3],0)),"")</f>
        <v/>
      </c>
      <c r="U75" s="194" t="str">
        <f>IFERROR(INDEX(Расходка[Наименование расходного материала],MATCH(Расходка[[#This Row],[№]],Поиск_расходки[Индекс4],0)),"")</f>
        <v/>
      </c>
      <c r="V75" s="194" t="str">
        <f>IFERROR(INDEX(Расходка[Наименование расходного материала],MATCH(Расходка[[#This Row],[№]],Поиск_расходки[Индекс5],0)),"")</f>
        <v/>
      </c>
      <c r="W75" s="194" t="str">
        <f>IFERROR(INDEX(Расходка[Наименование расходного материала],MATCH(Расходка[[#This Row],[№]],Поиск_расходки[Индекс6],0)),"")</f>
        <v/>
      </c>
      <c r="X75" s="194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4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4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4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4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4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4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459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328</v>
      </c>
      <c r="E76" s="193">
        <f>IF(ISNUMBER(SEARCH('Карта учёта'!$B$13,Расходка[[#This Row],[Наименование расходного материала]])),MAX($E$1:E75)+1,0)</f>
        <v>0</v>
      </c>
      <c r="F76" s="193">
        <f>IF(ISNUMBER(SEARCH('Карта учёта'!$B$14,Расходка[[#This Row],[Наименование расходного материала]])),MAX($F$1:F75)+1,0)</f>
        <v>0</v>
      </c>
      <c r="G76" s="193">
        <f>IF(ISNUMBER(SEARCH('Карта учёта'!$B$15,Расходка[[#This Row],[Наименование расходного материала]])),MAX($G$1:G75)+1,0)</f>
        <v>0</v>
      </c>
      <c r="H76" s="193">
        <f>IF(ISNUMBER(SEARCH('Карта учёта'!$B$16,Расходка[[#This Row],[Наименование расходного материала]])),MAX($H$1:H75)+1,0)</f>
        <v>0</v>
      </c>
      <c r="I76" s="193">
        <f>IF(ISNUMBER(SEARCH('Карта учёта'!$B$17,Расходка[[#This Row],[Наименование расходного материала]])),MAX($I$1:I75)+1,0)</f>
        <v>0</v>
      </c>
      <c r="J76" s="193">
        <f>IF(ISNUMBER(SEARCH('Карта учёта'!$B$18,Расходка[[#This Row],[Наименование расходного материала]])),MAX($J$1:J75)+1,0)</f>
        <v>0</v>
      </c>
      <c r="K76" s="193">
        <f>IF(ISNUMBER(SEARCH('Карта учёта'!$B$19,Расходка[[#This Row],[Наименование расходного материала]])),MAX($K$1:K75)+1,0)</f>
        <v>75</v>
      </c>
      <c r="L76" s="193">
        <f>IF(ISNUMBER(SEARCH('Карта учёта'!$B$20,Расходка[[#This Row],[Наименование расходного материала]])),MAX($L$1:L75)+1,0)</f>
        <v>75</v>
      </c>
      <c r="M76" s="193">
        <f>IF(ISNUMBER(SEARCH('Карта учёта'!$B$21,Расходка[[#This Row],[Наименование расходного материала]])),MAX($M$1:M75)+1,0)</f>
        <v>75</v>
      </c>
      <c r="N76" s="193">
        <f>IF(ISNUMBER(SEARCH('Карта учёта'!$B$22,Расходка[[#This Row],[Наименование расходного материала]])),MAX($N$1:N75)+1,0)</f>
        <v>75</v>
      </c>
      <c r="O76" s="193">
        <f>IF(ISNUMBER(SEARCH('Карта учёта'!$B$23,Расходка[[#This Row],[Наименование расходного материала]])),MAX($O$1:O75)+1,0)</f>
        <v>75</v>
      </c>
      <c r="P76" s="193">
        <f>IF(ISNUMBER(SEARCH('Карта учёта'!$B$24,Расходка[[#This Row],[Наименование расходного материала]])),MAX($P$1:P75)+1,0)</f>
        <v>75</v>
      </c>
      <c r="Q76" s="193">
        <f>IF(ISNUMBER(SEARCH('Карта учёта'!$B$25,Расходка[[#This Row],[Наименование расходного материала]])),MAX($Q$1:Q75)+1,0)</f>
        <v>75</v>
      </c>
      <c r="R76" s="194" t="str">
        <f>IFERROR(INDEX(Расходка[Наименование расходного материала],MATCH(Расходка[[#This Row],[№]],Поиск_расходки[Индекс1],0)),"")</f>
        <v/>
      </c>
      <c r="S76" s="194" t="str">
        <f>IFERROR(INDEX(Расходка[Наименование расходного материала],MATCH(Расходка[[#This Row],[№]],Поиск_расходки[Индекс2],0)),"")</f>
        <v/>
      </c>
      <c r="T76" s="194" t="str">
        <f>IFERROR(INDEX(Расходка[Наименование расходного материала],MATCH(Расходка[[#This Row],[№]],Поиск_расходки[Индекс3],0)),"")</f>
        <v/>
      </c>
      <c r="U76" s="194" t="str">
        <f>IFERROR(INDEX(Расходка[Наименование расходного материала],MATCH(Расходка[[#This Row],[№]],Поиск_расходки[Индекс4],0)),"")</f>
        <v/>
      </c>
      <c r="V76" s="194" t="str">
        <f>IFERROR(INDEX(Расходка[Наименование расходного материала],MATCH(Расходка[[#This Row],[№]],Поиск_расходки[Индекс5],0)),"")</f>
        <v/>
      </c>
      <c r="W76" s="194" t="str">
        <f>IFERROR(INDEX(Расходка[Наименование расходного материала],MATCH(Расходка[[#This Row],[№]],Поиск_расходки[Индекс6],0)),"")</f>
        <v/>
      </c>
      <c r="X76" s="194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4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4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4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4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4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4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460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323</v>
      </c>
      <c r="E77" s="193">
        <f>IF(ISNUMBER(SEARCH('Карта учёта'!$B$13,Расходка[[#This Row],[Наименование расходного материала]])),MAX($E$1:E76)+1,0)</f>
        <v>0</v>
      </c>
      <c r="F77" s="193">
        <f>IF(ISNUMBER(SEARCH('Карта учёта'!$B$14,Расходка[[#This Row],[Наименование расходного материала]])),MAX($F$1:F76)+1,0)</f>
        <v>0</v>
      </c>
      <c r="G77" s="193">
        <f>IF(ISNUMBER(SEARCH('Карта учёта'!$B$15,Расходка[[#This Row],[Наименование расходного материала]])),MAX($G$1:G76)+1,0)</f>
        <v>0</v>
      </c>
      <c r="H77" s="193">
        <f>IF(ISNUMBER(SEARCH('Карта учёта'!$B$16,Расходка[[#This Row],[Наименование расходного материала]])),MAX($H$1:H76)+1,0)</f>
        <v>0</v>
      </c>
      <c r="I77" s="193">
        <f>IF(ISNUMBER(SEARCH('Карта учёта'!$B$17,Расходка[[#This Row],[Наименование расходного материала]])),MAX($I$1:I76)+1,0)</f>
        <v>0</v>
      </c>
      <c r="J77" s="193">
        <f>IF(ISNUMBER(SEARCH('Карта учёта'!$B$18,Расходка[[#This Row],[Наименование расходного материала]])),MAX($J$1:J76)+1,0)</f>
        <v>0</v>
      </c>
      <c r="K77" s="193">
        <f>IF(ISNUMBER(SEARCH('Карта учёта'!$B$19,Расходка[[#This Row],[Наименование расходного материала]])),MAX($K$1:K76)+1,0)</f>
        <v>76</v>
      </c>
      <c r="L77" s="193">
        <f>IF(ISNUMBER(SEARCH('Карта учёта'!$B$20,Расходка[[#This Row],[Наименование расходного материала]])),MAX($L$1:L76)+1,0)</f>
        <v>76</v>
      </c>
      <c r="M77" s="193">
        <f>IF(ISNUMBER(SEARCH('Карта учёта'!$B$21,Расходка[[#This Row],[Наименование расходного материала]])),MAX($M$1:M76)+1,0)</f>
        <v>76</v>
      </c>
      <c r="N77" s="193">
        <f>IF(ISNUMBER(SEARCH('Карта учёта'!$B$22,Расходка[[#This Row],[Наименование расходного материала]])),MAX($N$1:N76)+1,0)</f>
        <v>76</v>
      </c>
      <c r="O77" s="193">
        <f>IF(ISNUMBER(SEARCH('Карта учёта'!$B$23,Расходка[[#This Row],[Наименование расходного материала]])),MAX($O$1:O76)+1,0)</f>
        <v>76</v>
      </c>
      <c r="P77" s="193">
        <f>IF(ISNUMBER(SEARCH('Карта учёта'!$B$24,Расходка[[#This Row],[Наименование расходного материала]])),MAX($P$1:P76)+1,0)</f>
        <v>76</v>
      </c>
      <c r="Q77" s="193">
        <f>IF(ISNUMBER(SEARCH('Карта учёта'!$B$25,Расходка[[#This Row],[Наименование расходного материала]])),MAX($Q$1:Q76)+1,0)</f>
        <v>76</v>
      </c>
      <c r="R77" s="194" t="str">
        <f>IFERROR(INDEX(Расходка[Наименование расходного материала],MATCH(Расходка[[#This Row],[№]],Поиск_расходки[Индекс1],0)),"")</f>
        <v/>
      </c>
      <c r="S77" s="194" t="str">
        <f>IFERROR(INDEX(Расходка[Наименование расходного материала],MATCH(Расходка[[#This Row],[№]],Поиск_расходки[Индекс2],0)),"")</f>
        <v/>
      </c>
      <c r="T77" s="194" t="str">
        <f>IFERROR(INDEX(Расходка[Наименование расходного материала],MATCH(Расходка[[#This Row],[№]],Поиск_расходки[Индекс3],0)),"")</f>
        <v/>
      </c>
      <c r="U77" s="194" t="str">
        <f>IFERROR(INDEX(Расходка[Наименование расходного материала],MATCH(Расходка[[#This Row],[№]],Поиск_расходки[Индекс4],0)),"")</f>
        <v/>
      </c>
      <c r="V77" s="194" t="str">
        <f>IFERROR(INDEX(Расходка[Наименование расходного материала],MATCH(Расходка[[#This Row],[№]],Поиск_расходки[Индекс5],0)),"")</f>
        <v/>
      </c>
      <c r="W77" s="194" t="str">
        <f>IFERROR(INDEX(Расходка[Наименование расходного материала],MATCH(Расходка[[#This Row],[№]],Поиск_расходки[Индекс6],0)),"")</f>
        <v/>
      </c>
      <c r="X77" s="194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4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4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4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4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4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4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461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324</v>
      </c>
      <c r="E78" s="193">
        <f>IF(ISNUMBER(SEARCH('Карта учёта'!$B$13,Расходка[[#This Row],[Наименование расходного материала]])),MAX($E$1:E77)+1,0)</f>
        <v>0</v>
      </c>
      <c r="F78" s="193">
        <f>IF(ISNUMBER(SEARCH('Карта учёта'!$B$14,Расходка[[#This Row],[Наименование расходного материала]])),MAX($F$1:F77)+1,0)</f>
        <v>0</v>
      </c>
      <c r="G78" s="193">
        <f>IF(ISNUMBER(SEARCH('Карта учёта'!$B$15,Расходка[[#This Row],[Наименование расходного материала]])),MAX($G$1:G77)+1,0)</f>
        <v>0</v>
      </c>
      <c r="H78" s="193">
        <f>IF(ISNUMBER(SEARCH('Карта учёта'!$B$16,Расходка[[#This Row],[Наименование расходного материала]])),MAX($H$1:H77)+1,0)</f>
        <v>0</v>
      </c>
      <c r="I78" s="193">
        <f>IF(ISNUMBER(SEARCH('Карта учёта'!$B$17,Расходка[[#This Row],[Наименование расходного материала]])),MAX($I$1:I77)+1,0)</f>
        <v>0</v>
      </c>
      <c r="J78" s="193">
        <f>IF(ISNUMBER(SEARCH('Карта учёта'!$B$18,Расходка[[#This Row],[Наименование расходного материала]])),MAX($J$1:J77)+1,0)</f>
        <v>0</v>
      </c>
      <c r="K78" s="193">
        <f>IF(ISNUMBER(SEARCH('Карта учёта'!$B$19,Расходка[[#This Row],[Наименование расходного материала]])),MAX($K$1:K77)+1,0)</f>
        <v>77</v>
      </c>
      <c r="L78" s="193">
        <f>IF(ISNUMBER(SEARCH('Карта учёта'!$B$20,Расходка[[#This Row],[Наименование расходного материала]])),MAX($L$1:L77)+1,0)</f>
        <v>77</v>
      </c>
      <c r="M78" s="193">
        <f>IF(ISNUMBER(SEARCH('Карта учёта'!$B$21,Расходка[[#This Row],[Наименование расходного материала]])),MAX($M$1:M77)+1,0)</f>
        <v>77</v>
      </c>
      <c r="N78" s="193">
        <f>IF(ISNUMBER(SEARCH('Карта учёта'!$B$22,Расходка[[#This Row],[Наименование расходного материала]])),MAX($N$1:N77)+1,0)</f>
        <v>77</v>
      </c>
      <c r="O78" s="193">
        <f>IF(ISNUMBER(SEARCH('Карта учёта'!$B$23,Расходка[[#This Row],[Наименование расходного материала]])),MAX($O$1:O77)+1,0)</f>
        <v>77</v>
      </c>
      <c r="P78" s="193">
        <f>IF(ISNUMBER(SEARCH('Карта учёта'!$B$24,Расходка[[#This Row],[Наименование расходного материала]])),MAX($P$1:P77)+1,0)</f>
        <v>77</v>
      </c>
      <c r="Q78" s="193">
        <f>IF(ISNUMBER(SEARCH('Карта учёта'!$B$25,Расходка[[#This Row],[Наименование расходного материала]])),MAX($Q$1:Q77)+1,0)</f>
        <v>77</v>
      </c>
      <c r="R78" s="194" t="str">
        <f>IFERROR(INDEX(Расходка[Наименование расходного материала],MATCH(Расходка[[#This Row],[№]],Поиск_расходки[Индекс1],0)),"")</f>
        <v/>
      </c>
      <c r="S78" s="194" t="str">
        <f>IFERROR(INDEX(Расходка[Наименование расходного материала],MATCH(Расходка[[#This Row],[№]],Поиск_расходки[Индекс2],0)),"")</f>
        <v/>
      </c>
      <c r="T78" s="194" t="str">
        <f>IFERROR(INDEX(Расходка[Наименование расходного материала],MATCH(Расходка[[#This Row],[№]],Поиск_расходки[Индекс3],0)),"")</f>
        <v/>
      </c>
      <c r="U78" s="194" t="str">
        <f>IFERROR(INDEX(Расходка[Наименование расходного материала],MATCH(Расходка[[#This Row],[№]],Поиск_расходки[Индекс4],0)),"")</f>
        <v/>
      </c>
      <c r="V78" s="194" t="str">
        <f>IFERROR(INDEX(Расходка[Наименование расходного материала],MATCH(Расходка[[#This Row],[№]],Поиск_расходки[Индекс5],0)),"")</f>
        <v/>
      </c>
      <c r="W78" s="194" t="str">
        <f>IFERROR(INDEX(Расходка[Наименование расходного материала],MATCH(Расходка[[#This Row],[№]],Поиск_расходки[Индекс6],0)),"")</f>
        <v/>
      </c>
      <c r="X78" s="194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4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4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4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4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4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4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462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334</v>
      </c>
      <c r="AF79" s="4" t="s">
        <v>6</v>
      </c>
      <c r="AG79" s="4" t="s">
        <v>463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333</v>
      </c>
      <c r="AF80" s="4" t="s">
        <v>6</v>
      </c>
      <c r="AG80" s="4" t="s">
        <v>464</v>
      </c>
    </row>
    <row r="81" spans="1:33">
      <c r="A81">
        <f>ROW(Расходка[[#This Row],[Тип расходного материала ]])-1</f>
        <v>80</v>
      </c>
      <c r="B81" t="s">
        <v>296</v>
      </c>
      <c r="C81" s="1" t="s">
        <v>325</v>
      </c>
      <c r="AF81" s="4" t="s">
        <v>6</v>
      </c>
      <c r="AG81" s="4" t="s">
        <v>465</v>
      </c>
    </row>
    <row r="82" spans="1:33">
      <c r="AF82" s="4" t="s">
        <v>6</v>
      </c>
      <c r="AG82" s="4" t="s">
        <v>466</v>
      </c>
    </row>
    <row r="83" spans="1:33">
      <c r="AF83" s="4" t="s">
        <v>6</v>
      </c>
      <c r="AG83" s="4" t="s">
        <v>467</v>
      </c>
    </row>
    <row r="84" spans="1:33">
      <c r="AF84" s="4" t="s">
        <v>6</v>
      </c>
      <c r="AG84" s="4" t="s">
        <v>418</v>
      </c>
    </row>
    <row r="85" spans="1:33">
      <c r="AF85" s="4" t="s">
        <v>6</v>
      </c>
      <c r="AG85" s="4" t="s">
        <v>419</v>
      </c>
    </row>
    <row r="86" spans="1:33">
      <c r="AF86" s="4" t="s">
        <v>6</v>
      </c>
      <c r="AG86" s="4" t="s">
        <v>468</v>
      </c>
    </row>
    <row r="87" spans="1:33">
      <c r="AF87" s="4" t="s">
        <v>6</v>
      </c>
      <c r="AG87" s="4" t="s">
        <v>469</v>
      </c>
    </row>
    <row r="88" spans="1:33">
      <c r="AF88" s="4" t="s">
        <v>6</v>
      </c>
      <c r="AG88" s="4" t="s">
        <v>470</v>
      </c>
    </row>
    <row r="89" spans="1:33">
      <c r="AF89" s="4" t="s">
        <v>6</v>
      </c>
      <c r="AG89" s="4" t="s">
        <v>471</v>
      </c>
    </row>
    <row r="90" spans="1:33">
      <c r="AF90" s="4" t="s">
        <v>6</v>
      </c>
      <c r="AG90" s="4" t="s">
        <v>472</v>
      </c>
    </row>
    <row r="91" spans="1:33">
      <c r="AF91" s="4" t="s">
        <v>6</v>
      </c>
      <c r="AG91" s="4" t="s">
        <v>473</v>
      </c>
    </row>
    <row r="92" spans="1:33">
      <c r="AF92" s="4" t="s">
        <v>6</v>
      </c>
      <c r="AG92" s="4" t="s">
        <v>474</v>
      </c>
    </row>
    <row r="93" spans="1:33">
      <c r="AF93" s="4" t="s">
        <v>6</v>
      </c>
      <c r="AG93" s="4" t="s">
        <v>475</v>
      </c>
    </row>
    <row r="94" spans="1:33">
      <c r="AF94" s="4" t="s">
        <v>6</v>
      </c>
      <c r="AG94" s="4" t="s">
        <v>422</v>
      </c>
    </row>
    <row r="95" spans="1:33">
      <c r="AF95" s="4" t="s">
        <v>6</v>
      </c>
      <c r="AG95" s="4" t="s">
        <v>423</v>
      </c>
    </row>
    <row r="96" spans="1:33">
      <c r="AF96" s="4" t="s">
        <v>6</v>
      </c>
      <c r="AG96" s="4" t="s">
        <v>476</v>
      </c>
    </row>
    <row r="97" spans="32:33">
      <c r="AF97" s="4" t="s">
        <v>6</v>
      </c>
      <c r="AG97" s="4" t="s">
        <v>477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="90" zoomScaleNormal="90" workbookViewId="0">
      <selection activeCell="C39" sqref="C3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111</v>
      </c>
      <c r="B1" t="s">
        <v>110</v>
      </c>
      <c r="C1" t="s">
        <v>112</v>
      </c>
      <c r="E1" t="s">
        <v>174</v>
      </c>
    </row>
    <row r="2" spans="1:5">
      <c r="A2" t="s">
        <v>133</v>
      </c>
      <c r="B2" t="s">
        <v>106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108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123</v>
      </c>
      <c r="B4" t="s">
        <v>115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107</v>
      </c>
      <c r="B5" t="s">
        <v>117</v>
      </c>
      <c r="C5" t="str">
        <f t="shared" si="0"/>
        <v>Оператор: В.В. Анохин</v>
      </c>
      <c r="E5" t="s">
        <v>169</v>
      </c>
    </row>
    <row r="6" spans="1:5">
      <c r="A6" t="s">
        <v>107</v>
      </c>
      <c r="B6" t="s">
        <v>115</v>
      </c>
      <c r="C6" t="str">
        <f t="shared" si="0"/>
        <v xml:space="preserve">Оператор: А.В. Воронков </v>
      </c>
      <c r="E6" t="s">
        <v>297</v>
      </c>
    </row>
    <row r="7" spans="1:5">
      <c r="A7" t="s">
        <v>107</v>
      </c>
      <c r="B7" t="s">
        <v>118</v>
      </c>
      <c r="C7" t="str">
        <f t="shared" si="0"/>
        <v>Оператор: И.Н. Зимин</v>
      </c>
      <c r="E7" t="s">
        <v>179</v>
      </c>
    </row>
    <row r="8" spans="1:5">
      <c r="A8" t="s">
        <v>107</v>
      </c>
      <c r="B8" t="s">
        <v>106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107</v>
      </c>
      <c r="B9" t="s">
        <v>108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107</v>
      </c>
      <c r="B10" t="s">
        <v>113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107</v>
      </c>
      <c r="B11" t="s">
        <v>116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107</v>
      </c>
      <c r="B12" t="s">
        <v>114</v>
      </c>
      <c r="C12" t="str">
        <f t="shared" si="0"/>
        <v xml:space="preserve">Оператор: И.А. Московский </v>
      </c>
    </row>
    <row r="13" spans="1:5">
      <c r="A13" t="s">
        <v>107</v>
      </c>
      <c r="B13" t="s">
        <v>120</v>
      </c>
      <c r="C13" t="str">
        <f>CONCATENATE(A13,B13)</f>
        <v>Оператор: А.Ф. Паращенко</v>
      </c>
    </row>
    <row r="14" spans="1:5">
      <c r="A14" t="s">
        <v>107</v>
      </c>
      <c r="B14" t="s">
        <v>109</v>
      </c>
      <c r="C14" t="str">
        <f t="shared" si="0"/>
        <v xml:space="preserve">Оператор: А.С. Щербаков </v>
      </c>
    </row>
    <row r="15" spans="1:5">
      <c r="A15" t="s">
        <v>119</v>
      </c>
      <c r="B15" t="s">
        <v>508</v>
      </c>
      <c r="C15" s="198" t="str">
        <f>CONCATENATE(A15,B15)</f>
        <v>Старшая мед.сетра: Н.Б. Шишкина</v>
      </c>
    </row>
    <row r="16" spans="1:5">
      <c r="A16" t="s">
        <v>119</v>
      </c>
      <c r="B16" t="s">
        <v>121</v>
      </c>
      <c r="C16" t="str">
        <f>CONCATENATE(A16,B16)</f>
        <v>Старшая мед.сетра: О.Н. Черткова</v>
      </c>
    </row>
    <row r="17" spans="1:3">
      <c r="A17" t="s">
        <v>122</v>
      </c>
      <c r="B17" t="s">
        <v>343</v>
      </c>
      <c r="C17" t="str">
        <f t="shared" si="0"/>
        <v xml:space="preserve">И/О старшей мед.сетры: А.А. Нефёдова </v>
      </c>
    </row>
    <row r="18" spans="1:3">
      <c r="A18" t="s">
        <v>122</v>
      </c>
      <c r="B18" t="s">
        <v>342</v>
      </c>
      <c r="C18" t="str">
        <f>CONCATENATE(A18,B18)</f>
        <v>И/О старшей мед.сетры: А.М. Казанцева</v>
      </c>
    </row>
    <row r="19" spans="1:3">
      <c r="C19" s="198"/>
    </row>
    <row r="20" spans="1:3">
      <c r="C20" s="198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263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298</v>
      </c>
    </row>
    <row r="25" spans="1:3">
      <c r="A25" t="s">
        <v>169</v>
      </c>
      <c r="B25" t="s">
        <v>249</v>
      </c>
    </row>
    <row r="26" spans="1:3">
      <c r="A26" t="s">
        <v>169</v>
      </c>
      <c r="B26" t="s">
        <v>260</v>
      </c>
    </row>
    <row r="27" spans="1:3">
      <c r="A27" t="s">
        <v>169</v>
      </c>
      <c r="B27" t="s">
        <v>264</v>
      </c>
    </row>
    <row r="28" spans="1:3">
      <c r="A28" t="s">
        <v>169</v>
      </c>
      <c r="B28" t="s">
        <v>532</v>
      </c>
    </row>
    <row r="29" spans="1:3">
      <c r="A29" t="s">
        <v>169</v>
      </c>
      <c r="B29" t="s">
        <v>254</v>
      </c>
    </row>
    <row r="30" spans="1:3">
      <c r="A30" t="s">
        <v>169</v>
      </c>
      <c r="B30" t="s">
        <v>518</v>
      </c>
    </row>
    <row r="31" spans="1:3">
      <c r="A31" t="s">
        <v>169</v>
      </c>
      <c r="B31" t="s">
        <v>253</v>
      </c>
    </row>
    <row r="32" spans="1:3">
      <c r="A32" t="s">
        <v>169</v>
      </c>
      <c r="B32" t="s">
        <v>265</v>
      </c>
    </row>
    <row r="33" spans="1:2">
      <c r="A33" t="s">
        <v>169</v>
      </c>
      <c r="B33" t="s">
        <v>346</v>
      </c>
    </row>
    <row r="34" spans="1:2">
      <c r="A34" t="s">
        <v>169</v>
      </c>
      <c r="B34" t="s">
        <v>259</v>
      </c>
    </row>
    <row r="35" spans="1:2">
      <c r="A35" t="s">
        <v>169</v>
      </c>
      <c r="B35" t="s">
        <v>248</v>
      </c>
    </row>
    <row r="36" spans="1:2">
      <c r="A36" t="s">
        <v>169</v>
      </c>
      <c r="B36" t="s">
        <v>252</v>
      </c>
    </row>
    <row r="37" spans="1:2">
      <c r="A37" t="s">
        <v>169</v>
      </c>
      <c r="B37" t="s">
        <v>247</v>
      </c>
    </row>
    <row r="38" spans="1:2">
      <c r="A38" t="s">
        <v>169</v>
      </c>
      <c r="B38" t="s">
        <v>357</v>
      </c>
    </row>
    <row r="39" spans="1:2">
      <c r="A39" t="s">
        <v>169</v>
      </c>
      <c r="B39" t="s">
        <v>499</v>
      </c>
    </row>
    <row r="40" spans="1:2">
      <c r="A40" t="s">
        <v>169</v>
      </c>
      <c r="B40" t="s">
        <v>262</v>
      </c>
    </row>
    <row r="41" spans="1:2">
      <c r="A41" t="s">
        <v>169</v>
      </c>
      <c r="B41" t="s">
        <v>261</v>
      </c>
    </row>
    <row r="42" spans="1:2">
      <c r="A42" t="s">
        <v>169</v>
      </c>
      <c r="B42" t="s">
        <v>255</v>
      </c>
    </row>
    <row r="43" spans="1:2">
      <c r="A43" t="s">
        <v>169</v>
      </c>
      <c r="B43" t="s">
        <v>250</v>
      </c>
    </row>
    <row r="44" spans="1:2">
      <c r="A44" t="s">
        <v>169</v>
      </c>
      <c r="B44" t="s">
        <v>251</v>
      </c>
    </row>
    <row r="45" spans="1:2">
      <c r="A45" t="s">
        <v>297</v>
      </c>
      <c r="B45" t="s">
        <v>257</v>
      </c>
    </row>
    <row r="46" spans="1:2">
      <c r="A46" t="s">
        <v>297</v>
      </c>
      <c r="B46" t="s">
        <v>258</v>
      </c>
    </row>
    <row r="47" spans="1:2">
      <c r="A47" t="s">
        <v>297</v>
      </c>
      <c r="B47" t="s">
        <v>529</v>
      </c>
    </row>
    <row r="48" spans="1:2">
      <c r="A48" t="s">
        <v>297</v>
      </c>
      <c r="B48" t="s">
        <v>519</v>
      </c>
    </row>
    <row r="49" spans="1:2">
      <c r="A49" t="s">
        <v>297</v>
      </c>
      <c r="B49" t="s">
        <v>177</v>
      </c>
    </row>
    <row r="50" spans="1:2">
      <c r="A50" t="s">
        <v>297</v>
      </c>
      <c r="B50" t="s">
        <v>526</v>
      </c>
    </row>
    <row r="51" spans="1:2">
      <c r="A51" t="s">
        <v>297</v>
      </c>
      <c r="B51" t="s">
        <v>528</v>
      </c>
    </row>
    <row r="52" spans="1:2">
      <c r="A52" t="s">
        <v>297</v>
      </c>
      <c r="B52" t="s">
        <v>176</v>
      </c>
    </row>
    <row r="53" spans="1:2">
      <c r="A53" t="s">
        <v>297</v>
      </c>
      <c r="B53" t="s">
        <v>497</v>
      </c>
    </row>
    <row r="54" spans="1:2">
      <c r="A54" t="s">
        <v>297</v>
      </c>
      <c r="B54" t="s">
        <v>256</v>
      </c>
    </row>
    <row r="55" spans="1:2">
      <c r="A55" t="s">
        <v>297</v>
      </c>
      <c r="B55" t="s">
        <v>362</v>
      </c>
    </row>
    <row r="56" spans="1:2">
      <c r="A56" t="s">
        <v>297</v>
      </c>
      <c r="B56" t="s">
        <v>358</v>
      </c>
    </row>
    <row r="57" spans="1:2">
      <c r="A57" t="s">
        <v>170</v>
      </c>
      <c r="B57" t="s">
        <v>143</v>
      </c>
    </row>
    <row r="58" spans="1:2">
      <c r="A58" t="s">
        <v>170</v>
      </c>
      <c r="B58" t="s">
        <v>146</v>
      </c>
    </row>
    <row r="59" spans="1:2">
      <c r="A59" t="s">
        <v>170</v>
      </c>
      <c r="B59" t="s">
        <v>149</v>
      </c>
    </row>
    <row r="60" spans="1:2">
      <c r="A60" t="s">
        <v>170</v>
      </c>
      <c r="B60" t="s">
        <v>152</v>
      </c>
    </row>
    <row r="61" spans="1:2">
      <c r="A61" t="s">
        <v>170</v>
      </c>
      <c r="B61" t="s">
        <v>155</v>
      </c>
    </row>
    <row r="62" spans="1:2">
      <c r="A62" t="s">
        <v>170</v>
      </c>
      <c r="B62" t="s">
        <v>158</v>
      </c>
    </row>
    <row r="63" spans="1:2">
      <c r="A63" t="s">
        <v>170</v>
      </c>
      <c r="B63" t="s">
        <v>163</v>
      </c>
    </row>
    <row r="64" spans="1:2">
      <c r="A64" t="s">
        <v>170</v>
      </c>
      <c r="B64" t="s">
        <v>270</v>
      </c>
    </row>
    <row r="65" spans="1:2">
      <c r="A65" t="s">
        <v>170</v>
      </c>
      <c r="B65" t="s">
        <v>165</v>
      </c>
    </row>
    <row r="66" spans="1:2">
      <c r="A66" t="s">
        <v>170</v>
      </c>
      <c r="B66" t="s">
        <v>166</v>
      </c>
    </row>
    <row r="67" spans="1:2">
      <c r="A67" t="s">
        <v>170</v>
      </c>
      <c r="B67" t="s">
        <v>167</v>
      </c>
    </row>
    <row r="68" spans="1:2">
      <c r="A68" t="s">
        <v>170</v>
      </c>
      <c r="B68" t="s">
        <v>168</v>
      </c>
    </row>
    <row r="69" spans="1:2">
      <c r="A69" t="s">
        <v>170</v>
      </c>
      <c r="B69" t="s">
        <v>140</v>
      </c>
    </row>
    <row r="70" spans="1:2">
      <c r="A70" t="s">
        <v>170</v>
      </c>
      <c r="B70" t="s">
        <v>184</v>
      </c>
    </row>
    <row r="71" spans="1:2">
      <c r="A71" t="s">
        <v>171</v>
      </c>
      <c r="B71" t="s">
        <v>335</v>
      </c>
    </row>
    <row r="72" spans="1:2">
      <c r="A72" t="s">
        <v>171</v>
      </c>
      <c r="B72" t="s">
        <v>142</v>
      </c>
    </row>
    <row r="73" spans="1:2">
      <c r="A73" t="s">
        <v>171</v>
      </c>
      <c r="B73" t="s">
        <v>360</v>
      </c>
    </row>
    <row r="74" spans="1:2">
      <c r="A74" t="s">
        <v>171</v>
      </c>
      <c r="B74" t="s">
        <v>145</v>
      </c>
    </row>
    <row r="75" spans="1:2">
      <c r="A75" t="s">
        <v>171</v>
      </c>
      <c r="B75" t="s">
        <v>139</v>
      </c>
    </row>
    <row r="76" spans="1:2">
      <c r="A76" t="s">
        <v>171</v>
      </c>
      <c r="B76" t="s">
        <v>148</v>
      </c>
    </row>
    <row r="77" spans="1:2">
      <c r="A77" t="s">
        <v>171</v>
      </c>
      <c r="B77" t="s">
        <v>151</v>
      </c>
    </row>
    <row r="78" spans="1:2">
      <c r="A78" t="s">
        <v>171</v>
      </c>
      <c r="B78" t="s">
        <v>154</v>
      </c>
    </row>
    <row r="79" spans="1:2">
      <c r="A79" t="s">
        <v>171</v>
      </c>
      <c r="B79" t="s">
        <v>157</v>
      </c>
    </row>
    <row r="80" spans="1:2">
      <c r="A80" t="s">
        <v>171</v>
      </c>
      <c r="B80" t="s">
        <v>160</v>
      </c>
    </row>
    <row r="81" spans="1:2">
      <c r="A81" t="s">
        <v>171</v>
      </c>
      <c r="B81" t="s">
        <v>162</v>
      </c>
    </row>
    <row r="82" spans="1:2">
      <c r="A82" t="s">
        <v>183</v>
      </c>
      <c r="B82" t="s">
        <v>141</v>
      </c>
    </row>
    <row r="83" spans="1:2">
      <c r="A83" t="s">
        <v>183</v>
      </c>
      <c r="B83" t="s">
        <v>269</v>
      </c>
    </row>
    <row r="84" spans="1:2">
      <c r="A84" t="s">
        <v>183</v>
      </c>
      <c r="B84" t="s">
        <v>144</v>
      </c>
    </row>
    <row r="85" spans="1:2">
      <c r="A85" t="s">
        <v>183</v>
      </c>
      <c r="B85" t="s">
        <v>147</v>
      </c>
    </row>
    <row r="86" spans="1:2">
      <c r="A86" t="s">
        <v>183</v>
      </c>
      <c r="B86" t="s">
        <v>150</v>
      </c>
    </row>
    <row r="87" spans="1:2">
      <c r="A87" t="s">
        <v>183</v>
      </c>
      <c r="B87" t="s">
        <v>153</v>
      </c>
    </row>
    <row r="88" spans="1:2">
      <c r="A88" t="s">
        <v>183</v>
      </c>
      <c r="B88" t="s">
        <v>159</v>
      </c>
    </row>
    <row r="89" spans="1:2">
      <c r="A89" t="s">
        <v>183</v>
      </c>
      <c r="B89" t="s">
        <v>156</v>
      </c>
    </row>
    <row r="90" spans="1:2">
      <c r="A90" t="s">
        <v>183</v>
      </c>
      <c r="B90" t="s">
        <v>161</v>
      </c>
    </row>
    <row r="91" spans="1:2">
      <c r="A91" t="s">
        <v>183</v>
      </c>
      <c r="B91" t="s">
        <v>164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7" t="s">
        <v>375</v>
      </c>
    </row>
    <row r="2" spans="1:1">
      <c r="A2" t="s">
        <v>372</v>
      </c>
    </row>
    <row r="3" spans="1:1">
      <c r="A3" t="s">
        <v>376</v>
      </c>
    </row>
    <row r="4" spans="1:1">
      <c r="A4" t="s">
        <v>377</v>
      </c>
    </row>
    <row r="5" spans="1:1">
      <c r="A5" t="s">
        <v>373</v>
      </c>
    </row>
    <row r="6" spans="1:1">
      <c r="A6" t="s">
        <v>374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2025-06-22T13:49:52Z</cp:lastPrinted>
  <dcterms:created xsi:type="dcterms:W3CDTF">2015-06-05T18:19:34Z</dcterms:created>
  <dcterms:modified xsi:type="dcterms:W3CDTF">2025-06-22T14:02:28Z</dcterms:modified>
</cp:coreProperties>
</file>