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5\06\"/>
    </mc:Choice>
  </mc:AlternateContent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9" i="1" l="1"/>
  <c r="E80" i="1"/>
  <c r="E81" i="1"/>
  <c r="E82" i="1"/>
  <c r="F79" i="1"/>
  <c r="F80" i="1"/>
  <c r="F81" i="1"/>
  <c r="F82" i="1"/>
  <c r="G79" i="1"/>
  <c r="G80" i="1"/>
  <c r="G81" i="1"/>
  <c r="G82" i="1"/>
  <c r="H79" i="1"/>
  <c r="H80" i="1"/>
  <c r="H82" i="1"/>
  <c r="I79" i="1"/>
  <c r="I80" i="1"/>
  <c r="I81" i="1"/>
  <c r="I82" i="1"/>
  <c r="J79" i="1"/>
  <c r="J80" i="1"/>
  <c r="J81" i="1"/>
  <c r="J82" i="1"/>
  <c r="K79" i="1"/>
  <c r="K80" i="1"/>
  <c r="K81" i="1"/>
  <c r="K82" i="1"/>
  <c r="L79" i="1"/>
  <c r="L80" i="1" s="1"/>
  <c r="L82" i="1"/>
  <c r="M79" i="1"/>
  <c r="M80" i="1" s="1"/>
  <c r="M82" i="1"/>
  <c r="N79" i="1"/>
  <c r="N80" i="1" s="1"/>
  <c r="N82" i="1"/>
  <c r="O79" i="1"/>
  <c r="O80" i="1" s="1"/>
  <c r="O82" i="1"/>
  <c r="P79" i="1"/>
  <c r="P80" i="1" s="1"/>
  <c r="P82" i="1"/>
  <c r="Q79" i="1"/>
  <c r="Q80" i="1" s="1"/>
  <c r="Q82" i="1"/>
  <c r="R79" i="1"/>
  <c r="R80" i="1"/>
  <c r="R81" i="1"/>
  <c r="R82" i="1"/>
  <c r="S79" i="1"/>
  <c r="S80" i="1"/>
  <c r="S81" i="1"/>
  <c r="S82" i="1"/>
  <c r="T79" i="1"/>
  <c r="T80" i="1"/>
  <c r="T81" i="1"/>
  <c r="T82" i="1"/>
  <c r="U82" i="1"/>
  <c r="V79" i="1"/>
  <c r="V80" i="1"/>
  <c r="V81" i="1"/>
  <c r="V82" i="1"/>
  <c r="W79" i="1"/>
  <c r="W80" i="1"/>
  <c r="W81" i="1"/>
  <c r="W82" i="1"/>
  <c r="X79" i="1"/>
  <c r="X80" i="1"/>
  <c r="X81" i="1"/>
  <c r="X82" i="1"/>
  <c r="Y82" i="1"/>
  <c r="Z79" i="1"/>
  <c r="Z82" i="1"/>
  <c r="AA79" i="1"/>
  <c r="AA82" i="1"/>
  <c r="AB79" i="1"/>
  <c r="AB82" i="1"/>
  <c r="AC79" i="1"/>
  <c r="AC82" i="1"/>
  <c r="AD79" i="1"/>
  <c r="AD82" i="1"/>
  <c r="Q81" i="1" l="1"/>
  <c r="AD80" i="1"/>
  <c r="AD81" i="1"/>
  <c r="P81" i="1"/>
  <c r="AC80" i="1"/>
  <c r="AC81" i="1"/>
  <c r="O81" i="1"/>
  <c r="AB81" i="1" s="1"/>
  <c r="AB80" i="1"/>
  <c r="N81" i="1"/>
  <c r="AA80" i="1"/>
  <c r="AA81" i="1"/>
  <c r="M81" i="1"/>
  <c r="Z81" i="1" s="1"/>
  <c r="Z80" i="1"/>
  <c r="A14" i="3"/>
  <c r="A15" i="3"/>
  <c r="A16" i="3"/>
  <c r="A17" i="3"/>
  <c r="A18" i="3"/>
  <c r="A19" i="3"/>
  <c r="A20" i="3"/>
  <c r="A21" i="3"/>
  <c r="A22" i="3"/>
  <c r="B13" i="9" l="1"/>
  <c r="H22" i="9" s="1"/>
  <c r="A27" i="1" l="1"/>
  <c r="A6" i="1" l="1"/>
  <c r="A4" i="1"/>
  <c r="A60" i="1" l="1"/>
  <c r="A57" i="1" l="1"/>
  <c r="A56" i="1"/>
  <c r="A3" i="1"/>
  <c r="A5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8" i="1"/>
  <c r="A59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  <c r="A1" i="11" l="1"/>
  <c r="A3" i="1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1" i="1" l="1"/>
  <c r="O12" i="1" s="1"/>
  <c r="O13" i="1" s="1"/>
  <c r="O14" i="1" s="1"/>
  <c r="O15" i="1" s="1"/>
  <c r="P10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Q73" i="1" s="1"/>
  <c r="AD68" i="1"/>
  <c r="AD69" i="1"/>
  <c r="O66" i="1"/>
  <c r="O67" i="1" s="1"/>
  <c r="O68" i="1" s="1"/>
  <c r="P23" i="1"/>
  <c r="AD58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8" i="1" s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O78" i="1" l="1"/>
  <c r="AB67" i="1" s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B43" i="1" l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P30" i="1"/>
  <c r="H73" i="1"/>
  <c r="J71" i="1"/>
  <c r="I71" i="1"/>
  <c r="F70" i="1"/>
  <c r="F71" i="1" s="1"/>
  <c r="F72" i="1" s="1"/>
  <c r="F73" i="1" s="1"/>
  <c r="K52" i="1"/>
  <c r="K53" i="1" s="1"/>
  <c r="G51" i="1"/>
  <c r="AD39" i="1"/>
  <c r="AB46" i="1"/>
  <c r="N45" i="1"/>
  <c r="L40" i="1"/>
  <c r="M38" i="1"/>
  <c r="M39" i="1" s="1"/>
  <c r="M40" i="1" s="1"/>
  <c r="H74" i="1" l="1"/>
  <c r="F74" i="1"/>
  <c r="F75" i="1" s="1"/>
  <c r="F76" i="1" s="1"/>
  <c r="F77" i="1" s="1"/>
  <c r="F78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77" i="1" l="1"/>
  <c r="S78" i="1"/>
  <c r="S2" i="1"/>
  <c r="S66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H76" i="1" l="1"/>
  <c r="H77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H78" i="1" l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H81" i="1" l="1"/>
  <c r="U53" i="1" s="1"/>
  <c r="U18" i="1"/>
  <c r="U73" i="1"/>
  <c r="U15" i="1"/>
  <c r="U27" i="1"/>
  <c r="U49" i="1"/>
  <c r="U41" i="1"/>
  <c r="U5" i="1"/>
  <c r="U8" i="1"/>
  <c r="U28" i="1"/>
  <c r="U6" i="1"/>
  <c r="U34" i="1"/>
  <c r="U62" i="1"/>
  <c r="U39" i="1"/>
  <c r="U58" i="1"/>
  <c r="U56" i="1"/>
  <c r="U33" i="1"/>
  <c r="U10" i="1"/>
  <c r="U26" i="1"/>
  <c r="U14" i="1"/>
  <c r="U19" i="1"/>
  <c r="U16" i="1"/>
  <c r="U21" i="1"/>
  <c r="U23" i="1"/>
  <c r="U31" i="1"/>
  <c r="U77" i="1"/>
  <c r="U50" i="1"/>
  <c r="U43" i="1"/>
  <c r="U63" i="1"/>
  <c r="U60" i="1"/>
  <c r="U55" i="1"/>
  <c r="U69" i="1"/>
  <c r="U44" i="1"/>
  <c r="U47" i="1"/>
  <c r="U66" i="1"/>
  <c r="U57" i="1"/>
  <c r="U64" i="1"/>
  <c r="U11" i="1"/>
  <c r="U17" i="1"/>
  <c r="U35" i="1"/>
  <c r="U13" i="1"/>
  <c r="U22" i="1"/>
  <c r="U7" i="1"/>
  <c r="U29" i="1"/>
  <c r="U20" i="1"/>
  <c r="U9" i="1"/>
  <c r="U24" i="1"/>
  <c r="U25" i="1"/>
  <c r="U30" i="1"/>
  <c r="U4" i="1"/>
  <c r="U12" i="1"/>
  <c r="U3" i="1"/>
  <c r="U32" i="1"/>
  <c r="U36" i="1"/>
  <c r="U37" i="1"/>
  <c r="U76" i="1"/>
  <c r="U65" i="1"/>
  <c r="U48" i="1"/>
  <c r="U71" i="1"/>
  <c r="U67" i="1"/>
  <c r="U74" i="1"/>
  <c r="U75" i="1"/>
  <c r="U68" i="1"/>
  <c r="U42" i="1"/>
  <c r="U40" i="1"/>
  <c r="U72" i="1"/>
  <c r="U54" i="1"/>
  <c r="U59" i="1"/>
  <c r="U61" i="1"/>
  <c r="U45" i="1"/>
  <c r="U52" i="1"/>
  <c r="U70" i="1"/>
  <c r="U51" i="1"/>
  <c r="U46" i="1"/>
  <c r="U2" i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U79" i="1" l="1"/>
  <c r="U80" i="1"/>
  <c r="U81" i="1"/>
  <c r="U78" i="1"/>
  <c r="U38" i="1"/>
  <c r="I77" i="1"/>
  <c r="J77" i="1"/>
  <c r="J78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I78" i="1" l="1"/>
  <c r="W54" i="1"/>
  <c r="W78" i="1"/>
  <c r="W77" i="1"/>
  <c r="W51" i="1"/>
  <c r="W74" i="1"/>
  <c r="W64" i="1"/>
  <c r="W58" i="1"/>
  <c r="W57" i="1"/>
  <c r="W56" i="1"/>
  <c r="W65" i="1"/>
  <c r="W45" i="1"/>
  <c r="W60" i="1"/>
  <c r="W39" i="1"/>
  <c r="W62" i="1"/>
  <c r="W46" i="1"/>
  <c r="W67" i="1"/>
  <c r="W59" i="1"/>
  <c r="W52" i="1"/>
  <c r="W3" i="1"/>
  <c r="W76" i="1"/>
  <c r="W70" i="1"/>
  <c r="W72" i="1"/>
  <c r="W73" i="1"/>
  <c r="W68" i="1"/>
  <c r="W55" i="1"/>
  <c r="W44" i="1"/>
  <c r="W61" i="1"/>
  <c r="W40" i="1"/>
  <c r="W53" i="1"/>
  <c r="W47" i="1"/>
  <c r="W41" i="1"/>
  <c r="W43" i="1"/>
  <c r="W63" i="1"/>
  <c r="W49" i="1"/>
  <c r="W66" i="1"/>
  <c r="V74" i="1"/>
  <c r="W71" i="1"/>
  <c r="W75" i="1"/>
  <c r="W42" i="1"/>
  <c r="W50" i="1"/>
  <c r="W48" i="1"/>
  <c r="W69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50" i="1" l="1"/>
  <c r="V2" i="1"/>
  <c r="V71" i="1"/>
  <c r="V67" i="1"/>
  <c r="V61" i="1"/>
  <c r="V52" i="1"/>
  <c r="V44" i="1"/>
  <c r="V59" i="1"/>
  <c r="V48" i="1"/>
  <c r="V42" i="1"/>
  <c r="V60" i="1"/>
  <c r="V66" i="1"/>
  <c r="V56" i="1"/>
  <c r="V54" i="1"/>
  <c r="V41" i="1"/>
  <c r="V49" i="1"/>
  <c r="V73" i="1"/>
  <c r="V70" i="1"/>
  <c r="V58" i="1"/>
  <c r="V62" i="1"/>
  <c r="V76" i="1"/>
  <c r="V57" i="1"/>
  <c r="V69" i="1"/>
  <c r="V43" i="1"/>
  <c r="V64" i="1"/>
  <c r="V40" i="1"/>
  <c r="V53" i="1"/>
  <c r="V72" i="1"/>
  <c r="V46" i="1"/>
  <c r="V51" i="1"/>
  <c r="V75" i="1"/>
  <c r="V45" i="1"/>
  <c r="V63" i="1"/>
  <c r="V68" i="1"/>
  <c r="V39" i="1"/>
  <c r="V65" i="1"/>
  <c r="V47" i="1"/>
  <c r="V55" i="1"/>
  <c r="V77" i="1"/>
  <c r="V78" i="1"/>
  <c r="V7" i="1"/>
  <c r="V13" i="1"/>
  <c r="V5" i="1"/>
  <c r="V17" i="1"/>
  <c r="V23" i="1"/>
  <c r="V32" i="1"/>
  <c r="V21" i="1"/>
  <c r="V24" i="1"/>
  <c r="V30" i="1"/>
  <c r="V3" i="1"/>
  <c r="V6" i="1"/>
  <c r="V25" i="1"/>
  <c r="V35" i="1"/>
  <c r="V18" i="1"/>
  <c r="V4" i="1"/>
  <c r="V12" i="1"/>
  <c r="V36" i="1"/>
  <c r="V31" i="1"/>
  <c r="V28" i="1"/>
  <c r="V9" i="1"/>
  <c r="V10" i="1"/>
  <c r="V14" i="1"/>
  <c r="V20" i="1"/>
  <c r="V27" i="1"/>
  <c r="V37" i="1"/>
  <c r="V22" i="1"/>
  <c r="V16" i="1"/>
  <c r="V33" i="1"/>
  <c r="V8" i="1"/>
  <c r="V34" i="1"/>
  <c r="V15" i="1"/>
  <c r="V29" i="1"/>
  <c r="V11" i="1"/>
  <c r="V19" i="1"/>
  <c r="V26" i="1"/>
  <c r="V38" i="1"/>
  <c r="N67" i="1"/>
  <c r="N68" i="1" s="1"/>
  <c r="K74" i="1"/>
  <c r="P38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P42" i="1" l="1"/>
  <c r="X56" i="1"/>
  <c r="X78" i="1"/>
  <c r="G73" i="1"/>
  <c r="X26" i="1"/>
  <c r="X6" i="1"/>
  <c r="X42" i="1"/>
  <c r="X48" i="1"/>
  <c r="X45" i="1"/>
  <c r="X29" i="1"/>
  <c r="X67" i="1"/>
  <c r="X59" i="1"/>
  <c r="X34" i="1"/>
  <c r="X72" i="1"/>
  <c r="X10" i="1"/>
  <c r="X74" i="1"/>
  <c r="X53" i="1"/>
  <c r="X65" i="1"/>
  <c r="X73" i="1"/>
  <c r="X71" i="1"/>
  <c r="X50" i="1"/>
  <c r="X4" i="1"/>
  <c r="X41" i="1"/>
  <c r="X77" i="1"/>
  <c r="X16" i="1"/>
  <c r="X23" i="1"/>
  <c r="X37" i="1"/>
  <c r="X54" i="1"/>
  <c r="X44" i="1"/>
  <c r="X66" i="1"/>
  <c r="X24" i="1"/>
  <c r="X13" i="1"/>
  <c r="X39" i="1"/>
  <c r="X9" i="1"/>
  <c r="X43" i="1"/>
  <c r="X2" i="1"/>
  <c r="X11" i="1"/>
  <c r="X47" i="1"/>
  <c r="X38" i="1"/>
  <c r="X32" i="1"/>
  <c r="X3" i="1"/>
  <c r="X76" i="1"/>
  <c r="X20" i="1"/>
  <c r="X40" i="1"/>
  <c r="X12" i="1"/>
  <c r="X8" i="1"/>
  <c r="X17" i="1"/>
  <c r="X14" i="1"/>
  <c r="X15" i="1"/>
  <c r="X68" i="1"/>
  <c r="X61" i="1"/>
  <c r="X21" i="1"/>
  <c r="X30" i="1"/>
  <c r="X28" i="1"/>
  <c r="X62" i="1"/>
  <c r="X64" i="1"/>
  <c r="X63" i="1"/>
  <c r="X18" i="1"/>
  <c r="X35" i="1"/>
  <c r="X57" i="1"/>
  <c r="X46" i="1"/>
  <c r="X51" i="1"/>
  <c r="X22" i="1"/>
  <c r="X70" i="1"/>
  <c r="X36" i="1"/>
  <c r="X49" i="1"/>
  <c r="X60" i="1"/>
  <c r="X5" i="1"/>
  <c r="X25" i="1"/>
  <c r="X75" i="1"/>
  <c r="X69" i="1"/>
  <c r="X19" i="1"/>
  <c r="X33" i="1"/>
  <c r="X7" i="1"/>
  <c r="X27" i="1"/>
  <c r="X55" i="1"/>
  <c r="X58" i="1"/>
  <c r="X52" i="1"/>
  <c r="X31" i="1"/>
  <c r="G74" i="1"/>
  <c r="G75" i="1" s="1"/>
  <c r="N72" i="1"/>
  <c r="N73" i="1" s="1"/>
  <c r="L67" i="1"/>
  <c r="M61" i="1"/>
  <c r="P43" i="1" l="1"/>
  <c r="G76" i="1"/>
  <c r="G77" i="1" s="1"/>
  <c r="N74" i="1"/>
  <c r="L68" i="1"/>
  <c r="M62" i="1"/>
  <c r="G78" i="1" l="1"/>
  <c r="T3" i="1" s="1"/>
  <c r="T19" i="1"/>
  <c r="T69" i="1"/>
  <c r="T30" i="1"/>
  <c r="T29" i="1"/>
  <c r="T14" i="1"/>
  <c r="T53" i="1"/>
  <c r="T27" i="1"/>
  <c r="T7" i="1"/>
  <c r="T13" i="1"/>
  <c r="T8" i="1"/>
  <c r="T72" i="1"/>
  <c r="T57" i="1"/>
  <c r="T9" i="1"/>
  <c r="T68" i="1"/>
  <c r="T62" i="1"/>
  <c r="T32" i="1"/>
  <c r="T55" i="1"/>
  <c r="T59" i="1"/>
  <c r="T10" i="1"/>
  <c r="T43" i="1"/>
  <c r="T24" i="1"/>
  <c r="T33" i="1"/>
  <c r="T48" i="1"/>
  <c r="T2" i="1"/>
  <c r="T17" i="1"/>
  <c r="T71" i="1"/>
  <c r="T58" i="1"/>
  <c r="T73" i="1"/>
  <c r="T40" i="1"/>
  <c r="P44" i="1"/>
  <c r="T75" i="1"/>
  <c r="T74" i="1"/>
  <c r="T5" i="1"/>
  <c r="T77" i="1"/>
  <c r="N75" i="1"/>
  <c r="L69" i="1"/>
  <c r="M63" i="1"/>
  <c r="M64" i="1" s="1"/>
  <c r="M65" i="1" s="1"/>
  <c r="M66" i="1" s="1"/>
  <c r="T76" i="1" l="1"/>
  <c r="T6" i="1"/>
  <c r="T78" i="1"/>
  <c r="T4" i="1"/>
  <c r="T34" i="1"/>
  <c r="T66" i="1"/>
  <c r="T64" i="1"/>
  <c r="T47" i="1"/>
  <c r="T50" i="1"/>
  <c r="T49" i="1"/>
  <c r="T44" i="1"/>
  <c r="T65" i="1"/>
  <c r="T46" i="1"/>
  <c r="T15" i="1"/>
  <c r="T39" i="1"/>
  <c r="T35" i="1"/>
  <c r="T22" i="1"/>
  <c r="T16" i="1"/>
  <c r="T42" i="1"/>
  <c r="T67" i="1"/>
  <c r="T36" i="1"/>
  <c r="T20" i="1"/>
  <c r="T51" i="1"/>
  <c r="T60" i="1"/>
  <c r="T11" i="1"/>
  <c r="T23" i="1"/>
  <c r="T37" i="1"/>
  <c r="T28" i="1"/>
  <c r="T70" i="1"/>
  <c r="T52" i="1"/>
  <c r="T61" i="1"/>
  <c r="T26" i="1"/>
  <c r="T45" i="1"/>
  <c r="T41" i="1"/>
  <c r="T56" i="1"/>
  <c r="T25" i="1"/>
  <c r="T54" i="1"/>
  <c r="T18" i="1"/>
  <c r="T31" i="1"/>
  <c r="T12" i="1"/>
  <c r="T63" i="1"/>
  <c r="T21" i="1"/>
  <c r="T38" i="1"/>
  <c r="P45" i="1"/>
  <c r="N76" i="1"/>
  <c r="L70" i="1"/>
  <c r="M67" i="1"/>
  <c r="P46" i="1" l="1"/>
  <c r="N77" i="1"/>
  <c r="L71" i="1"/>
  <c r="L72" i="1" s="1"/>
  <c r="L73" i="1" s="1"/>
  <c r="M68" i="1"/>
  <c r="P47" i="1" l="1"/>
  <c r="N78" i="1"/>
  <c r="AA59" i="1" s="1"/>
  <c r="L74" i="1"/>
  <c r="M69" i="1"/>
  <c r="L75" i="1" l="1"/>
  <c r="L76" i="1" s="1"/>
  <c r="P48" i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M70" i="1"/>
  <c r="P49" i="1" l="1"/>
  <c r="L77" i="1"/>
  <c r="M71" i="1"/>
  <c r="P50" i="1" l="1"/>
  <c r="L78" i="1"/>
  <c r="M72" i="1"/>
  <c r="L81" i="1" l="1"/>
  <c r="Y75" i="1" s="1"/>
  <c r="Y24" i="1"/>
  <c r="Y19" i="1"/>
  <c r="Y22" i="1"/>
  <c r="Y70" i="1"/>
  <c r="Y23" i="1"/>
  <c r="Y57" i="1"/>
  <c r="Y44" i="1"/>
  <c r="Y16" i="1"/>
  <c r="Y31" i="1"/>
  <c r="Y50" i="1"/>
  <c r="Y65" i="1"/>
  <c r="Y5" i="1"/>
  <c r="Y58" i="1"/>
  <c r="Y54" i="1"/>
  <c r="Y12" i="1"/>
  <c r="Y39" i="1"/>
  <c r="Y76" i="1"/>
  <c r="Y74" i="1"/>
  <c r="Y30" i="1"/>
  <c r="Y66" i="1"/>
  <c r="Y4" i="1"/>
  <c r="Y45" i="1"/>
  <c r="Y56" i="1"/>
  <c r="Y41" i="1"/>
  <c r="Y11" i="1"/>
  <c r="Y25" i="1"/>
  <c r="Y67" i="1"/>
  <c r="Y34" i="1"/>
  <c r="Y35" i="1"/>
  <c r="Y8" i="1"/>
  <c r="Y60" i="1"/>
  <c r="Y10" i="1"/>
  <c r="Y36" i="1"/>
  <c r="Y48" i="1"/>
  <c r="Y20" i="1"/>
  <c r="Y51" i="1"/>
  <c r="Y71" i="1"/>
  <c r="Y9" i="1"/>
  <c r="Y15" i="1"/>
  <c r="Y17" i="1"/>
  <c r="Y47" i="1"/>
  <c r="Y46" i="1"/>
  <c r="Y55" i="1"/>
  <c r="Y62" i="1"/>
  <c r="Y68" i="1"/>
  <c r="Y49" i="1"/>
  <c r="Y52" i="1"/>
  <c r="Y40" i="1"/>
  <c r="Y59" i="1"/>
  <c r="Y14" i="1"/>
  <c r="Y78" i="1"/>
  <c r="Y2" i="1"/>
  <c r="Y27" i="1"/>
  <c r="P51" i="1"/>
  <c r="Y64" i="1"/>
  <c r="Y38" i="1"/>
  <c r="Y3" i="1"/>
  <c r="Y63" i="1"/>
  <c r="Y77" i="1"/>
  <c r="M73" i="1"/>
  <c r="Y37" i="1" l="1"/>
  <c r="Y28" i="1"/>
  <c r="Y29" i="1"/>
  <c r="Y73" i="1"/>
  <c r="Y53" i="1"/>
  <c r="Y13" i="1"/>
  <c r="Y21" i="1"/>
  <c r="Y81" i="1"/>
  <c r="Y80" i="1"/>
  <c r="Y79" i="1"/>
  <c r="Y26" i="1"/>
  <c r="Y6" i="1"/>
  <c r="Y69" i="1"/>
  <c r="Y72" i="1"/>
  <c r="Y32" i="1"/>
  <c r="Y18" i="1"/>
  <c r="Y42" i="1"/>
  <c r="Y61" i="1"/>
  <c r="Y7" i="1"/>
  <c r="Y33" i="1"/>
  <c r="Y43" i="1"/>
  <c r="P52" i="1"/>
  <c r="M74" i="1"/>
  <c r="M75" i="1" s="1"/>
  <c r="P53" i="1" l="1"/>
  <c r="M76" i="1"/>
  <c r="P54" i="1" l="1"/>
  <c r="M77" i="1"/>
  <c r="M78" i="1" s="1"/>
  <c r="Z78" i="1" s="1"/>
  <c r="P55" i="1" l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AC36" i="1" l="1"/>
  <c r="P69" i="1"/>
  <c r="P70" i="1" s="1"/>
  <c r="P71" i="1" s="1"/>
  <c r="P72" i="1" s="1"/>
  <c r="P73" i="1" s="1"/>
  <c r="P74" i="1" s="1"/>
  <c r="P75" i="1" s="1"/>
  <c r="P76" i="1" s="1"/>
  <c r="P77" i="1" s="1"/>
  <c r="P78" i="1" s="1"/>
  <c r="AC31" i="1"/>
  <c r="AC32" i="1"/>
  <c r="AC4" i="1"/>
  <c r="AC8" i="1"/>
  <c r="AC3" i="1"/>
  <c r="AC18" i="1"/>
  <c r="AC17" i="1"/>
  <c r="AC27" i="1"/>
  <c r="AC45" i="1"/>
  <c r="AC54" i="1"/>
  <c r="AC63" i="1"/>
  <c r="AC48" i="1"/>
  <c r="AC68" i="1"/>
  <c r="AC53" i="1"/>
  <c r="AC57" i="1"/>
  <c r="AC64" i="1"/>
  <c r="AC49" i="1"/>
  <c r="AC52" i="1"/>
  <c r="AC59" i="1"/>
  <c r="AC46" i="1"/>
  <c r="AC44" i="1"/>
  <c r="AC6" i="1"/>
  <c r="AC37" i="1"/>
  <c r="AC66" i="1"/>
  <c r="AC9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42" i="1"/>
  <c r="AC35" i="1"/>
  <c r="AC7" i="1"/>
  <c r="AC13" i="1"/>
  <c r="AC16" i="1"/>
  <c r="AC51" i="1"/>
  <c r="AC10" i="1"/>
  <c r="AC38" i="1"/>
  <c r="AC40" i="1"/>
  <c r="AC65" i="1"/>
  <c r="AC30" i="1"/>
  <c r="AC41" i="1"/>
  <c r="AC12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AC70" i="1" l="1"/>
  <c r="AC69" i="1"/>
  <c r="AC71" i="1"/>
  <c r="AC77" i="1"/>
  <c r="AC78" i="1"/>
  <c r="AC72" i="1"/>
  <c r="AC76" i="1"/>
  <c r="AC73" i="1"/>
  <c r="AC75" i="1"/>
  <c r="AC7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 shape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<sst xmlns="http://schemas.openxmlformats.org/spreadsheetml/2006/main" count="906" uniqueCount="551">
  <si>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</si>
  <si>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</si>
  <si>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</si>
  <si>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</si>
  <si>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</si>
  <si>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</si>
  <si>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</si>
  <si>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</si>
  <si>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</si>
  <si>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</si>
  <si>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</si>
  <si>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</si>
  <si>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</si>
  <si>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</si>
  <si>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</si>
  <si>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</si>
  <si>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</si>
  <si>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</si>
  <si>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</si>
  <si>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</si>
  <si>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</si>
  <si>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</si>
  <si>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</si>
  <si>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</si>
  <si>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</si>
  <si>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</si>
  <si>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</si>
  <si>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</si>
  <si>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</si>
  <si>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</si>
  <si>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</si>
  <si>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</si>
  <si>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</si>
  <si>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</si>
  <si>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</si>
  <si>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</si>
  <si>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</si>
  <si>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</si>
  <si>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</si>
  <si>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</si>
  <si>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</si>
  <si>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</si>
  <si>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</si>
  <si>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</si>
  <si>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</si>
  <si>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</si>
  <si>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</si>
  <si>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</si>
  <si>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</si>
  <si>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</si>
  <si>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</si>
  <si>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</si>
  <si>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</si>
  <si>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</si>
  <si>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</si>
  <si>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</si>
  <si>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</si>
  <si>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</si>
  <si>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</si>
  <si>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</si>
  <si>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</si>
  <si>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</si>
  <si>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</si>
  <si>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</si>
  <si>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</si>
  <si>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</si>
  <si>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</si>
  <si>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</si>
  <si>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</si>
  <si>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</si>
  <si>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</si>
  <si>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</si>
  <si>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</si>
  <si>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</si>
  <si>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</si>
  <si>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</si>
  <si>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</si>
  <si>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</si>
  <si>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</si>
  <si>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</si>
  <si>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</si>
  <si>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</si>
  <si>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</si>
  <si>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</si>
  <si>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</si>
  <si>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</si>
  <si>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</si>
  <si>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</si>
  <si>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</si>
  <si>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</si>
  <si>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</si>
  <si>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</si>
  <si>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</si>
  <si>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</si>
  <si>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</si>
  <si>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</si>
  <si>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</si>
  <si>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</si>
  <si>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</si>
  <si>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</si>
  <si>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</si>
  <si>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</si>
  <si>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</si>
  <si>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</si>
  <si>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</si>
  <si>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</si>
  <si>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</si>
  <si>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</si>
  <si>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</si>
  <si>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</si>
  <si>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</si>
  <si>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</si>
  <si>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</si>
  <si>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</si>
  <si>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</si>
  <si>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</si>
  <si>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</si>
  <si>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</si>
  <si>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</si>
  <si>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</si>
  <si>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</si>
  <si>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</si>
  <si>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</si>
  <si>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</si>
  <si>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</si>
  <si>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</si>
  <si>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</si>
  <si>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</si>
  <si>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</si>
  <si>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</si>
  <si>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</si>
  <si>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</si>
  <si>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</si>
  <si>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</si>
  <si>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</si>
  <si>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</si>
  <si>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</si>
  <si>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</si>
  <si>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</si>
  <si>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</si>
  <si>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</si>
  <si>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</si>
  <si>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</si>
  <si>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</si>
  <si>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</si>
  <si>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</si>
  <si>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</si>
  <si>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</si>
  <si>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</si>
  <si>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</si>
  <si>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</si>
  <si>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</si>
  <si>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</si>
  <si>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</si>
  <si>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</si>
  <si>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</si>
  <si>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</si>
  <si>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</si>
  <si>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</si>
  <si>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</si>
  <si>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</si>
  <si>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</si>
  <si>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</si>
  <si>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</si>
  <si>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</si>
  <si>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</si>
  <si>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</si>
  <si>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</si>
  <si>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</si>
  <si>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</si>
  <si>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</si>
  <si>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</si>
  <si>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</si>
  <si>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</si>
  <si>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</si>
  <si>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</si>
  <si>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</si>
  <si>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</si>
  <si>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</si>
  <si>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</si>
  <si>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</si>
  <si>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</si>
  <si>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</si>
  <si>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</si>
  <si>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</si>
  <si>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</si>
  <si>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</si>
  <si>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</si>
  <si>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</si>
  <si>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</si>
  <si>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</si>
  <si>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</si>
  <si>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</si>
  <si>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</si>
  <si>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</si>
  <si>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</si>
  <si>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</si>
  <si>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</si>
  <si>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</si>
  <si>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</si>
  <si>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</si>
  <si>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</si>
  <si>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</si>
  <si>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</si>
  <si>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</si>
  <si>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</si>
  <si>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</si>
  <si>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</si>
  <si>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</si>
  <si>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</si>
  <si>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</si>
  <si>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</si>
  <si>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</si>
  <si>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</si>
  <si>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</si>
  <si>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</si>
  <si>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</si>
  <si>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</si>
  <si>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</si>
  <si>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</si>
  <si>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</si>
  <si>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</si>
  <si>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</si>
  <si>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</si>
  <si>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</si>
  <si>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</si>
  <si>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</si>
  <si>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</si>
  <si>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</si>
  <si>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</si>
  <si>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</si>
  <si>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</si>
  <si>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</si>
  <si>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</si>
  <si>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</si>
  <si>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</si>
  <si>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</si>
  <si>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</si>
  <si>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</si>
  <si>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</si>
  <si>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</si>
  <si>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</si>
  <si>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</si>
  <si>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</si>
  <si>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</si>
  <si>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</si>
  <si>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</si>
  <si>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</si>
  <si>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</si>
  <si>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</si>
  <si>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</si>
  <si>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</si>
  <si>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</si>
  <si>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</si>
  <si>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</si>
  <si>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</si>
  <si>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</si>
  <si>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</si>
  <si>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Селезнёва М.В.</t>
  </si>
  <si>
    <t>Баранова В.Б.</t>
  </si>
  <si>
    <t>Билан Н.В.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</si>
  <si>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</si>
  <si>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</si>
  <si>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</si>
  <si>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</si>
  <si>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</si>
  <si>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</si>
  <si>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</si>
  <si>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</si>
  <si>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</si>
  <si>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</si>
  <si>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</si>
  <si>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</si>
  <si>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</si>
  <si>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</si>
  <si>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</si>
  <si>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</si>
  <si>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</si>
  <si>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</si>
  <si>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</si>
  <si>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</si>
  <si>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</si>
  <si>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</si>
  <si>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</si>
  <si>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</si>
  <si>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</si>
  <si>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</si>
  <si>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</si>
  <si>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</si>
  <si>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</si>
  <si>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</si>
  <si>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</si>
  <si>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</si>
  <si>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</si>
  <si>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</si>
  <si>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</si>
  <si>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</si>
  <si>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</si>
  <si>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</si>
  <si>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</si>
  <si>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</si>
  <si>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</si>
  <si>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</si>
  <si>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</si>
  <si>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</si>
  <si>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</si>
  <si>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</si>
  <si>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</si>
  <si>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</si>
  <si>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</si>
  <si>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</si>
  <si>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</si>
  <si>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</si>
  <si>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</si>
  <si>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</si>
  <si>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</si>
  <si>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</si>
  <si>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</si>
  <si>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</si>
  <si>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</si>
  <si>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</si>
  <si>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</si>
  <si>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</si>
  <si>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</si>
  <si>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</si>
  <si>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</si>
  <si>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</si>
  <si>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</si>
  <si>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</si>
  <si>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</si>
  <si>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</si>
  <si>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</si>
  <si>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</si>
  <si>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</si>
  <si>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</si>
  <si>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</si>
  <si>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</si>
  <si>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</si>
  <si>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</si>
  <si>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</si>
  <si>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</si>
  <si>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</si>
  <si>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</si>
  <si>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</si>
  <si>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</si>
  <si>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</si>
  <si>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</si>
  <si>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</si>
  <si>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</si>
  <si>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</si>
  <si>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</si>
  <si>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</si>
  <si>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</si>
  <si>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</si>
  <si>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</si>
  <si>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</si>
  <si>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</si>
  <si>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</si>
  <si>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</si>
  <si>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</si>
  <si>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</si>
  <si>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</si>
  <si>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</si>
  <si>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</si>
  <si>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</si>
  <si>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</si>
  <si>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</si>
  <si>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</si>
  <si>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</si>
  <si>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</si>
  <si>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</si>
  <si>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</si>
  <si>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</si>
  <si>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</si>
  <si>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</si>
  <si>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</si>
  <si>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</si>
  <si>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</si>
  <si>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</si>
  <si>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</si>
  <si>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</si>
  <si>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</si>
  <si>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</si>
  <si>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</si>
  <si>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</si>
  <si>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</si>
  <si>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</si>
  <si>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</si>
  <si>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</si>
  <si>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</si>
  <si>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</si>
  <si>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</si>
  <si>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</si>
  <si>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</si>
  <si>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</si>
  <si>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</si>
  <si>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</si>
  <si>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</si>
  <si>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</si>
  <si>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</si>
  <si>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</si>
  <si>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</si>
  <si>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</si>
  <si>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</si>
  <si>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</si>
  <si>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</si>
  <si>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</si>
  <si>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</si>
  <si>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</si>
  <si>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</si>
  <si>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</si>
  <si>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</si>
  <si>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</si>
  <si>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</si>
  <si>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</si>
  <si>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</si>
  <si>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</si>
  <si>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</si>
  <si>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</si>
  <si>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</si>
  <si>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</si>
  <si>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</si>
  <si>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</si>
  <si>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</si>
  <si>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</si>
  <si>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</si>
  <si>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</si>
  <si>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</si>
  <si>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</si>
  <si>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</si>
  <si>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</si>
  <si>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</si>
  <si>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</si>
  <si>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</si>
  <si>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</si>
  <si>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</si>
  <si>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</si>
  <si>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</si>
  <si>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</si>
  <si>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</si>
  <si>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</si>
  <si>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</si>
  <si>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</si>
  <si>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</si>
  <si>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</si>
  <si>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</si>
  <si>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</si>
  <si>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</si>
  <si>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</si>
  <si>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</si>
  <si>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</si>
  <si>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</si>
  <si>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</si>
  <si>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</si>
  <si>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</si>
  <si>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</si>
  <si>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</si>
  <si>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</si>
  <si>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</si>
  <si>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</si>
  <si>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</si>
  <si>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</si>
  <si>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</si>
  <si>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</si>
  <si>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</si>
  <si>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</si>
  <si>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</si>
  <si>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</si>
  <si>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</si>
  <si>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</si>
  <si>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</si>
  <si>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</si>
  <si>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</si>
  <si>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</si>
  <si>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</si>
  <si>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</si>
  <si>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</si>
  <si>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</si>
  <si>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</si>
  <si>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</si>
  <si>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</si>
  <si>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</si>
  <si>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</si>
  <si>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</si>
  <si>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</si>
  <si>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</si>
  <si>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</si>
  <si>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</si>
  <si>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</si>
  <si>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</si>
  <si>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</si>
  <si>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</si>
  <si>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</si>
  <si>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</si>
  <si>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</si>
  <si>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</si>
  <si>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</si>
  <si>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</si>
  <si>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</si>
  <si>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</si>
  <si>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</si>
  <si>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</si>
  <si>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</si>
  <si>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</si>
  <si>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</si>
  <si>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</si>
  <si>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</si>
  <si>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</si>
  <si>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</si>
  <si>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DES, Калипсо</t>
  </si>
  <si>
    <t>Meril Evermine50™</t>
  </si>
  <si>
    <t>Shunmei</t>
  </si>
  <si>
    <t>Abbot Whisper MS</t>
  </si>
  <si>
    <t>Abbot Whisper LS</t>
  </si>
  <si>
    <t>20 ml</t>
  </si>
  <si>
    <t>Pilot 150, 190 cm</t>
  </si>
  <si>
    <t>Pilot 150, 300 cm</t>
  </si>
  <si>
    <t>Медведева А.Ю.</t>
  </si>
  <si>
    <t>Вольхин М.В.</t>
  </si>
  <si>
    <t>DES, Metafor</t>
  </si>
  <si>
    <t>Artimes</t>
  </si>
  <si>
    <t>NC Apollo</t>
  </si>
  <si>
    <t>Калашникова А.Д.</t>
  </si>
  <si>
    <t>BMW</t>
  </si>
  <si>
    <t>Логвина Е.В.</t>
  </si>
  <si>
    <t>Волженцева Ю.В.</t>
  </si>
  <si>
    <t>Крюкова Н.С.</t>
  </si>
  <si>
    <t>М.А. Дибиров</t>
  </si>
  <si>
    <t>И/О заведующего отделения: М.А. Дибиров</t>
  </si>
  <si>
    <t>О.В. Севринова</t>
  </si>
  <si>
    <t>И/О старшей мед.сетры: О.В. Севринова</t>
  </si>
  <si>
    <t>Рыбаков А.Г.</t>
  </si>
  <si>
    <t>200 ml</t>
  </si>
  <si>
    <t>Visper</t>
  </si>
  <si>
    <t>3,25 - 12</t>
  </si>
  <si>
    <t>М/О ушито Angio-Seal™</t>
  </si>
  <si>
    <t>Angio-Seal™ VIP</t>
  </si>
  <si>
    <t xml:space="preserve">Устье ствола ЛКА катетеризировано проводниковым катетером Launcher EBU 3,5 6Fr. Коронарный проводник  Visper заведен в дистальный сегмент ПНА. Предилатация в зоне окклюзии БК Artimes 2,0-15 мм, давлением 12 атм. Реканализация. Визуаизируется пролонгированный стеноз среднего сегмента. В зону остаточного стеноза позиционирован и имплпантирован DES Resolute Integrity 3,0-38 мм давлением до 14 атм. Оптимизация стента NC Apollo 3,25-12 мм, давлением 18 атм.  На контрольных съемках стент раскрыт удовлетворительно, признаков краевых диссекций, тромбоза, экстравазации контрастного вещества не выявлено, кровоток по ПНА - TIMI II-III. Ангиографический результат удовлетворительный. Пациент  транспортируется в ПРИТ для дальнейшего наблюдения и лечения. </t>
  </si>
  <si>
    <t>Контроль места пункции, повязка на 6 ч. Контроль места пункции, строгий постельный режим 24 часа.</t>
  </si>
  <si>
    <t>Белов Н.Ю.</t>
  </si>
  <si>
    <t>Правый</t>
  </si>
  <si>
    <t>короткий, кальциноз, стеноз 30%.</t>
  </si>
  <si>
    <t xml:space="preserve">кальциноз, стеноз проксимального сегмента от устья 30%, стеноз среднего сегмента 90%, пролонгированный стеноз на границе среднего и дистального сегмент более 70%, кровоток TIMI III. </t>
  </si>
  <si>
    <t xml:space="preserve">кальциноз, хроническая окклюзия проксимального сегмента, кровоток TIMI 0. Ретроградное контрастирование дистального сегмента за счет развитых межсистемных коллатералей из ОА, Rentrop II-III. </t>
  </si>
  <si>
    <t xml:space="preserve">кальциноз, стеноз устья 90%, стеноз проксимального сегмента более 70%, хроническая окклюзия ВТК2, кровоток по ОА TIMI III, по ВТК2 - TIMI 0. + определяется окклюзия ВТК1 Контрастирование дистальной трети ВТК2 за счет слаборазвитых коллатералей из ПНА, Rentrop I. </t>
  </si>
  <si>
    <r>
      <rPr>
        <u/>
        <sz val="10"/>
        <color theme="1"/>
        <rFont val="Calibri"/>
        <family val="2"/>
        <charset val="204"/>
        <scheme val="minor"/>
      </rPr>
      <t>Аорто - маммарный шунт не функционирует</t>
    </r>
    <r>
      <rPr>
        <sz val="10"/>
        <color theme="1"/>
        <rFont val="Calibri"/>
        <family val="2"/>
        <charset val="204"/>
        <scheme val="minor"/>
      </rPr>
      <t>. Селективно катетеризировать</t>
    </r>
    <r>
      <rPr>
        <u/>
        <sz val="10"/>
        <color theme="1"/>
        <rFont val="Calibri"/>
        <family val="2"/>
        <charset val="204"/>
        <scheme val="minor"/>
      </rPr>
      <t xml:space="preserve"> аорто - коронарный  шунт в АТК</t>
    </r>
    <r>
      <rPr>
        <sz val="10"/>
        <color theme="1"/>
        <rFont val="Calibri"/>
        <family val="2"/>
        <charset val="204"/>
        <scheme val="minor"/>
      </rPr>
      <t xml:space="preserve"> не удалось. При контрастировании восходящего отдела аорты  аорто - коронарный  шунт в АТК не визуализируется.</t>
    </r>
  </si>
  <si>
    <t>09:54</t>
  </si>
  <si>
    <t>Оставлен</t>
  </si>
  <si>
    <t>локтевой</t>
  </si>
  <si>
    <t>150 ml</t>
  </si>
  <si>
    <t>С учётом анамнеза, клиники и текущей ангиографической картины шунтов и коронарного русла  дежурными кардиохирургами принято решение в пользу рестернотомии с целью формирования адекватного кровотока по шунтам.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</si>
</sst>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b/>
      <sz val="12"/>
      <color theme="1"/>
      <name val="Arial Narrow"/>
      <family val="2"/>
      <charset val="204"/>
    </font>
    <font>
      <sz val="9"/>
      <color theme="1"/>
      <name val="Aharoni"/>
      <charset val="177"/>
    </font>
    <font>
      <sz val="9"/>
      <color theme="1"/>
      <name val="Calibri"/>
      <family val="2"/>
      <charset val="204"/>
      <scheme val="minor"/>
    </font>
    <font>
      <u/>
      <sz val="10"/>
      <color theme="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1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2" fillId="0" borderId="0" xfId="0" applyFont="1" applyAlignment="1">
      <alignment horizontal="centerContinuous" vertical="top" wrapText="1"/>
    </xf>
    <xf numFmtId="0" fontId="62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3" fillId="0" borderId="12" xfId="0" applyFont="1" applyBorder="1" applyAlignment="1" applyProtection="1">
      <alignment vertical="top" wrapText="1"/>
      <protection locked="0"/>
    </xf>
    <xf numFmtId="0" fontId="64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3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5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2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1" fillId="13" borderId="0" xfId="0" applyFont="1" applyFill="1" applyAlignment="1">
      <alignment horizontal="left"/>
    </xf>
    <xf numFmtId="0" fontId="2" fillId="0" borderId="0" xfId="0" applyFont="1"/>
    <xf numFmtId="0" fontId="68" fillId="0" borderId="0" xfId="0" applyFont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46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7" fillId="0" borderId="0" xfId="0" applyFont="1" applyAlignment="1" applyProtection="1">
      <alignment horizontal="justify" vertical="top" wrapText="1"/>
      <protection locked="0"/>
    </xf>
    <xf numFmtId="0" fontId="67" fillId="0" borderId="13" xfId="0" applyFont="1" applyBorder="1" applyAlignment="1" applyProtection="1">
      <alignment horizontal="justify" vertical="top" wrapText="1"/>
      <protection locked="0"/>
    </xf>
    <xf numFmtId="0" fontId="67" fillId="0" borderId="3" xfId="0" applyFont="1" applyBorder="1" applyAlignment="1" applyProtection="1">
      <alignment horizontal="justify" vertical="top" wrapText="1"/>
      <protection locked="0"/>
    </xf>
    <xf numFmtId="0" fontId="67" fillId="0" borderId="9" xfId="0" applyFont="1" applyBorder="1" applyAlignment="1" applyProtection="1">
      <alignment horizontal="justify" vertical="top" wrapText="1"/>
      <protection locked="0"/>
    </xf>
    <xf numFmtId="0" fontId="53" fillId="0" borderId="5" xfId="0" applyFont="1" applyBorder="1" applyAlignment="1" applyProtection="1">
      <alignment horizontal="justify" vertical="top" wrapText="1"/>
      <protection locked="0"/>
    </xf>
    <xf numFmtId="0" fontId="53" fillId="0" borderId="11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53" fillId="0" borderId="3" xfId="0" applyFont="1" applyBorder="1" applyAlignment="1" applyProtection="1">
      <alignment horizontal="justify" vertical="top" wrapText="1"/>
      <protection locked="0"/>
    </xf>
    <xf numFmtId="0" fontId="53" fillId="0" borderId="9" xfId="0" applyFont="1" applyBorder="1" applyAlignment="1" applyProtection="1">
      <alignment horizontal="justify" vertical="top" wrapText="1"/>
      <protection locked="0"/>
    </xf>
    <xf numFmtId="0" fontId="0" fillId="0" borderId="0" xfId="0" applyAlignment="1" applyProtection="1">
      <alignment vertical="top" wrapText="1"/>
      <protection locked="0"/>
    </xf>
    <xf numFmtId="0" fontId="59" fillId="0" borderId="10" xfId="0" applyFont="1" applyBorder="1" applyAlignment="1">
      <alignment horizontal="justify" vertical="distributed" wrapText="1"/>
    </xf>
    <xf numFmtId="0" fontId="59" fillId="0" borderId="5" xfId="0" applyFont="1" applyBorder="1" applyAlignment="1">
      <alignment wrapText="1"/>
    </xf>
    <xf numFmtId="0" fontId="59" fillId="0" borderId="11" xfId="0" applyFont="1" applyBorder="1" applyAlignment="1">
      <alignment wrapText="1"/>
    </xf>
    <xf numFmtId="0" fontId="59" fillId="0" borderId="12" xfId="0" applyFont="1" applyBorder="1" applyAlignment="1">
      <alignment wrapText="1"/>
    </xf>
    <xf numFmtId="0" fontId="59" fillId="0" borderId="0" xfId="0" applyFont="1" applyAlignment="1">
      <alignment wrapText="1"/>
    </xf>
    <xf numFmtId="0" fontId="59" fillId="0" borderId="13" xfId="0" applyFont="1" applyBorder="1" applyAlignment="1">
      <alignment wrapText="1"/>
    </xf>
    <xf numFmtId="0" fontId="59" fillId="0" borderId="8" xfId="0" applyFont="1" applyBorder="1" applyAlignment="1">
      <alignment wrapText="1"/>
    </xf>
    <xf numFmtId="0" fontId="59" fillId="0" borderId="3" xfId="0" applyFont="1" applyBorder="1" applyAlignment="1">
      <alignment wrapText="1"/>
    </xf>
    <xf numFmtId="0" fontId="59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6" fillId="0" borderId="12" xfId="0" applyFont="1" applyBorder="1" applyAlignment="1" applyProtection="1">
      <alignment horizontal="justify" vertical="top" wrapText="1"/>
      <protection locked="0"/>
    </xf>
    <xf numFmtId="0" fontId="66" fillId="0" borderId="0" xfId="0" applyFont="1" applyAlignment="1">
      <alignment horizontal="justify" vertical="top" wrapText="1"/>
    </xf>
    <xf numFmtId="0" fontId="66" fillId="0" borderId="13" xfId="0" applyFont="1" applyBorder="1" applyAlignment="1">
      <alignment horizontal="justify" vertical="top" wrapText="1"/>
    </xf>
    <xf numFmtId="0" fontId="66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1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2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3" totalsRowShown="0">
  <autoFilter ref="A21:B93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topLeftCell="A10" zoomScaleNormal="100" zoomScaleSheetLayoutView="100" zoomScalePageLayoutView="90" workbookViewId="0">
      <selection activeCell="I35" sqref="I35"/>
    </sheetView>
  </sheetViews>
  <sheetFormatPr defaultColWidth="0" defaultRowHeight="15" zeroHeight="1"/>
  <cols>
    <col min="1" max="1" width="17.7109375" style="210" bestFit="1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.28515625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2" t="s">
        <v>214</v>
      </c>
      <c r="B6" s="223"/>
      <c r="C6" s="223"/>
      <c r="D6" s="223"/>
      <c r="E6" s="223"/>
      <c r="F6" s="223"/>
      <c r="G6" s="223"/>
      <c r="H6" s="224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A06.10.006.002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45826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1.0416666666666666E-2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4.1666666666666664E-2</v>
      </c>
      <c r="C10" s="54"/>
      <c r="D10" s="94" t="s">
        <v>173</v>
      </c>
      <c r="E10" s="92"/>
      <c r="F10" s="92"/>
      <c r="G10" s="23" t="s">
        <v>141</v>
      </c>
      <c r="H10" s="25"/>
    </row>
    <row r="11" spans="1:8" ht="17.25" thickTop="1" thickBot="1">
      <c r="A11" s="88" t="s">
        <v>192</v>
      </c>
      <c r="B11" s="202" t="s">
        <v>539</v>
      </c>
      <c r="C11" s="8"/>
      <c r="D11" s="94" t="s">
        <v>170</v>
      </c>
      <c r="E11" s="92"/>
      <c r="F11" s="92"/>
      <c r="G11" s="23" t="s">
        <v>250</v>
      </c>
      <c r="H11" s="25"/>
    </row>
    <row r="12" spans="1:8" ht="16.5" thickTop="1">
      <c r="A12" s="80" t="s">
        <v>8</v>
      </c>
      <c r="B12" s="81">
        <v>20864</v>
      </c>
      <c r="C12" s="11"/>
      <c r="D12" s="94" t="s">
        <v>299</v>
      </c>
      <c r="E12" s="92"/>
      <c r="F12" s="92"/>
      <c r="G12" s="23" t="s">
        <v>177</v>
      </c>
      <c r="H12" s="25"/>
    </row>
    <row r="13" spans="1:8" ht="15.75">
      <c r="A13" s="14" t="s">
        <v>10</v>
      </c>
      <c r="B13" s="29">
        <f>DATEDIF(B12,B8,"y")</f>
        <v>68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15782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24</v>
      </c>
      <c r="C15"/>
      <c r="D15" s="35"/>
      <c r="E15" s="35"/>
      <c r="F15" s="35"/>
      <c r="G15" s="164" t="s">
        <v>392</v>
      </c>
      <c r="H15" s="168" t="s">
        <v>546</v>
      </c>
    </row>
    <row r="16" spans="1:8" ht="15.6" customHeight="1">
      <c r="A16" s="14" t="s">
        <v>106</v>
      </c>
      <c r="B16" s="18" t="s">
        <v>307</v>
      </c>
      <c r="C16"/>
      <c r="D16" s="35"/>
      <c r="E16" s="35"/>
      <c r="F16" s="35"/>
      <c r="G16" s="165" t="s">
        <v>394</v>
      </c>
      <c r="H16" s="163">
        <v>1758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381</v>
      </c>
      <c r="H17" s="167">
        <f>H16*0.0019</f>
        <v>3.3401999999999998</v>
      </c>
    </row>
    <row r="18" spans="1:8" ht="14.45" customHeight="1">
      <c r="A18" s="56" t="s">
        <v>188</v>
      </c>
      <c r="B18" s="86" t="s">
        <v>540</v>
      </c>
      <c r="C18"/>
      <c r="D18" s="27" t="s">
        <v>210</v>
      </c>
      <c r="E18" s="27"/>
      <c r="F18" s="27"/>
      <c r="G18" s="84" t="s">
        <v>189</v>
      </c>
      <c r="H18" s="85" t="s">
        <v>548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5" t="s">
        <v>541</v>
      </c>
      <c r="C20" s="226"/>
      <c r="D20" s="226"/>
      <c r="E20" s="226"/>
      <c r="F20" s="226"/>
      <c r="G20" s="226"/>
      <c r="H20" s="227"/>
    </row>
    <row r="21" spans="1:8" ht="15" customHeight="1">
      <c r="A21" s="57"/>
      <c r="B21" s="228"/>
      <c r="C21" s="228"/>
      <c r="D21" s="228"/>
      <c r="E21" s="228"/>
      <c r="F21" s="228"/>
      <c r="G21" s="228"/>
      <c r="H21" s="229"/>
    </row>
    <row r="22" spans="1:8" ht="15.6" customHeight="1">
      <c r="A22" s="58" t="s">
        <v>268</v>
      </c>
      <c r="B22" s="230" t="s">
        <v>542</v>
      </c>
      <c r="C22" s="230"/>
      <c r="D22" s="230"/>
      <c r="E22" s="230"/>
      <c r="F22" s="230"/>
      <c r="G22" s="230"/>
      <c r="H22" s="231"/>
    </row>
    <row r="23" spans="1:8" ht="14.45" customHeight="1">
      <c r="A23" s="37"/>
      <c r="B23" s="225"/>
      <c r="C23" s="225"/>
      <c r="D23" s="225"/>
      <c r="E23" s="225"/>
      <c r="F23" s="225"/>
      <c r="G23" s="225"/>
      <c r="H23" s="232"/>
    </row>
    <row r="24" spans="1:8" ht="14.45" customHeight="1">
      <c r="A24" s="59"/>
      <c r="B24" s="225"/>
      <c r="C24" s="225"/>
      <c r="D24" s="225"/>
      <c r="E24" s="225"/>
      <c r="F24" s="225"/>
      <c r="G24" s="225"/>
      <c r="H24" s="232"/>
    </row>
    <row r="25" spans="1:8" ht="14.45" customHeight="1">
      <c r="A25" s="37"/>
      <c r="B25" s="225"/>
      <c r="C25" s="225"/>
      <c r="D25" s="225"/>
      <c r="E25" s="225"/>
      <c r="F25" s="225"/>
      <c r="G25" s="225"/>
      <c r="H25" s="232"/>
    </row>
    <row r="26" spans="1:8" ht="14.45" customHeight="1">
      <c r="A26" s="39"/>
      <c r="B26" s="233"/>
      <c r="C26" s="233"/>
      <c r="D26" s="233"/>
      <c r="E26" s="233"/>
      <c r="F26" s="233"/>
      <c r="G26" s="233"/>
      <c r="H26" s="234"/>
    </row>
    <row r="27" spans="1:8" ht="14.45" customHeight="1">
      <c r="A27" s="58" t="s">
        <v>269</v>
      </c>
      <c r="B27" s="230" t="s">
        <v>544</v>
      </c>
      <c r="C27" s="230"/>
      <c r="D27" s="230"/>
      <c r="E27" s="230"/>
      <c r="F27" s="230"/>
      <c r="G27" s="230"/>
      <c r="H27" s="231"/>
    </row>
    <row r="28" spans="1:8" ht="15.6" customHeight="1">
      <c r="A28" s="37"/>
      <c r="B28" s="225"/>
      <c r="C28" s="225"/>
      <c r="D28" s="225"/>
      <c r="E28" s="225"/>
      <c r="F28" s="225"/>
      <c r="G28" s="225"/>
      <c r="H28" s="232"/>
    </row>
    <row r="29" spans="1:8" ht="14.45" customHeight="1">
      <c r="A29" s="37"/>
      <c r="B29" s="225"/>
      <c r="C29" s="225"/>
      <c r="D29" s="225"/>
      <c r="E29" s="225"/>
      <c r="F29" s="225"/>
      <c r="G29" s="225"/>
      <c r="H29" s="232"/>
    </row>
    <row r="30" spans="1:8" ht="14.45" customHeight="1">
      <c r="A30" s="31"/>
      <c r="B30" s="225"/>
      <c r="C30" s="225"/>
      <c r="D30" s="225"/>
      <c r="E30" s="225"/>
      <c r="F30" s="225"/>
      <c r="G30" s="225"/>
      <c r="H30" s="232"/>
    </row>
    <row r="31" spans="1:8" ht="14.45" customHeight="1">
      <c r="A31" s="32"/>
      <c r="B31" s="233"/>
      <c r="C31" s="233"/>
      <c r="D31" s="233"/>
      <c r="E31" s="233"/>
      <c r="F31" s="233"/>
      <c r="G31" s="233"/>
      <c r="H31" s="234"/>
    </row>
    <row r="32" spans="1:8" ht="14.45" customHeight="1">
      <c r="A32" s="58" t="s">
        <v>270</v>
      </c>
      <c r="B32" s="235" t="s">
        <v>543</v>
      </c>
      <c r="C32" s="235"/>
      <c r="D32" s="235"/>
      <c r="E32" s="235"/>
      <c r="F32" s="235"/>
      <c r="G32" s="235"/>
      <c r="H32" s="235"/>
    </row>
    <row r="33" spans="1:8" ht="14.45" customHeight="1">
      <c r="A33" s="37"/>
      <c r="B33" s="235"/>
      <c r="C33" s="235"/>
      <c r="D33" s="235"/>
      <c r="E33" s="235"/>
      <c r="F33" s="235"/>
      <c r="G33" s="235"/>
      <c r="H33" s="235"/>
    </row>
    <row r="34" spans="1:8" ht="15.6" customHeight="1">
      <c r="A34" s="37"/>
      <c r="B34" s="235"/>
      <c r="C34" s="235"/>
      <c r="D34" s="235"/>
      <c r="E34" s="235"/>
      <c r="F34" s="235"/>
      <c r="G34" s="235"/>
      <c r="H34" s="235"/>
    </row>
    <row r="35" spans="1:8" ht="14.45" customHeight="1">
      <c r="A35" s="37"/>
      <c r="B35" s="235"/>
      <c r="C35" s="235"/>
      <c r="D35" s="235"/>
      <c r="E35" s="235"/>
      <c r="F35" s="235"/>
      <c r="G35" s="235"/>
      <c r="H35" s="235"/>
    </row>
    <row r="36" spans="1:8" ht="15.6" customHeight="1">
      <c r="A36" s="37"/>
      <c r="B36" s="235"/>
      <c r="C36" s="235"/>
      <c r="D36" s="235"/>
      <c r="E36" s="235"/>
      <c r="F36" s="235"/>
      <c r="G36" s="235"/>
      <c r="H36" s="235"/>
    </row>
    <row r="37" spans="1:8" ht="14.45" customHeight="1">
      <c r="A37" s="37"/>
      <c r="B37"/>
      <c r="C37"/>
      <c r="D37" s="218" t="str">
        <f>IF($A$6=Вмешательства!$D$3,Вмешательства!$F$18,"")</f>
        <v>ШУНТЫ:</v>
      </c>
      <c r="E37" s="218"/>
      <c r="F37" s="118"/>
      <c r="G37" s="118"/>
      <c r="H37" s="122"/>
    </row>
    <row r="38" spans="1:8" ht="14.45" customHeight="1">
      <c r="A38" s="37"/>
      <c r="B38"/>
      <c r="C38" s="123"/>
      <c r="D38" s="219" t="s">
        <v>545</v>
      </c>
      <c r="E38" s="220"/>
      <c r="F38" s="220"/>
      <c r="G38" s="220"/>
      <c r="H38" s="221"/>
    </row>
    <row r="39" spans="1:8" ht="14.45" customHeight="1">
      <c r="A39" s="34"/>
      <c r="B39" s="118"/>
      <c r="C39" s="123"/>
      <c r="D39" s="220"/>
      <c r="E39" s="220"/>
      <c r="F39" s="220"/>
      <c r="G39" s="220"/>
      <c r="H39" s="221"/>
    </row>
    <row r="40" spans="1:8" ht="14.45" customHeight="1">
      <c r="A40" s="34"/>
      <c r="B40" s="118"/>
      <c r="C40" s="123"/>
      <c r="D40" s="220"/>
      <c r="E40" s="220"/>
      <c r="F40" s="220"/>
      <c r="G40" s="220"/>
      <c r="H40" s="221"/>
    </row>
    <row r="41" spans="1:8" ht="14.45" customHeight="1">
      <c r="A41" s="34"/>
      <c r="B41" s="118"/>
      <c r="C41" s="123"/>
      <c r="D41" s="220"/>
      <c r="E41" s="220"/>
      <c r="F41" s="220"/>
      <c r="G41" s="220"/>
      <c r="H41" s="221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5" t="s">
        <v>550</v>
      </c>
      <c r="E43" s="216"/>
      <c r="F43" s="216"/>
      <c r="G43" s="216"/>
      <c r="H43" s="217"/>
    </row>
    <row r="44" spans="1:8" ht="14.45" customHeight="1">
      <c r="A44" s="34"/>
      <c r="B44" s="118"/>
      <c r="C44" s="125"/>
      <c r="D44" s="216"/>
      <c r="E44" s="216"/>
      <c r="F44" s="216"/>
      <c r="G44" s="216"/>
      <c r="H44" s="217"/>
    </row>
    <row r="45" spans="1:8" ht="14.45" customHeight="1">
      <c r="A45" s="34"/>
      <c r="B45" s="118"/>
      <c r="C45" s="125"/>
      <c r="D45" s="216"/>
      <c r="E45" s="216"/>
      <c r="F45" s="216"/>
      <c r="G45" s="216"/>
      <c r="H45" s="217"/>
    </row>
    <row r="46" spans="1:8">
      <c r="A46" s="34"/>
      <c r="B46" s="118"/>
      <c r="C46" s="125"/>
      <c r="D46" s="216"/>
      <c r="E46" s="216"/>
      <c r="F46" s="216"/>
      <c r="G46" s="216"/>
      <c r="H46" s="217"/>
    </row>
    <row r="47" spans="1:8">
      <c r="A47" s="37"/>
      <c r="B47"/>
      <c r="C47" s="125"/>
      <c r="D47" s="216"/>
      <c r="E47" s="216"/>
      <c r="F47" s="216"/>
      <c r="G47" s="216"/>
      <c r="H47" s="217"/>
    </row>
    <row r="48" spans="1:8">
      <c r="A48" s="37"/>
      <c r="B48"/>
      <c r="C48" s="125"/>
      <c r="D48" s="216"/>
      <c r="E48" s="216"/>
      <c r="F48" s="216"/>
      <c r="G48" s="216"/>
      <c r="H48" s="217"/>
    </row>
    <row r="49" spans="1:13">
      <c r="A49" s="37"/>
      <c r="B49" s="204"/>
      <c r="C49" s="205"/>
      <c r="D49" s="216"/>
      <c r="E49" s="216"/>
      <c r="F49" s="216"/>
      <c r="G49" s="216"/>
      <c r="H49" s="217"/>
    </row>
    <row r="50" spans="1:13">
      <c r="A50" s="37"/>
      <c r="B50"/>
      <c r="C50"/>
      <c r="D50" s="216"/>
      <c r="E50" s="216"/>
      <c r="F50" s="216"/>
      <c r="G50" s="216"/>
      <c r="H50" s="217"/>
      <c r="M50" t="s">
        <v>211</v>
      </c>
    </row>
    <row r="51" spans="1:13">
      <c r="A51" s="61" t="s">
        <v>204</v>
      </c>
      <c r="B51" s="62" t="s">
        <v>549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547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topLeftCell="A4" zoomScaleNormal="100" zoomScaleSheetLayoutView="100" zoomScalePageLayoutView="90" workbookViewId="0">
      <selection activeCell="A6" sqref="A6:H7"/>
    </sheetView>
  </sheetViews>
  <sheetFormatPr defaultColWidth="0" defaultRowHeight="15" zeroHeight="1"/>
  <cols>
    <col min="1" max="1" width="18.85546875" style="211" customWidth="1"/>
    <col min="2" max="2" width="21.5703125" style="211" customWidth="1"/>
    <col min="3" max="3" width="6.28515625" style="211" customWidth="1"/>
    <col min="4" max="4" width="6.85546875" style="211" customWidth="1"/>
    <col min="5" max="5" width="4.85546875" style="211" customWidth="1"/>
    <col min="6" max="6" width="6" style="211" customWidth="1"/>
    <col min="7" max="7" width="17.7109375" style="211" customWidth="1"/>
    <col min="8" max="8" width="17.140625" style="211" customWidth="1"/>
    <col min="9" max="9" width="15.28515625" style="211" customWidth="1"/>
    <col min="10" max="10" width="7.28515625" style="211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6"/>
      <c r="B6" s="247"/>
      <c r="C6" s="247"/>
      <c r="D6" s="247"/>
      <c r="E6" s="247"/>
      <c r="F6" s="247"/>
      <c r="G6" s="247"/>
      <c r="H6" s="248"/>
    </row>
    <row r="7" spans="1:8" ht="21.6" customHeight="1">
      <c r="A7" s="246"/>
      <c r="B7" s="247"/>
      <c r="C7" s="247"/>
      <c r="D7" s="247"/>
      <c r="E7" s="247"/>
      <c r="F7" s="247"/>
      <c r="G7" s="247"/>
      <c r="H7" s="248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B8"/>
      <c r="C8" s="245" t="s">
        <v>221</v>
      </c>
      <c r="D8" s="245"/>
      <c r="E8" s="245"/>
      <c r="F8" s="189">
        <v>1</v>
      </c>
      <c r="G8" s="117" t="s">
        <v>305</v>
      </c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5"/>
      <c r="D9" s="245"/>
      <c r="E9" s="245"/>
      <c r="F9" s="189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8"/>
      <c r="C10" s="249"/>
      <c r="D10" s="249"/>
      <c r="E10" s="249"/>
      <c r="F10" s="192"/>
      <c r="G10" s="117"/>
      <c r="H10" s="38"/>
    </row>
    <row r="11" spans="1:8">
      <c r="A11" s="191"/>
      <c r="B11" s="195"/>
      <c r="C11" s="198">
        <f>SUM(F8:F10)</f>
        <v>1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45826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f>КАГ!B10</f>
        <v>4.1666666666666664E-2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0.61458333333333337</v>
      </c>
      <c r="C14" s="11"/>
      <c r="D14" s="94" t="s">
        <v>173</v>
      </c>
      <c r="E14" s="92"/>
      <c r="F14" s="92"/>
      <c r="G14" s="79" t="str">
        <f>КАГ!G10</f>
        <v>Черткова О.Н.</v>
      </c>
      <c r="H14" s="90" t="str">
        <f>IF(ISBLANK(КАГ!H10),"",КАГ!H10)</f>
        <v/>
      </c>
    </row>
    <row r="15" spans="1:8" ht="16.5" thickBot="1">
      <c r="A15" s="162" t="s">
        <v>380</v>
      </c>
      <c r="B15" s="187">
        <f>IF(B14&lt;B13,B14+1,B14)-B13</f>
        <v>0.57291666666666674</v>
      </c>
      <c r="C15"/>
      <c r="D15" s="94" t="s">
        <v>170</v>
      </c>
      <c r="E15" s="92"/>
      <c r="F15" s="92"/>
      <c r="G15" s="79" t="str">
        <f>КАГ!G11</f>
        <v>Герасимов М.М.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200" t="str">
        <f>КАГ!B11</f>
        <v>Белов Н.Ю.</v>
      </c>
      <c r="C16" s="199">
        <f>LEN(КАГ!B11)</f>
        <v>10</v>
      </c>
      <c r="D16" s="94" t="s">
        <v>299</v>
      </c>
      <c r="E16" s="92"/>
      <c r="F16" s="92"/>
      <c r="G16" s="79" t="str">
        <f>КАГ!G12</f>
        <v>Мишина Е.А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20864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68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15782</v>
      </c>
      <c r="C19" s="68"/>
      <c r="D19" s="68"/>
      <c r="E19" s="68"/>
      <c r="F19" s="68"/>
      <c r="G19" s="164" t="s">
        <v>392</v>
      </c>
      <c r="H19" s="179" t="str">
        <f>КАГ!H15</f>
        <v>09:54</v>
      </c>
    </row>
    <row r="20" spans="1:8" ht="14.45" customHeight="1">
      <c r="A20" s="14" t="s">
        <v>133</v>
      </c>
      <c r="B20" s="67">
        <f>КАГ!B15</f>
        <v>24</v>
      </c>
      <c r="C20" s="69"/>
      <c r="D20" s="69"/>
      <c r="E20" s="69"/>
      <c r="F20" s="69"/>
      <c r="G20" s="165" t="s">
        <v>394</v>
      </c>
      <c r="H20" s="180">
        <f>КАГ!H16</f>
        <v>1758</v>
      </c>
    </row>
    <row r="21" spans="1:8" ht="14.45" customHeight="1">
      <c r="A21" s="14" t="s">
        <v>106</v>
      </c>
      <c r="B21" s="66" t="str">
        <f>КАГ!B16</f>
        <v>ОКС БПST</v>
      </c>
      <c r="C21" s="69"/>
      <c r="D21"/>
      <c r="E21" s="70"/>
      <c r="F21" s="70"/>
      <c r="G21" s="166" t="s">
        <v>381</v>
      </c>
      <c r="H21" s="167">
        <f>КАГ!H17</f>
        <v>3.3401999999999998</v>
      </c>
    </row>
    <row r="22" spans="1:8" ht="14.45" customHeight="1">
      <c r="A22" s="56" t="str">
        <f>КАГ!G18</f>
        <v>Доступ:</v>
      </c>
      <c r="B22" s="76" t="str">
        <f>КАГ!H18</f>
        <v>локтевой</v>
      </c>
      <c r="C22" s="69"/>
      <c r="D22" s="69"/>
      <c r="E22" s="69"/>
      <c r="F22" s="69"/>
      <c r="G22" s="183" t="str">
        <f>IF(B21=Вмешательства!F3,Вмешательства!F19,"")</f>
        <v/>
      </c>
      <c r="H22" s="184">
        <f>B13*1.0015</f>
        <v>4.1729166666666664E-2</v>
      </c>
    </row>
    <row r="23" spans="1:8" ht="14.45" customHeight="1">
      <c r="A23" s="64" t="s">
        <v>384</v>
      </c>
      <c r="B23" s="171" t="s">
        <v>383</v>
      </c>
      <c r="C23" s="161"/>
      <c r="D23" s="161"/>
      <c r="E23" s="161"/>
      <c r="F23" s="161"/>
      <c r="G23"/>
      <c r="H23" s="38"/>
    </row>
    <row r="24" spans="1:8" ht="14.45" customHeight="1">
      <c r="A24" s="182" t="s">
        <v>382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53" t="s">
        <v>537</v>
      </c>
      <c r="B25" s="254"/>
      <c r="C25" s="254"/>
      <c r="D25" s="254"/>
      <c r="E25" s="254"/>
      <c r="F25" s="254"/>
      <c r="G25" s="254"/>
      <c r="H25" s="255"/>
    </row>
    <row r="26" spans="1:8" ht="14.45" customHeight="1">
      <c r="A26" s="256"/>
      <c r="B26" s="254"/>
      <c r="C26" s="254"/>
      <c r="D26" s="254"/>
      <c r="E26" s="254"/>
      <c r="F26" s="254"/>
      <c r="G26" s="254"/>
      <c r="H26" s="255"/>
    </row>
    <row r="27" spans="1:8" ht="14.45" customHeight="1">
      <c r="A27" s="256"/>
      <c r="B27" s="254"/>
      <c r="C27" s="254"/>
      <c r="D27" s="254"/>
      <c r="E27" s="254"/>
      <c r="F27" s="254"/>
      <c r="G27" s="254"/>
      <c r="H27" s="255"/>
    </row>
    <row r="28" spans="1:8" ht="14.45" customHeight="1">
      <c r="A28" s="256"/>
      <c r="B28" s="254"/>
      <c r="C28" s="254"/>
      <c r="D28" s="254"/>
      <c r="E28" s="254"/>
      <c r="F28" s="254"/>
      <c r="G28" s="254"/>
      <c r="H28" s="255"/>
    </row>
    <row r="29" spans="1:8" ht="14.45" customHeight="1">
      <c r="A29" s="256"/>
      <c r="B29" s="254"/>
      <c r="C29" s="254"/>
      <c r="D29" s="254"/>
      <c r="E29" s="254"/>
      <c r="F29" s="254"/>
      <c r="G29" s="254"/>
      <c r="H29" s="255"/>
    </row>
    <row r="30" spans="1:8" ht="14.45" customHeight="1">
      <c r="A30" s="256"/>
      <c r="B30" s="254"/>
      <c r="C30" s="254"/>
      <c r="D30" s="254"/>
      <c r="E30" s="254"/>
      <c r="F30" s="254"/>
      <c r="G30" s="254"/>
      <c r="H30" s="255"/>
    </row>
    <row r="31" spans="1:8" ht="14.45" customHeight="1">
      <c r="A31" s="256"/>
      <c r="B31" s="254"/>
      <c r="C31" s="254"/>
      <c r="D31" s="254"/>
      <c r="E31" s="254"/>
      <c r="F31" s="254"/>
      <c r="G31" s="254"/>
      <c r="H31" s="255"/>
    </row>
    <row r="32" spans="1:8" ht="14.45" customHeight="1">
      <c r="A32" s="256"/>
      <c r="B32" s="254"/>
      <c r="C32" s="254"/>
      <c r="D32" s="254"/>
      <c r="E32" s="254"/>
      <c r="F32" s="254"/>
      <c r="G32" s="254"/>
      <c r="H32" s="255"/>
    </row>
    <row r="33" spans="1:12" ht="14.45" customHeight="1">
      <c r="A33" s="256"/>
      <c r="B33" s="254"/>
      <c r="C33" s="254"/>
      <c r="D33" s="254"/>
      <c r="E33" s="254"/>
      <c r="F33" s="254"/>
      <c r="G33" s="254"/>
      <c r="H33" s="255"/>
    </row>
    <row r="34" spans="1:12" ht="14.45" customHeight="1">
      <c r="A34" s="256"/>
      <c r="B34" s="254"/>
      <c r="C34" s="254"/>
      <c r="D34" s="254"/>
      <c r="E34" s="254"/>
      <c r="F34" s="254"/>
      <c r="G34" s="254"/>
      <c r="H34" s="255"/>
    </row>
    <row r="35" spans="1:12" ht="14.45" customHeight="1">
      <c r="A35" s="256"/>
      <c r="B35" s="254"/>
      <c r="C35" s="254"/>
      <c r="D35" s="254"/>
      <c r="E35" s="254"/>
      <c r="F35" s="254"/>
      <c r="G35" s="254"/>
      <c r="H35" s="255"/>
    </row>
    <row r="36" spans="1:12" ht="14.45" customHeight="1">
      <c r="A36" s="256"/>
      <c r="B36" s="254"/>
      <c r="C36" s="254"/>
      <c r="D36" s="254"/>
      <c r="E36" s="254"/>
      <c r="F36" s="254"/>
      <c r="G36" s="254"/>
      <c r="H36" s="255"/>
    </row>
    <row r="37" spans="1:12" ht="14.45" customHeight="1">
      <c r="A37" s="256"/>
      <c r="B37" s="254"/>
      <c r="C37" s="254"/>
      <c r="D37" s="254"/>
      <c r="E37" s="254"/>
      <c r="F37" s="254"/>
      <c r="G37" s="254"/>
      <c r="H37" s="255"/>
    </row>
    <row r="38" spans="1:12" ht="14.45" customHeight="1">
      <c r="A38" s="176" t="s">
        <v>388</v>
      </c>
      <c r="B38" s="174"/>
      <c r="C38" s="175"/>
      <c r="D38" s="175"/>
      <c r="E38" s="185" t="str">
        <f>IF(A6=Вмешательства!D4,Вмешательства!V16,IF(ЧКВ!A6=Вмешательства!D36,Вмешательства!V16,"-----"))</f>
        <v>СТЕНТ/Ы</v>
      </c>
      <c r="F38" s="175"/>
      <c r="G38" s="178"/>
      <c r="H38"/>
    </row>
    <row r="39" spans="1:12" ht="15.75">
      <c r="A39" s="172" t="s">
        <v>385</v>
      </c>
      <c r="B39" s="69" t="s">
        <v>387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386</v>
      </c>
      <c r="B40" s="177" t="s">
        <v>514</v>
      </c>
      <c r="C40" s="119"/>
      <c r="D40" s="250" t="s">
        <v>538</v>
      </c>
      <c r="E40" s="251"/>
      <c r="F40" s="251"/>
      <c r="G40" s="251"/>
      <c r="H40" s="252"/>
    </row>
    <row r="41" spans="1:12" ht="14.45" customHeight="1">
      <c r="A41" s="31"/>
      <c r="B41" s="27"/>
      <c r="C41" s="119"/>
      <c r="D41" s="251"/>
      <c r="E41" s="251"/>
      <c r="F41" s="251"/>
      <c r="G41" s="251"/>
      <c r="H41" s="252"/>
    </row>
    <row r="42" spans="1:12" ht="14.45" customHeight="1">
      <c r="A42" s="31"/>
      <c r="B42" s="27"/>
      <c r="C42" s="119"/>
      <c r="D42" s="251"/>
      <c r="E42" s="251"/>
      <c r="F42" s="251"/>
      <c r="G42" s="251"/>
      <c r="H42" s="252"/>
    </row>
    <row r="43" spans="1:12" ht="14.45" customHeight="1">
      <c r="A43" s="31"/>
      <c r="B43" s="27"/>
      <c r="C43" s="119"/>
      <c r="D43" s="251"/>
      <c r="E43" s="251"/>
      <c r="F43" s="251"/>
      <c r="G43" s="251"/>
      <c r="H43" s="252"/>
    </row>
    <row r="44" spans="1:12" ht="14.45" customHeight="1">
      <c r="A44" s="31"/>
      <c r="B44" s="27"/>
      <c r="C44" s="119"/>
      <c r="D44" s="251"/>
      <c r="E44" s="251"/>
      <c r="F44" s="251"/>
      <c r="G44" s="251"/>
      <c r="H44" s="252"/>
      <c r="L44" s="159"/>
    </row>
    <row r="45" spans="1:12" ht="14.45" customHeight="1">
      <c r="A45" s="31"/>
      <c r="B45" s="27"/>
      <c r="C45" s="119"/>
      <c r="D45" s="251"/>
      <c r="E45" s="251"/>
      <c r="F45" s="251"/>
      <c r="G45" s="251"/>
      <c r="H45" s="252"/>
    </row>
    <row r="46" spans="1:12" ht="14.45" customHeight="1">
      <c r="A46" s="31"/>
      <c r="B46" s="27"/>
      <c r="C46" s="119"/>
      <c r="D46" s="251"/>
      <c r="E46" s="251"/>
      <c r="F46" s="251"/>
      <c r="G46" s="251"/>
      <c r="H46" s="252"/>
    </row>
    <row r="47" spans="1:12" ht="14.45" customHeight="1">
      <c r="A47" s="37"/>
      <c r="B47"/>
      <c r="C47" s="119"/>
      <c r="D47" s="251"/>
      <c r="E47" s="251"/>
      <c r="F47" s="251"/>
      <c r="G47" s="251"/>
      <c r="H47" s="252"/>
    </row>
    <row r="48" spans="1:12" ht="14.45" customHeight="1">
      <c r="A48" s="37"/>
      <c r="B48"/>
      <c r="C48" s="119"/>
      <c r="D48" s="251"/>
      <c r="E48" s="251"/>
      <c r="F48" s="251"/>
      <c r="G48" s="251"/>
      <c r="H48" s="252"/>
    </row>
    <row r="49" spans="1:8" ht="14.45" customHeight="1">
      <c r="A49" s="37"/>
      <c r="B49"/>
      <c r="C49" s="119"/>
      <c r="D49" s="251"/>
      <c r="E49" s="251"/>
      <c r="F49" s="251"/>
      <c r="G49" s="251"/>
      <c r="H49" s="252"/>
    </row>
    <row r="50" spans="1:8">
      <c r="A50" s="61" t="s">
        <v>204</v>
      </c>
      <c r="B50" s="62" t="s">
        <v>532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535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6" t="s">
        <v>365</v>
      </c>
      <c r="B52" s="237"/>
      <c r="C52" s="237"/>
      <c r="D52" s="237"/>
      <c r="E52" s="237"/>
      <c r="F52" s="238"/>
      <c r="G52"/>
      <c r="H52" s="38"/>
    </row>
    <row r="53" spans="1:8" ht="15" customHeight="1">
      <c r="A53" s="239"/>
      <c r="B53" s="240"/>
      <c r="C53" s="240"/>
      <c r="D53" s="240"/>
      <c r="E53" s="240"/>
      <c r="F53" s="241"/>
      <c r="G53" s="73" t="str">
        <f>IF(ISBLANK(H13),"",H13)</f>
        <v/>
      </c>
      <c r="H53" s="63"/>
    </row>
    <row r="54" spans="1:8">
      <c r="A54" s="242"/>
      <c r="B54" s="243"/>
      <c r="C54" s="243"/>
      <c r="D54" s="243"/>
      <c r="E54" s="243"/>
      <c r="F54" s="244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КОРОНАРОШУНТОГРАФИЯ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 xml:space="preserve">Тип:   Правый
Ствол ЛКА:   короткий, кальциноз, стеноз 30%.
Бассейн ПНА:   кальциноз, стеноз проксимального сегмента от устья 30%, стеноз среднего сегмента 90%, пролонгированный стеноз на границе среднего и дистального сегмент более 70%, кровоток TIMI III. 
Бассейн  ОА:   кальциноз, стеноз устья 90%, стеноз проксимального сегмента более 70%, хроническая окклюзия ВТК2, кровоток по ОА TIMI III, по ВТК2 - TIMI 0. + определяется окклюзия ВТК1 Контрастирование дистальной трети ВТК2 за счет слаборазвитых коллатералей из ПНА, Rentrop I. 
Бассейн ПКА:   кальциноз, хроническая окклюзия проксимального сегмента, кровоток TIMI 0. Ретроградное контрастирование дистального сегмента за счет развитых межсистемных коллатералей из ОА, Rentrop II-III. 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topLeftCell="A4" zoomScale="90" zoomScaleNormal="90" zoomScaleSheetLayoutView="100" zoomScalePageLayoutView="80" workbookViewId="0">
      <selection activeCell="B18" sqref="B18"/>
    </sheetView>
  </sheetViews>
  <sheetFormatPr defaultColWidth="0" defaultRowHeight="15" zeroHeight="1"/>
  <cols>
    <col min="1" max="1" width="18.7109375" style="212" customWidth="1"/>
    <col min="2" max="2" width="45.7109375" style="212" customWidth="1"/>
    <col min="3" max="3" width="15.7109375" style="212" customWidth="1"/>
    <col min="4" max="4" width="20.7109375" style="212" customWidth="1"/>
    <col min="5" max="5" width="7.7109375" style="212" bestFit="1" customWidth="1"/>
    <col min="6" max="6" width="10.7109375" style="212" bestFit="1" customWidth="1"/>
    <col min="7" max="8" width="10.7109375" style="212" hidden="1" customWidth="1"/>
    <col min="9" max="13" width="11.7109375" style="212" hidden="1" customWidth="1"/>
    <col min="14" max="16384" width="9.140625" style="212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45826</v>
      </c>
      <c r="C2" s="151" t="str">
        <f>IF(ЧКВ!A6=Вмешательства!D4,Вмешательства!F20,IF(ЧКВ!A6=Вмешательства!D36,Вмешательства!F20,Вмешательства!F22))</f>
        <v>ВМП 1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3" t="str">
        <f>КАГ!$B$11</f>
        <v>Белов Н.Ю.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A06.10.006.002</v>
      </c>
      <c r="B5" s="132" t="str">
        <f>IF(ISBLANK(КАГ!A6),"",КАГ!A6)</f>
        <v>КОРОНАРОШУНТОГРАФИЯ</v>
      </c>
      <c r="C5" s="130" t="s">
        <v>8</v>
      </c>
      <c r="D5" s="101">
        <f>КАГ!$B$12</f>
        <v>20864</v>
      </c>
    </row>
    <row r="6" spans="1:4" ht="28.5" customHeight="1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3">
        <f>ЧКВ!A6</f>
        <v>0</v>
      </c>
      <c r="C6" s="130" t="s">
        <v>10</v>
      </c>
      <c r="D6" s="102">
        <f>DATEDIF(D5,D10,"y")</f>
        <v>68</v>
      </c>
    </row>
    <row r="7" spans="1:4">
      <c r="A7" s="37"/>
      <c r="B7"/>
      <c r="C7" s="100" t="s">
        <v>12</v>
      </c>
      <c r="D7" s="102">
        <f>КАГ!$B$14</f>
        <v>15782</v>
      </c>
    </row>
    <row r="8" spans="1:4">
      <c r="A8" s="193" t="str">
        <f>ЧКВ!$A$9</f>
        <v xml:space="preserve">Код модели:  </v>
      </c>
      <c r="B8" s="103"/>
      <c r="C8" s="100" t="s">
        <v>133</v>
      </c>
      <c r="D8" s="102">
        <f>КАГ!$B$15</f>
        <v>24</v>
      </c>
    </row>
    <row r="9" spans="1:4">
      <c r="A9" s="193" t="str">
        <f>ЧКВ!$A$10</f>
        <v xml:space="preserve">Код метода:  </v>
      </c>
      <c r="B9"/>
      <c r="C9" s="104" t="s">
        <v>106</v>
      </c>
      <c r="D9" s="102" t="str">
        <f>КАГ!$B$16</f>
        <v>ОКС БПST</v>
      </c>
    </row>
    <row r="10" spans="1:4">
      <c r="A10" s="194"/>
      <c r="B10" s="30"/>
      <c r="C10" s="149" t="s">
        <v>13</v>
      </c>
      <c r="D10" s="150">
        <f>КАГ!$B$8</f>
        <v>45826</v>
      </c>
    </row>
    <row r="11" spans="1:4">
      <c r="A11" s="26"/>
      <c r="B11" s="111"/>
      <c r="C11" s="111"/>
      <c r="D11" s="112"/>
    </row>
    <row r="12" spans="1:4" ht="18.75" customHeight="1">
      <c r="A12" s="135" t="s">
        <v>331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302</v>
      </c>
      <c r="C13" s="186"/>
      <c r="D13" s="139">
        <v>1</v>
      </c>
    </row>
    <row r="14" spans="1:4" ht="27.75" customHeight="1">
      <c r="A14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321</v>
      </c>
      <c r="C14" s="134"/>
      <c r="D14" s="139">
        <v>1</v>
      </c>
    </row>
    <row r="15" spans="1:4" ht="27.75" customHeight="1">
      <c r="A15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5" s="153" t="s">
        <v>325</v>
      </c>
      <c r="C15" s="134"/>
      <c r="D15" s="139">
        <v>1</v>
      </c>
    </row>
    <row r="16" spans="1:4" ht="27.75" customHeight="1">
      <c r="A16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6" s="153" t="s">
        <v>533</v>
      </c>
      <c r="C16" s="134"/>
      <c r="D16" s="139">
        <v>1</v>
      </c>
    </row>
    <row r="17" spans="1:4" ht="27.75" customHeight="1">
      <c r="A17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3" t="s">
        <v>319</v>
      </c>
      <c r="C17" s="134" t="s">
        <v>455</v>
      </c>
      <c r="D17" s="139">
        <v>1</v>
      </c>
    </row>
    <row r="18" spans="1:4" ht="27.75" customHeight="1">
      <c r="A18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3" t="s">
        <v>521</v>
      </c>
      <c r="C18" s="134" t="s">
        <v>534</v>
      </c>
      <c r="D18" s="139">
        <v>1</v>
      </c>
    </row>
    <row r="19" spans="1:4" ht="27.75" customHeight="1">
      <c r="A19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9" s="153" t="s">
        <v>520</v>
      </c>
      <c r="C19" s="181" t="s">
        <v>399</v>
      </c>
      <c r="D19" s="139">
        <v>1</v>
      </c>
    </row>
    <row r="20" spans="1:4" ht="27.75" customHeight="1">
      <c r="A20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Система для закрытия м/пункции </v>
      </c>
      <c r="B20" s="154" t="s">
        <v>536</v>
      </c>
      <c r="C20" s="181"/>
      <c r="D20" s="139">
        <v>1</v>
      </c>
    </row>
    <row r="21" spans="1:4" ht="27.75" customHeight="1">
      <c r="A21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528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530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3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479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478</v>
      </c>
      <c r="G3" s="3" t="s">
        <v>479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307</v>
      </c>
      <c r="G4" s="3" t="s">
        <v>479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393</v>
      </c>
      <c r="F5" t="s">
        <v>131</v>
      </c>
      <c r="G5" s="3" t="s">
        <v>479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479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479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479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479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480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478</v>
      </c>
      <c r="G13" s="3" t="s">
        <v>480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307</v>
      </c>
      <c r="G14" s="3" t="s">
        <v>480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480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388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389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481</v>
      </c>
      <c r="V17" t="s">
        <v>390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301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332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333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343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496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7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7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7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7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7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7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7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7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7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C2" sqref="C2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276</v>
      </c>
      <c r="H1" s="114" t="s">
        <v>277</v>
      </c>
      <c r="I1" s="114" t="s">
        <v>278</v>
      </c>
      <c r="J1" s="114" t="s">
        <v>279</v>
      </c>
      <c r="K1" s="115" t="s">
        <v>280</v>
      </c>
      <c r="L1" s="115" t="s">
        <v>281</v>
      </c>
      <c r="M1" s="115" t="s">
        <v>282</v>
      </c>
      <c r="N1" s="115" t="s">
        <v>283</v>
      </c>
      <c r="O1" s="115" t="s">
        <v>284</v>
      </c>
      <c r="P1" s="115" t="s">
        <v>285</v>
      </c>
      <c r="Q1" s="115" t="s">
        <v>286</v>
      </c>
      <c r="R1" s="114" t="s">
        <v>103</v>
      </c>
      <c r="S1" s="114" t="s">
        <v>104</v>
      </c>
      <c r="T1" s="114" t="s">
        <v>287</v>
      </c>
      <c r="U1" s="114" t="s">
        <v>288</v>
      </c>
      <c r="V1" s="114" t="s">
        <v>289</v>
      </c>
      <c r="W1" s="114" t="s">
        <v>290</v>
      </c>
      <c r="X1" s="114" t="s">
        <v>291</v>
      </c>
      <c r="Y1" s="114" t="s">
        <v>292</v>
      </c>
      <c r="Z1" s="114" t="s">
        <v>293</v>
      </c>
      <c r="AA1" s="114" t="s">
        <v>294</v>
      </c>
      <c r="AB1" s="114" t="s">
        <v>295</v>
      </c>
      <c r="AC1" s="114" t="s">
        <v>296</v>
      </c>
      <c r="AD1" s="114" t="s">
        <v>297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493</v>
      </c>
      <c r="AN1" s="2" t="s">
        <v>487</v>
      </c>
      <c r="AO1" t="s">
        <v>351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306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0</v>
      </c>
      <c r="L2" s="115">
        <f>IF(ISNUMBER(SEARCH('Карта учёта'!$B$20,Расходка[[#This Row],[Наименование расходного материала]])),MAX($L$1:L1)+1,0)</f>
        <v>0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4" t="str">
        <f>IFERROR(INDEX(Расходка[Наименование расходного материала],MATCH(Расходка[[#This Row],[№]],Поиск_расходки[Индекс3],0)),"")</f>
        <v>Launcher 6F JR 3.5</v>
      </c>
      <c r="U2" s="114" t="str">
        <f>IFERROR(INDEX(Расходка[Наименование расходного материала],MATCH(Расходка[[#This Row],[№]],Поиск_расходки[Индекс4],0)),"")</f>
        <v/>
      </c>
      <c r="V2" s="114" t="str">
        <f>IFERROR(INDEX(Расходка[Наименование расходного материала],MATCH(Расходка[[#This Row],[№]],Поиск_расходки[Индекс5],0)),"")</f>
        <v>DES, Resolute Integtity</v>
      </c>
      <c r="W2" s="114" t="str">
        <f>IFERROR(INDEX(Расходка[Наименование расходного материала],MATCH(Расходка[[#This Row],[№]],Поиск_расходки[Индекс6],0)),"")</f>
        <v>NC Apollo</v>
      </c>
      <c r="X2" s="114" t="str">
        <f>IFERROR(INDEX(Расходка[Наименование расходного материала],MATCH(Расходка[[#This Row],[№]],Поиск_расходки[Индекс7],0)),"")</f>
        <v>Artimes</v>
      </c>
      <c r="Y2" s="114" t="str">
        <f>IFERROR(INDEX(Расходка[Наименование расходного материала],MATCH(Расходка[[#This Row],[№]],Поиск_расходки[Индекс8],0)),"")</f>
        <v>Angio-Seal™ VIP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395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305</v>
      </c>
      <c r="AO2" s="208" t="s">
        <v>489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364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0</v>
      </c>
      <c r="L3" s="115">
        <f>IF(ISNUMBER(SEARCH('Карта учёта'!$B$20,Расходка[[#This Row],[Наименование расходного материала]])),MAX($L$1:L2)+1,0)</f>
        <v>0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/>
      </c>
      <c r="Y3" s="114" t="str">
        <f>IFERROR(INDEX(Расходка[Наименование расходного материала],MATCH(Расходка[[#This Row],[№]],Поиск_расходки[Индекс8],0)),"")</f>
        <v/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396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8">
        <v>218190</v>
      </c>
      <c r="AN3" s="2" t="s">
        <v>482</v>
      </c>
      <c r="AO3" t="s">
        <v>490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t="s">
        <v>520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0</v>
      </c>
      <c r="K4" s="115">
        <f>IF(ISNUMBER(SEARCH('Карта учёта'!$B$19,Расходка[[#This Row],[Наименование расходного материала]])),MAX($K$1:K3)+1,0)</f>
        <v>1</v>
      </c>
      <c r="L4" s="115">
        <f>IF(ISNUMBER(SEARCH('Карта учёта'!$B$20,Расходка[[#This Row],[Наименование расходного материала]])),MAX($L$1:L3)+1,0)</f>
        <v>0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/>
      </c>
      <c r="Y4" s="114" t="str">
        <f>IFERROR(INDEX(Расходка[Наименование расходного материала],MATCH(Расходка[[#This Row],[№]],Поиск_расходки[Индекс8],0)),"")</f>
        <v/>
      </c>
      <c r="Z4" s="114" t="str">
        <f>IFERROR(INDEX(Расходка[Наименование расходного материала],MATCH(Расходка[[#This Row],[№]],Поиск_расходки[Индекс9],0)),"")</f>
        <v>Artimes</v>
      </c>
      <c r="AA4" s="114" t="str">
        <f>IFERROR(INDEX(Расходка[Наименование расходного материала],MATCH(Расходка[[#This Row],[№]],Поиск_расходки[Индекс10],0)),"")</f>
        <v>Artimes</v>
      </c>
      <c r="AB4" s="114" t="str">
        <f>IFERROR(INDEX(Расходка[Наименование расходного материала],MATCH(Расходка[[#This Row],[№]],Поиск_расходки[Индекс11],0)),"")</f>
        <v>Artimes</v>
      </c>
      <c r="AC4" s="114" t="str">
        <f>IFERROR(INDEX(Расходка[Наименование расходного материала],MATCH(Расходка[[#This Row],[№]],Поиск_расходки[Индекс12],0)),"")</f>
        <v>Artimes</v>
      </c>
      <c r="AD4" s="114" t="str">
        <f>IFERROR(INDEX(Расходка[Наименование расходного материала],MATCH(Расходка[[#This Row],[№]],Поиск_расходки[Индекс13],0)),"")</f>
        <v>Artimes</v>
      </c>
      <c r="AF4" s="4" t="s">
        <v>5</v>
      </c>
      <c r="AG4" s="4" t="s">
        <v>397</v>
      </c>
      <c r="AI4" t="s">
        <v>190</v>
      </c>
      <c r="AJ4" t="s">
        <v>201</v>
      </c>
      <c r="AK4" t="str">
        <f t="shared" si="0"/>
        <v>Контраст: Оптирей 350</v>
      </c>
      <c r="AM4" s="188">
        <v>337440</v>
      </c>
      <c r="AN4" s="2" t="s">
        <v>495</v>
      </c>
      <c r="AO4" t="s">
        <v>492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s="1" t="s">
        <v>274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0</v>
      </c>
      <c r="L5" s="115">
        <f>IF(ISNUMBER(SEARCH('Карта учёта'!$B$20,Расходка[[#This Row],[Наименование расходного материала]])),MAX($L$1:L4)+1,0)</f>
        <v>0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/>
      </c>
      <c r="Y5" s="114" t="str">
        <f>IFERROR(INDEX(Расходка[Наименование расходного материала],MATCH(Расходка[[#This Row],[№]],Поиск_расходки[Индекс8],0)),"")</f>
        <v/>
      </c>
      <c r="Z5" s="114" t="str">
        <f>IFERROR(INDEX(Расходка[Наименование расходного материала],MATCH(Расходка[[#This Row],[№]],Поиск_расходки[Индекс9],0)),"")</f>
        <v>Euphora</v>
      </c>
      <c r="AA5" s="114" t="str">
        <f>IFERROR(INDEX(Расходка[Наименование расходного материала],MATCH(Расходка[[#This Row],[№]],Поиск_расходки[Индекс10],0)),"")</f>
        <v>Euphora</v>
      </c>
      <c r="AB5" s="114" t="str">
        <f>IFERROR(INDEX(Расходка[Наименование расходного материала],MATCH(Расходка[[#This Row],[№]],Поиск_расходки[Индекс11],0)),"")</f>
        <v>Euphora</v>
      </c>
      <c r="AC5" s="114" t="str">
        <f>IFERROR(INDEX(Расходка[Наименование расходного материала],MATCH(Расходка[[#This Row],[№]],Поиск_расходки[Индекс12],0)),"")</f>
        <v>Euphora</v>
      </c>
      <c r="AD5" s="114" t="str">
        <f>IFERROR(INDEX(Расходка[Наименование расходного материала],MATCH(Расходка[[#This Row],[№]],Поиск_расходки[Индекс13],0)),"")</f>
        <v>Euphora</v>
      </c>
      <c r="AF5" s="4" t="s">
        <v>5</v>
      </c>
      <c r="AG5" s="4" t="s">
        <v>398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491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521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1</v>
      </c>
      <c r="K6" s="115">
        <f>IF(ISNUMBER(SEARCH('Карта учёта'!$B$19,Расходка[[#This Row],[Наименование расходного материала]])),MAX($K$1:K5)+1,0)</f>
        <v>0</v>
      </c>
      <c r="L6" s="115">
        <f>IF(ISNUMBER(SEARCH('Карта учёта'!$B$20,Расходка[[#This Row],[Наименование расходного материала]])),MAX($L$1:L5)+1,0)</f>
        <v>0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/>
      </c>
      <c r="Y6" s="114" t="str">
        <f>IFERROR(INDEX(Расходка[Наименование расходного материала],MATCH(Расходка[[#This Row],[№]],Поиск_расходки[Индекс8],0)),"")</f>
        <v/>
      </c>
      <c r="Z6" s="114" t="str">
        <f>IFERROR(INDEX(Расходка[Наименование расходного материала],MATCH(Расходка[[#This Row],[№]],Поиск_расходки[Индекс9],0)),"")</f>
        <v>NC Apollo</v>
      </c>
      <c r="AA6" s="114" t="str">
        <f>IFERROR(INDEX(Расходка[Наименование расходного материала],MATCH(Расходка[[#This Row],[№]],Поиск_расходки[Индекс10],0)),"")</f>
        <v>NC Apollo</v>
      </c>
      <c r="AB6" s="114" t="str">
        <f>IFERROR(INDEX(Расходка[Наименование расходного материала],MATCH(Расходка[[#This Row],[№]],Поиск_расходки[Индекс11],0)),"")</f>
        <v>NC Apollo</v>
      </c>
      <c r="AC6" s="114" t="str">
        <f>IFERROR(INDEX(Расходка[Наименование расходного материала],MATCH(Расходка[[#This Row],[№]],Поиск_расходки[Индекс12],0)),"")</f>
        <v>NC Apollo</v>
      </c>
      <c r="AD6" s="114" t="str">
        <f>IFERROR(INDEX(Расходка[Наименование расходного материала],MATCH(Расходка[[#This Row],[№]],Поиск_расходки[Индекс13],0)),"")</f>
        <v>NC Apollo</v>
      </c>
      <c r="AF6" s="4" t="s">
        <v>5</v>
      </c>
      <c r="AG6" s="4" t="s">
        <v>399</v>
      </c>
      <c r="AI6" t="s">
        <v>190</v>
      </c>
      <c r="AJ6" t="s">
        <v>203</v>
      </c>
      <c r="AK6" t="str">
        <f t="shared" si="0"/>
        <v>Контраст: Сканлюкс 370</v>
      </c>
      <c r="AM6" s="188">
        <v>135820</v>
      </c>
      <c r="AN6" s="2"/>
      <c r="AO6" t="s">
        <v>494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308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0</v>
      </c>
      <c r="L7" s="115">
        <f>IF(ISNUMBER(SEARCH('Карта учёта'!$B$20,Расходка[[#This Row],[Наименование расходного материала]])),MAX($L$1:L6)+1,0)</f>
        <v>0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/>
      </c>
      <c r="Y7" s="114" t="str">
        <f>IFERROR(INDEX(Расходка[Наименование расходного материала],MATCH(Расходка[[#This Row],[№]],Поиск_расходки[Индекс8],0)),"")</f>
        <v/>
      </c>
      <c r="Z7" s="114" t="str">
        <f>IFERROR(INDEX(Расходка[Наименование расходного материала],MATCH(Расходка[[#This Row],[№]],Поиск_расходки[Индекс9],0)),"")</f>
        <v>NC Accuforce</v>
      </c>
      <c r="AA7" s="114" t="str">
        <f>IFERROR(INDEX(Расходка[Наименование расходного материала],MATCH(Расходка[[#This Row],[№]],Поиск_расходки[Индекс10],0)),"")</f>
        <v>NC Accuforce</v>
      </c>
      <c r="AB7" s="114" t="str">
        <f>IFERROR(INDEX(Расходка[Наименование расходного материала],MATCH(Расходка[[#This Row],[№]],Поиск_расходки[Индекс11],0)),"")</f>
        <v>NC Accuforce</v>
      </c>
      <c r="AC7" s="114" t="str">
        <f>IFERROR(INDEX(Расходка[Наименование расходного материала],MATCH(Расходка[[#This Row],[№]],Поиск_расходки[Индекс12],0)),"")</f>
        <v>NC Accuforce</v>
      </c>
      <c r="AD7" s="114" t="str">
        <f>IFERROR(INDEX(Расходка[Наименование расходного материала],MATCH(Расходка[[#This Row],[№]],Поиск_расходки[Индекс13],0)),"")</f>
        <v>NC Accuforce</v>
      </c>
      <c r="AF7" s="4" t="s">
        <v>5</v>
      </c>
      <c r="AG7" s="4" t="s">
        <v>400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488</v>
      </c>
    </row>
    <row r="8" spans="1:42">
      <c r="A8">
        <f>ROW(Расходка[[#This Row],[Тип расходного материала ]])-1</f>
        <v>7</v>
      </c>
      <c r="B8" t="s">
        <v>5</v>
      </c>
      <c r="C8" s="1" t="s">
        <v>303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0</v>
      </c>
      <c r="L8" s="115">
        <f>IF(ISNUMBER(SEARCH('Карта учёта'!$B$20,Расходка[[#This Row],[Наименование расходного материала]])),MAX($L$1:L7)+1,0)</f>
        <v>0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/>
      </c>
      <c r="Y8" s="114" t="str">
        <f>IFERROR(INDEX(Расходка[Наименование расходного материала],MATCH(Расходка[[#This Row],[№]],Поиск_расходки[Индекс8],0)),"")</f>
        <v/>
      </c>
      <c r="Z8" s="114" t="str">
        <f>IFERROR(INDEX(Расходка[Наименование расходного материала],MATCH(Расходка[[#This Row],[№]],Поиск_расходки[Индекс9],0)),"")</f>
        <v>NC Euphora</v>
      </c>
      <c r="AA8" s="114" t="str">
        <f>IFERROR(INDEX(Расходка[Наименование расходного материала],MATCH(Расходка[[#This Row],[№]],Поиск_расходки[Индекс10],0)),"")</f>
        <v>NC Euphora</v>
      </c>
      <c r="AB8" s="114" t="str">
        <f>IFERROR(INDEX(Расходка[Наименование расходного материала],MATCH(Расходка[[#This Row],[№]],Поиск_расходки[Индекс11],0)),"")</f>
        <v>NC Euphora</v>
      </c>
      <c r="AC8" s="114" t="str">
        <f>IFERROR(INDEX(Расходка[Наименование расходного материала],MATCH(Расходка[[#This Row],[№]],Поиск_расходки[Индекс12],0)),"")</f>
        <v>NC Euphora</v>
      </c>
      <c r="AD8" s="114" t="str">
        <f>IFERROR(INDEX(Расходка[Наименование расходного материала],MATCH(Расходка[[#This Row],[№]],Поиск_расходки[Индекс13],0)),"")</f>
        <v>NC Euphora</v>
      </c>
      <c r="AF8" s="4" t="s">
        <v>5</v>
      </c>
      <c r="AG8" s="4" t="s">
        <v>401</v>
      </c>
      <c r="AI8" t="s">
        <v>190</v>
      </c>
      <c r="AJ8" t="s">
        <v>205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273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0</v>
      </c>
      <c r="L9" s="115">
        <f>IF(ISNUMBER(SEARCH('Карта учёта'!$B$20,Расходка[[#This Row],[Наименование расходного материала]])),MAX($L$1:L8)+1,0)</f>
        <v>0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/>
      </c>
      <c r="Y9" s="114" t="str">
        <f>IFERROR(INDEX(Расходка[Наименование расходного материала],MATCH(Расходка[[#This Row],[№]],Поиск_расходки[Индекс8],0)),"")</f>
        <v/>
      </c>
      <c r="Z9" s="114" t="str">
        <f>IFERROR(INDEX(Расходка[Наименование расходного материала],MATCH(Расходка[[#This Row],[№]],Поиск_расходки[Индекс9],0)),"")</f>
        <v>Sapphire</v>
      </c>
      <c r="AA9" s="114" t="str">
        <f>IFERROR(INDEX(Расходка[Наименование расходного материала],MATCH(Расходка[[#This Row],[№]],Поиск_расходки[Индекс10],0)),"")</f>
        <v>Sapphire</v>
      </c>
      <c r="AB9" s="114" t="str">
        <f>IFERROR(INDEX(Расходка[Наименование расходного материала],MATCH(Расходка[[#This Row],[№]],Поиск_расходки[Индекс11],0)),"")</f>
        <v>Sapphire</v>
      </c>
      <c r="AC9" s="114" t="str">
        <f>IFERROR(INDEX(Расходка[Наименование расходного материала],MATCH(Расходка[[#This Row],[№]],Поиск_расходки[Индекс12],0)),"")</f>
        <v>Sapphire</v>
      </c>
      <c r="AD9" s="114" t="str">
        <f>IFERROR(INDEX(Расходка[Наименование расходного материала],MATCH(Расходка[[#This Row],[№]],Поиск_расходки[Индекс13],0)),"")</f>
        <v>Sapphire</v>
      </c>
      <c r="AF9" s="4" t="s">
        <v>5</v>
      </c>
      <c r="AG9" s="4" t="s">
        <v>402</v>
      </c>
      <c r="AM9" s="188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309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0</v>
      </c>
      <c r="L10" s="115">
        <f>IF(ISNUMBER(SEARCH('Карта учёта'!$B$20,Расходка[[#This Row],[Наименование расходного материала]])),MAX($L$1:L9)+1,0)</f>
        <v>0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/>
      </c>
      <c r="Y10" s="114" t="str">
        <f>IFERROR(INDEX(Расходка[Наименование расходного материала],MATCH(Расходка[[#This Row],[№]],Поиск_расходки[Индекс8],0)),"")</f>
        <v/>
      </c>
      <c r="Z10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10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10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10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10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10" s="4" t="s">
        <v>5</v>
      </c>
      <c r="AG10" s="4" t="s">
        <v>403</v>
      </c>
      <c r="AI10" t="s">
        <v>350</v>
      </c>
      <c r="AM10" s="188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353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0</v>
      </c>
      <c r="L11" s="115">
        <f>IF(ISNUMBER(SEARCH('Карта учёта'!$B$20,Расходка[[#This Row],[Наименование расходного материала]])),MAX($L$1:L10)+1,0)</f>
        <v>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/>
      </c>
      <c r="Y11" s="114" t="str">
        <f>IFERROR(INDEX(Расходка[Наименование расходного материала],MATCH(Расходка[[#This Row],[№]],Поиск_расходки[Индекс8],0)),"")</f>
        <v/>
      </c>
      <c r="Z11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11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11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11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11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11" s="4" t="s">
        <v>5</v>
      </c>
      <c r="AG11" s="4" t="s">
        <v>404</v>
      </c>
      <c r="AI11" t="s">
        <v>4</v>
      </c>
      <c r="AM11" s="188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369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0</v>
      </c>
      <c r="K12" s="115">
        <f>IF(ISNUMBER(SEARCH('Карта учёта'!$B$19,Расходка[[#This Row],[Наименование расходного материала]])),MAX($K$1:K11)+1,0)</f>
        <v>0</v>
      </c>
      <c r="L12" s="115">
        <f>IF(ISNUMBER(SEARCH('Карта учёта'!$B$20,Расходка[[#This Row],[Наименование расходного материала]])),MAX($L$1:L11)+1,0)</f>
        <v>0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/>
      </c>
      <c r="Y12" s="114" t="str">
        <f>IFERROR(INDEX(Расходка[Наименование расходного материала],MATCH(Расходка[[#This Row],[№]],Поиск_расходки[Индекс8],0)),"")</f>
        <v/>
      </c>
      <c r="Z12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2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2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2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2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2" s="4" t="s">
        <v>5</v>
      </c>
      <c r="AG12" s="4" t="s">
        <v>405</v>
      </c>
      <c r="AI12" t="s">
        <v>3</v>
      </c>
      <c r="AM12" s="188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391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0</v>
      </c>
      <c r="L13" s="115">
        <f>IF(ISNUMBER(SEARCH('Карта учёта'!$B$20,Расходка[[#This Row],[Наименование расходного материала]])),MAX($L$1:L12)+1,0)</f>
        <v>0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/>
      </c>
      <c r="Y13" s="114" t="str">
        <f>IFERROR(INDEX(Расходка[Наименование расходного материала],MATCH(Расходка[[#This Row],[№]],Поиск_расходки[Индекс8],0)),"")</f>
        <v/>
      </c>
      <c r="Z13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3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3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3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3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3" s="4" t="s">
        <v>5</v>
      </c>
      <c r="AG13" s="4" t="s">
        <v>406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5</v>
      </c>
      <c r="C14" t="s">
        <v>507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0</v>
      </c>
      <c r="L14" s="115">
        <f>IF(ISNUMBER(SEARCH('Карта учёта'!$B$20,Расходка[[#This Row],[Наименование расходного материала]])),MAX($L$1:L13)+1,0)</f>
        <v>0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/>
      </c>
      <c r="Y14" s="114" t="str">
        <f>IFERROR(INDEX(Расходка[Наименование расходного материала],MATCH(Расходка[[#This Row],[№]],Поиск_расходки[Индекс8],0)),"")</f>
        <v/>
      </c>
      <c r="Z14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4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4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4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4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4" s="4" t="s">
        <v>5</v>
      </c>
      <c r="AG14" s="4" t="s">
        <v>485</v>
      </c>
      <c r="AI14" t="s">
        <v>5</v>
      </c>
      <c r="AM14" s="188"/>
      <c r="AN14" s="2"/>
    </row>
    <row r="15" spans="1:42">
      <c r="A15">
        <f>ROW(Расходка[[#This Row],[Тип расходного материала ]])-1</f>
        <v>14</v>
      </c>
      <c r="B15" t="s">
        <v>304</v>
      </c>
      <c r="C15" s="1" t="s">
        <v>329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0</v>
      </c>
      <c r="L15" s="115">
        <f>IF(ISNUMBER(SEARCH('Карта учёта'!$B$20,Расходка[[#This Row],[Наименование расходного материала]])),MAX($L$1:L14)+1,0)</f>
        <v>0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/>
      </c>
      <c r="Y15" s="114" t="str">
        <f>IFERROR(INDEX(Расходка[Наименование расходного материала],MATCH(Расходка[[#This Row],[№]],Поиск_расходки[Индекс8],0)),"")</f>
        <v/>
      </c>
      <c r="Z15" s="114" t="str">
        <f>IFERROR(INDEX(Расходка[Наименование расходного материала],MATCH(Расходка[[#This Row],[№]],Поиск_расходки[Индекс9],0)),"")</f>
        <v>Nitrex 260</v>
      </c>
      <c r="AA15" s="114" t="str">
        <f>IFERROR(INDEX(Расходка[Наименование расходного материала],MATCH(Расходка[[#This Row],[№]],Поиск_расходки[Индекс10],0)),"")</f>
        <v>Nitrex 260</v>
      </c>
      <c r="AB15" s="114" t="str">
        <f>IFERROR(INDEX(Расходка[Наименование расходного материала],MATCH(Расходка[[#This Row],[№]],Поиск_расходки[Индекс11],0)),"")</f>
        <v>Nitrex 260</v>
      </c>
      <c r="AC15" s="114" t="str">
        <f>IFERROR(INDEX(Расходка[Наименование расходного материала],MATCH(Расходка[[#This Row],[№]],Поиск_расходки[Индекс12],0)),"")</f>
        <v>Nitrex 260</v>
      </c>
      <c r="AD15" s="114" t="str">
        <f>IFERROR(INDEX(Расходка[Наименование расходного материала],MATCH(Расходка[[#This Row],[№]],Поиск_расходки[Индекс13],0)),"")</f>
        <v>Nitrex 260</v>
      </c>
      <c r="AF15" s="4" t="s">
        <v>5</v>
      </c>
      <c r="AG15" s="4" t="s">
        <v>407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304</v>
      </c>
      <c r="C16" t="s">
        <v>360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0</v>
      </c>
      <c r="L16" s="115">
        <f>IF(ISNUMBER(SEARCH('Карта учёта'!$B$20,Расходка[[#This Row],[Наименование расходного материала]])),MAX($L$1:L15)+1,0)</f>
        <v>0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/>
      </c>
      <c r="Y16" s="114" t="str">
        <f>IFERROR(INDEX(Расходка[Наименование расходного материала],MATCH(Расходка[[#This Row],[№]],Поиск_расходки[Индекс8],0)),"")</f>
        <v/>
      </c>
      <c r="Z16" s="114" t="str">
        <f>IFERROR(INDEX(Расходка[Наименование расходного материала],MATCH(Расходка[[#This Row],[№]],Поиск_расходки[Индекс9],0)),"")</f>
        <v>RadiFocus</v>
      </c>
      <c r="AA16" s="114" t="str">
        <f>IFERROR(INDEX(Расходка[Наименование расходного материала],MATCH(Расходка[[#This Row],[№]],Поиск_расходки[Индекс10],0)),"")</f>
        <v>RadiFocus</v>
      </c>
      <c r="AB16" s="114" t="str">
        <f>IFERROR(INDEX(Расходка[Наименование расходного материала],MATCH(Расходка[[#This Row],[№]],Поиск_расходки[Индекс11],0)),"")</f>
        <v>RadiFocus</v>
      </c>
      <c r="AC16" s="114" t="str">
        <f>IFERROR(INDEX(Расходка[Наименование расходного материала],MATCH(Расходка[[#This Row],[№]],Поиск_расходки[Индекс12],0)),"")</f>
        <v>RadiFocus</v>
      </c>
      <c r="AD16" s="114" t="str">
        <f>IFERROR(INDEX(Расходка[Наименование расходного материала],MATCH(Расходка[[#This Row],[№]],Поиск_расходки[Индекс13],0)),"")</f>
        <v>RadiFocus</v>
      </c>
      <c r="AF16" s="4" t="s">
        <v>5</v>
      </c>
      <c r="AG16" s="4" t="s">
        <v>408</v>
      </c>
      <c r="AI16" t="s">
        <v>302</v>
      </c>
    </row>
    <row r="17" spans="1:35">
      <c r="A17">
        <f>ROW(Расходка[[#This Row],[Тип расходного материала ]])-1</f>
        <v>16</v>
      </c>
      <c r="B17" t="s">
        <v>302</v>
      </c>
      <c r="C17" t="s">
        <v>328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0</v>
      </c>
      <c r="L17" s="115">
        <f>IF(ISNUMBER(SEARCH('Карта учёта'!$B$20,Расходка[[#This Row],[Наименование расходного материала]])),MAX($L$1:L16)+1,0)</f>
        <v>0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/>
      </c>
      <c r="Y17" s="114" t="str">
        <f>IFERROR(INDEX(Расходка[Наименование расходного материала],MATCH(Расходка[[#This Row],[№]],Поиск_расходки[Индекс8],0)),"")</f>
        <v/>
      </c>
      <c r="Z17" s="114" t="str">
        <f>IFERROR(INDEX(Расходка[Наименование расходного материала],MATCH(Расходка[[#This Row],[№]],Поиск_расходки[Индекс9],0)),"")</f>
        <v>BasixCOMPAK</v>
      </c>
      <c r="AA17" s="114" t="str">
        <f>IFERROR(INDEX(Расходка[Наименование расходного материала],MATCH(Расходка[[#This Row],[№]],Поиск_расходки[Индекс10],0)),"")</f>
        <v>BasixCOMPAK</v>
      </c>
      <c r="AB17" s="114" t="str">
        <f>IFERROR(INDEX(Расходка[Наименование расходного материала],MATCH(Расходка[[#This Row],[№]],Поиск_расходки[Индекс11],0)),"")</f>
        <v>BasixCOMPAK</v>
      </c>
      <c r="AC17" s="114" t="str">
        <f>IFERROR(INDEX(Расходка[Наименование расходного материала],MATCH(Расходка[[#This Row],[№]],Поиск_расходки[Индекс12],0)),"")</f>
        <v>BasixCOMPAK</v>
      </c>
      <c r="AD17" s="114" t="str">
        <f>IFERROR(INDEX(Расходка[Наименование расходного материала],MATCH(Расходка[[#This Row],[№]],Поиск_расходки[Индекс13],0)),"")</f>
        <v>BasixCOMPAK</v>
      </c>
      <c r="AF17" s="4" t="s">
        <v>5</v>
      </c>
      <c r="AG17" s="4" t="s">
        <v>409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302</v>
      </c>
      <c r="C18" t="s">
        <v>357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0</v>
      </c>
      <c r="L18" s="115">
        <f>IF(ISNUMBER(SEARCH('Карта учёта'!$B$20,Расходка[[#This Row],[Наименование расходного материала]])),MAX($L$1:L17)+1,0)</f>
        <v>0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/>
      </c>
      <c r="Y18" s="114" t="str">
        <f>IFERROR(INDEX(Расходка[Наименование расходного материала],MATCH(Расходка[[#This Row],[№]],Поиск_расходки[Индекс8],0)),"")</f>
        <v/>
      </c>
      <c r="Z18" s="114" t="str">
        <f>IFERROR(INDEX(Расходка[Наименование расходного материала],MATCH(Расходка[[#This Row],[№]],Поиск_расходки[Индекс9],0)),"")</f>
        <v>BasixTOUCH</v>
      </c>
      <c r="AA18" s="114" t="str">
        <f>IFERROR(INDEX(Расходка[Наименование расходного материала],MATCH(Расходка[[#This Row],[№]],Поиск_расходки[Индекс10],0)),"")</f>
        <v>BasixTOUCH</v>
      </c>
      <c r="AB18" s="114" t="str">
        <f>IFERROR(INDEX(Расходка[Наименование расходного материала],MATCH(Расходка[[#This Row],[№]],Поиск_расходки[Индекс11],0)),"")</f>
        <v>BasixTOUCH</v>
      </c>
      <c r="AC18" s="114" t="str">
        <f>IFERROR(INDEX(Расходка[Наименование расходного материала],MATCH(Расходка[[#This Row],[№]],Поиск_расходки[Индекс12],0)),"")</f>
        <v>BasixTOUCH</v>
      </c>
      <c r="AD18" s="114" t="str">
        <f>IFERROR(INDEX(Расходка[Наименование расходного материала],MATCH(Расходка[[#This Row],[№]],Поиск_расходки[Индекс13],0)),"")</f>
        <v>BasixTOUCH</v>
      </c>
      <c r="AF18" s="4" t="s">
        <v>5</v>
      </c>
      <c r="AG18" s="4" t="s">
        <v>410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302</v>
      </c>
      <c r="C19" t="s">
        <v>349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0</v>
      </c>
      <c r="L19" s="115">
        <f>IF(ISNUMBER(SEARCH('Карта учёта'!$B$20,Расходка[[#This Row],[Наименование расходного материала]])),MAX($L$1:L18)+1,0)</f>
        <v>0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/>
      </c>
      <c r="Y19" s="114" t="str">
        <f>IFERROR(INDEX(Расходка[Наименование расходного материала],MATCH(Расходка[[#This Row],[№]],Поиск_расходки[Индекс8],0)),"")</f>
        <v/>
      </c>
      <c r="Z19" s="114" t="str">
        <f>IFERROR(INDEX(Расходка[Наименование расходного материала],MATCH(Расходка[[#This Row],[№]],Поиск_расходки[Индекс9],0)),"")</f>
        <v>Dolphin</v>
      </c>
      <c r="AA19" s="114" t="str">
        <f>IFERROR(INDEX(Расходка[Наименование расходного материала],MATCH(Расходка[[#This Row],[№]],Поиск_расходки[Индекс10],0)),"")</f>
        <v>Dolphin</v>
      </c>
      <c r="AB19" s="114" t="str">
        <f>IFERROR(INDEX(Расходка[Наименование расходного материала],MATCH(Расходка[[#This Row],[№]],Поиск_расходки[Индекс11],0)),"")</f>
        <v>Dolphin</v>
      </c>
      <c r="AC19" s="114" t="str">
        <f>IFERROR(INDEX(Расходка[Наименование расходного материала],MATCH(Расходка[[#This Row],[№]],Поиск_расходки[Индекс12],0)),"")</f>
        <v>Dolphin</v>
      </c>
      <c r="AD19" s="114" t="str">
        <f>IFERROR(INDEX(Расходка[Наименование расходного материала],MATCH(Расходка[[#This Row],[№]],Поиск_расходки[Индекс13],0)),"")</f>
        <v>Dolphin</v>
      </c>
      <c r="AF19" s="4" t="s">
        <v>5</v>
      </c>
      <c r="AG19" s="4" t="s">
        <v>411</v>
      </c>
      <c r="AI19" t="s">
        <v>298</v>
      </c>
    </row>
    <row r="20" spans="1:35">
      <c r="A20">
        <f>ROW(Расходка[[#This Row],[Тип расходного материала ]])-1</f>
        <v>19</v>
      </c>
      <c r="B20" t="s">
        <v>302</v>
      </c>
      <c r="C20" t="s">
        <v>370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0</v>
      </c>
      <c r="L20" s="115">
        <f>IF(ISNUMBER(SEARCH('Карта учёта'!$B$20,Расходка[[#This Row],[Наименование расходного материала]])),MAX($L$1:L19)+1,0)</f>
        <v>0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/>
      </c>
      <c r="Y20" s="114" t="str">
        <f>IFERROR(INDEX(Расходка[Наименование расходного материала],MATCH(Расходка[[#This Row],[№]],Поиск_расходки[Индекс8],0)),"")</f>
        <v/>
      </c>
      <c r="Z20" s="114" t="str">
        <f>IFERROR(INDEX(Расходка[Наименование расходного материала],MATCH(Расходка[[#This Row],[№]],Поиск_расходки[Индекс9],0)),"")</f>
        <v>Lepu Medical</v>
      </c>
      <c r="AA20" s="114" t="str">
        <f>IFERROR(INDEX(Расходка[Наименование расходного материала],MATCH(Расходка[[#This Row],[№]],Поиск_расходки[Индекс10],0)),"")</f>
        <v>Lepu Medical</v>
      </c>
      <c r="AB20" s="114" t="str">
        <f>IFERROR(INDEX(Расходка[Наименование расходного материала],MATCH(Расходка[[#This Row],[№]],Поиск_расходки[Индекс11],0)),"")</f>
        <v>Lepu Medical</v>
      </c>
      <c r="AC20" s="114" t="str">
        <f>IFERROR(INDEX(Расходка[Наименование расходного материала],MATCH(Расходка[[#This Row],[№]],Поиск_расходки[Индекс12],0)),"")</f>
        <v>Lepu Medical</v>
      </c>
      <c r="AD20" s="114" t="str">
        <f>IFERROR(INDEX(Расходка[Наименование расходного материала],MATCH(Расходка[[#This Row],[№]],Поиск_расходки[Индекс13],0)),"")</f>
        <v>Lepu Medical</v>
      </c>
      <c r="AF20" s="4" t="s">
        <v>5</v>
      </c>
      <c r="AG20" s="4" t="s">
        <v>412</v>
      </c>
      <c r="AI20" t="s">
        <v>304</v>
      </c>
    </row>
    <row r="21" spans="1:35">
      <c r="A21">
        <f>ROW(Расходка[[#This Row],[Тип расходного материала ]])-1</f>
        <v>20</v>
      </c>
      <c r="B21" t="s">
        <v>302</v>
      </c>
      <c r="C21" t="s">
        <v>362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0</v>
      </c>
      <c r="L21" s="115">
        <f>IF(ISNUMBER(SEARCH('Карта учёта'!$B$20,Расходка[[#This Row],[Наименование расходного материала]])),MAX($L$1:L20)+1,0)</f>
        <v>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/>
      </c>
      <c r="Y21" s="114" t="str">
        <f>IFERROR(INDEX(Расходка[Наименование расходного материала],MATCH(Расходка[[#This Row],[№]],Поиск_расходки[Индекс8],0)),"")</f>
        <v/>
      </c>
      <c r="Z21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21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21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21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1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1" s="4" t="s">
        <v>5</v>
      </c>
      <c r="AG21" s="4" t="s">
        <v>413</v>
      </c>
    </row>
    <row r="22" spans="1:35">
      <c r="A22">
        <f>ROW(Расходка[[#This Row],[Тип расходного материала ]])-1</f>
        <v>21</v>
      </c>
      <c r="B22" t="s">
        <v>302</v>
      </c>
      <c r="C22" t="s">
        <v>498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0</v>
      </c>
      <c r="L22" s="115">
        <f>IF(ISNUMBER(SEARCH('Карта учёта'!$B$20,Расходка[[#This Row],[Наименование расходного материала]])),MAX($L$1:L21)+1,0)</f>
        <v>0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/>
      </c>
      <c r="Y22" s="114" t="str">
        <f>IFERROR(INDEX(Расходка[Наименование расходного материала],MATCH(Расходка[[#This Row],[№]],Поиск_расходки[Индекс8],0)),"")</f>
        <v/>
      </c>
      <c r="Z22" s="114" t="str">
        <f>IFERROR(INDEX(Расходка[Наименование расходного материала],MATCH(Расходка[[#This Row],[№]],Поиск_расходки[Индекс9],0)),"")</f>
        <v>Demax</v>
      </c>
      <c r="AA22" s="114" t="str">
        <f>IFERROR(INDEX(Расходка[Наименование расходного материала],MATCH(Расходка[[#This Row],[№]],Поиск_расходки[Индекс10],0)),"")</f>
        <v>Demax</v>
      </c>
      <c r="AB22" s="114" t="str">
        <f>IFERROR(INDEX(Расходка[Наименование расходного материала],MATCH(Расходка[[#This Row],[№]],Поиск_расходки[Индекс11],0)),"")</f>
        <v>Demax</v>
      </c>
      <c r="AC22" s="114" t="str">
        <f>IFERROR(INDEX(Расходка[Наименование расходного материала],MATCH(Расходка[[#This Row],[№]],Поиск_расходки[Индекс12],0)),"")</f>
        <v>Demax</v>
      </c>
      <c r="AD22" s="114" t="str">
        <f>IFERROR(INDEX(Расходка[Наименование расходного материала],MATCH(Расходка[[#This Row],[№]],Поиск_расходки[Индекс13],0)),"")</f>
        <v>Demax</v>
      </c>
      <c r="AF22" s="4" t="s">
        <v>5</v>
      </c>
      <c r="AG22" s="4" t="s">
        <v>414</v>
      </c>
    </row>
    <row r="23" spans="1:35">
      <c r="A23">
        <f>ROW(Расходка[[#This Row],[Тип расходного материала ]])-1</f>
        <v>22</v>
      </c>
      <c r="B23" t="s">
        <v>206</v>
      </c>
      <c r="C23" s="1" t="s">
        <v>334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0</v>
      </c>
      <c r="L23" s="115">
        <f>IF(ISNUMBER(SEARCH('Карта учёта'!$B$20,Расходка[[#This Row],[Наименование расходного материала]])),MAX($L$1:L22)+1,0)</f>
        <v>0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/>
      </c>
      <c r="Y23" s="114" t="str">
        <f>IFERROR(INDEX(Расходка[Наименование расходного материала],MATCH(Расходка[[#This Row],[№]],Поиск_расходки[Индекс8],0)),"")</f>
        <v/>
      </c>
      <c r="Z23" s="114" t="str">
        <f>IFERROR(INDEX(Расходка[Наименование расходного материала],MATCH(Расходка[[#This Row],[№]],Поиск_расходки[Индекс9],0)),"")</f>
        <v>Oscor 7F</v>
      </c>
      <c r="AA23" s="114" t="str">
        <f>IFERROR(INDEX(Расходка[Наименование расходного материала],MATCH(Расходка[[#This Row],[№]],Поиск_расходки[Индекс10],0)),"")</f>
        <v>Oscor 7F</v>
      </c>
      <c r="AB23" s="114" t="str">
        <f>IFERROR(INDEX(Расходка[Наименование расходного материала],MATCH(Расходка[[#This Row],[№]],Поиск_расходки[Индекс11],0)),"")</f>
        <v>Oscor 7F</v>
      </c>
      <c r="AC23" s="114" t="str">
        <f>IFERROR(INDEX(Расходка[Наименование расходного материала],MATCH(Расходка[[#This Row],[№]],Поиск_расходки[Индекс12],0)),"")</f>
        <v>Oscor 7F</v>
      </c>
      <c r="AD23" s="114" t="str">
        <f>IFERROR(INDEX(Расходка[Наименование расходного материала],MATCH(Расходка[[#This Row],[№]],Поиск_расходки[Индекс13],0)),"")</f>
        <v>Oscor 7F</v>
      </c>
      <c r="AF23" s="4" t="s">
        <v>5</v>
      </c>
      <c r="AG23" s="4" t="s">
        <v>415</v>
      </c>
    </row>
    <row r="24" spans="1:35">
      <c r="A24">
        <f>ROW(Расходка[[#This Row],[Тип расходного материала ]])-1</f>
        <v>23</v>
      </c>
      <c r="B24" t="s">
        <v>302</v>
      </c>
      <c r="C24" s="1" t="s">
        <v>500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0</v>
      </c>
      <c r="L24" s="115">
        <f>IF(ISNUMBER(SEARCH('Карта учёта'!$B$20,Расходка[[#This Row],[Наименование расходного материала]])),MAX($L$1:L23)+1,0)</f>
        <v>0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/>
      </c>
      <c r="Y24" s="114" t="str">
        <f>IFERROR(INDEX(Расходка[Наименование расходного материала],MATCH(Расходка[[#This Row],[№]],Поиск_расходки[Индекс8],0)),"")</f>
        <v/>
      </c>
      <c r="Z24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4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4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4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4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4" s="4" t="s">
        <v>5</v>
      </c>
      <c r="AG24" s="4" t="s">
        <v>416</v>
      </c>
    </row>
    <row r="25" spans="1:35">
      <c r="A25">
        <f>ROW(Расходка[[#This Row],[Тип расходного материала ]])-1</f>
        <v>24</v>
      </c>
      <c r="B25" t="s">
        <v>302</v>
      </c>
      <c r="C25" s="1" t="s">
        <v>502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0</v>
      </c>
      <c r="L25" s="115">
        <f>IF(ISNUMBER(SEARCH('Карта учёта'!$B$20,Расходка[[#This Row],[Наименование расходного материала]])),MAX($L$1:L24)+1,0)</f>
        <v>0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/>
      </c>
      <c r="Y25" s="114" t="str">
        <f>IFERROR(INDEX(Расходка[Наименование расходного материала],MATCH(Расходка[[#This Row],[№]],Поиск_расходки[Индекс8],0)),"")</f>
        <v/>
      </c>
      <c r="Z25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5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5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5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5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5" s="4" t="s">
        <v>5</v>
      </c>
      <c r="AG25" s="4" t="s">
        <v>417</v>
      </c>
    </row>
    <row r="26" spans="1:35">
      <c r="A26">
        <f>ROW(Расходка[[#This Row],[Тип расходного материала ]])-1</f>
        <v>25</v>
      </c>
      <c r="B26" t="s">
        <v>302</v>
      </c>
      <c r="C26" s="1" t="s">
        <v>302</v>
      </c>
      <c r="E26" s="115">
        <f>IF(ISNUMBER(SEARCH('Карта учёта'!$B$13,Расходка[[#This Row],[Наименование расходного материала]])),MAX($E$1:E25)+1,0)</f>
        <v>1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0</v>
      </c>
      <c r="L26" s="115">
        <f>IF(ISNUMBER(SEARCH('Карта учёта'!$B$20,Расходка[[#This Row],[Наименование расходного материала]])),MAX($L$1:L25)+1,0)</f>
        <v>0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/>
      </c>
      <c r="Y26" s="114" t="str">
        <f>IFERROR(INDEX(Расходка[Наименование расходного материала],MATCH(Расходка[[#This Row],[№]],Поиск_расходки[Индекс8],0)),"")</f>
        <v/>
      </c>
      <c r="Z26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6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6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6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6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6" s="4" t="s">
        <v>5</v>
      </c>
      <c r="AG26" s="4" t="s">
        <v>418</v>
      </c>
    </row>
    <row r="27" spans="1:35">
      <c r="A27">
        <f>ROW(Расходка[[#This Row],[Тип расходного материала ]])-1</f>
        <v>26</v>
      </c>
      <c r="B27" t="s">
        <v>3</v>
      </c>
      <c r="C27" s="1" t="s">
        <v>523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0</v>
      </c>
      <c r="L27" s="115">
        <f>IF(ISNUMBER(SEARCH('Карта учёта'!$B$20,Расходка[[#This Row],[Наименование расходного материала]])),MAX($L$1:L26)+1,0)</f>
        <v>0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/>
      </c>
      <c r="Y27" s="114" t="str">
        <f>IFERROR(INDEX(Расходка[Наименование расходного материала],MATCH(Расходка[[#This Row],[№]],Поиск_расходки[Индекс8],0)),"")</f>
        <v/>
      </c>
      <c r="Z27" s="114" t="str">
        <f>IFERROR(INDEX(Расходка[Наименование расходного материала],MATCH(Расходка[[#This Row],[№]],Поиск_расходки[Индекс9],0)),"")</f>
        <v>BMW</v>
      </c>
      <c r="AA27" s="114" t="str">
        <f>IFERROR(INDEX(Расходка[Наименование расходного материала],MATCH(Расходка[[#This Row],[№]],Поиск_расходки[Индекс10],0)),"")</f>
        <v>BMW</v>
      </c>
      <c r="AB27" s="114" t="str">
        <f>IFERROR(INDEX(Расходка[Наименование расходного материала],MATCH(Расходка[[#This Row],[№]],Поиск_расходки[Индекс11],0)),"")</f>
        <v>BMW</v>
      </c>
      <c r="AC27" s="114" t="str">
        <f>IFERROR(INDEX(Расходка[Наименование расходного материала],MATCH(Расходка[[#This Row],[№]],Поиск_расходки[Индекс12],0)),"")</f>
        <v>BMW</v>
      </c>
      <c r="AD27" s="114" t="str">
        <f>IFERROR(INDEX(Расходка[Наименование расходного материала],MATCH(Расходка[[#This Row],[№]],Поиск_расходки[Индекс13],0)),"")</f>
        <v>BMW</v>
      </c>
      <c r="AF27" s="4" t="s">
        <v>5</v>
      </c>
      <c r="AG27" s="4" t="s">
        <v>419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317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0</v>
      </c>
      <c r="L28" s="115">
        <f>IF(ISNUMBER(SEARCH('Карта учёта'!$B$20,Расходка[[#This Row],[Наименование расходного материала]])),MAX($L$1:L27)+1,0)</f>
        <v>0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/>
      </c>
      <c r="Y28" s="114" t="str">
        <f>IFERROR(INDEX(Расходка[Наименование расходного материала],MATCH(Расходка[[#This Row],[№]],Поиск_расходки[Индекс8],0)),"")</f>
        <v/>
      </c>
      <c r="Z28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8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8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8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8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8" s="4" t="s">
        <v>5</v>
      </c>
      <c r="AG28" s="4" t="s">
        <v>420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338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0</v>
      </c>
      <c r="L29" s="115">
        <f>IF(ISNUMBER(SEARCH('Карта учёта'!$B$20,Расходка[[#This Row],[Наименование расходного материала]])),MAX($L$1:L28)+1,0)</f>
        <v>0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/>
      </c>
      <c r="Y29" s="114" t="str">
        <f>IFERROR(INDEX(Расходка[Наименование расходного материала],MATCH(Расходка[[#This Row],[№]],Поиск_расходки[Индекс8],0)),"")</f>
        <v/>
      </c>
      <c r="Z29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9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9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9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9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9" s="4" t="s">
        <v>5</v>
      </c>
      <c r="AG29" s="4" t="s">
        <v>421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310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0</v>
      </c>
      <c r="L30" s="115">
        <f>IF(ISNUMBER(SEARCH('Карта учёта'!$B$20,Расходка[[#This Row],[Наименование расходного материала]])),MAX($L$1:L29)+1,0)</f>
        <v>0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/>
      </c>
      <c r="Y30" s="114" t="str">
        <f>IFERROR(INDEX(Расходка[Наименование расходного материала],MATCH(Расходка[[#This Row],[№]],Поиск_расходки[Индекс8],0)),"")</f>
        <v/>
      </c>
      <c r="Z30" s="114" t="str">
        <f>IFERROR(INDEX(Расходка[Наименование расходного материала],MATCH(Расходка[[#This Row],[№]],Поиск_расходки[Индекс9],0)),"")</f>
        <v>Fielder</v>
      </c>
      <c r="AA30" s="114" t="str">
        <f>IFERROR(INDEX(Расходка[Наименование расходного материала],MATCH(Расходка[[#This Row],[№]],Поиск_расходки[Индекс10],0)),"")</f>
        <v>Fielder</v>
      </c>
      <c r="AB30" s="114" t="str">
        <f>IFERROR(INDEX(Расходка[Наименование расходного материала],MATCH(Расходка[[#This Row],[№]],Поиск_расходки[Индекс11],0)),"")</f>
        <v>Fielder</v>
      </c>
      <c r="AC30" s="114" t="str">
        <f>IFERROR(INDEX(Расходка[Наименование расходного материала],MATCH(Расходка[[#This Row],[№]],Поиск_расходки[Индекс12],0)),"")</f>
        <v>Fielder</v>
      </c>
      <c r="AD30" s="114" t="str">
        <f>IFERROR(INDEX(Расходка[Наименование расходного материала],MATCH(Расходка[[#This Row],[№]],Поиск_расходки[Индекс13],0)),"")</f>
        <v>Fielder</v>
      </c>
      <c r="AF30" s="4" t="s">
        <v>5</v>
      </c>
      <c r="AG30" s="4" t="s">
        <v>483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367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0</v>
      </c>
      <c r="L31" s="115">
        <f>IF(ISNUMBER(SEARCH('Карта учёта'!$B$20,Расходка[[#This Row],[Наименование расходного материала]])),MAX($L$1:L30)+1,0)</f>
        <v>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/>
      </c>
      <c r="Y31" s="114" t="str">
        <f>IFERROR(INDEX(Расходка[Наименование расходного материала],MATCH(Расходка[[#This Row],[№]],Поиск_расходки[Индекс8],0)),"")</f>
        <v/>
      </c>
      <c r="Z31" s="114" t="str">
        <f>IFERROR(INDEX(Расходка[Наименование расходного материала],MATCH(Расходка[[#This Row],[№]],Поиск_расходки[Индекс9],0)),"")</f>
        <v>Fielder XT-A</v>
      </c>
      <c r="AA31" s="114" t="str">
        <f>IFERROR(INDEX(Расходка[Наименование расходного материала],MATCH(Расходка[[#This Row],[№]],Поиск_расходки[Индекс10],0)),"")</f>
        <v>Fielder XT-A</v>
      </c>
      <c r="AB31" s="114" t="str">
        <f>IFERROR(INDEX(Расходка[Наименование расходного материала],MATCH(Расходка[[#This Row],[№]],Поиск_расходки[Индекс11],0)),"")</f>
        <v>Fielder XT-A</v>
      </c>
      <c r="AC31" s="114" t="str">
        <f>IFERROR(INDEX(Расходка[Наименование расходного материала],MATCH(Расходка[[#This Row],[№]],Поиск_расходки[Индекс12],0)),"")</f>
        <v>Fielder XT-A</v>
      </c>
      <c r="AD31" s="114" t="str">
        <f>IFERROR(INDEX(Расходка[Наименование расходного материала],MATCH(Расходка[[#This Row],[№]],Поиск_расходки[Индекс13],0)),"")</f>
        <v>Fielder XT-A</v>
      </c>
      <c r="AF31" s="4" t="s">
        <v>5</v>
      </c>
      <c r="AG31" s="4" t="s">
        <v>422</v>
      </c>
    </row>
    <row r="32" spans="1:35">
      <c r="A32">
        <f>ROW(Расходка[[#This Row],[Тип расходного материала ]])-1</f>
        <v>31</v>
      </c>
      <c r="B32" t="s">
        <v>3</v>
      </c>
      <c r="C32" t="s">
        <v>368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0</v>
      </c>
      <c r="L32" s="115">
        <f>IF(ISNUMBER(SEARCH('Карта учёта'!$B$20,Расходка[[#This Row],[Наименование расходного материала]])),MAX($L$1:L31)+1,0)</f>
        <v>0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/>
      </c>
      <c r="Y32" s="114" t="str">
        <f>IFERROR(INDEX(Расходка[Наименование расходного материала],MATCH(Расходка[[#This Row],[№]],Поиск_расходки[Индекс8],0)),"")</f>
        <v/>
      </c>
      <c r="Z32" s="114" t="str">
        <f>IFERROR(INDEX(Расходка[Наименование расходного материала],MATCH(Расходка[[#This Row],[№]],Поиск_расходки[Индекс9],0)),"")</f>
        <v>Fielder XT-R</v>
      </c>
      <c r="AA32" s="114" t="str">
        <f>IFERROR(INDEX(Расходка[Наименование расходного материала],MATCH(Расходка[[#This Row],[№]],Поиск_расходки[Индекс10],0)),"")</f>
        <v>Fielder XT-R</v>
      </c>
      <c r="AB32" s="114" t="str">
        <f>IFERROR(INDEX(Расходка[Наименование расходного материала],MATCH(Расходка[[#This Row],[№]],Поиск_расходки[Индекс11],0)),"")</f>
        <v>Fielder XT-R</v>
      </c>
      <c r="AC32" s="114" t="str">
        <f>IFERROR(INDEX(Расходка[Наименование расходного материала],MATCH(Расходка[[#This Row],[№]],Поиск_расходки[Индекс12],0)),"")</f>
        <v>Fielder XT-R</v>
      </c>
      <c r="AD32" s="114" t="str">
        <f>IFERROR(INDEX(Расходка[Наименование расходного материала],MATCH(Расходка[[#This Row],[№]],Поиск_расходки[Индекс13],0)),"")</f>
        <v>Fielder XT-R</v>
      </c>
      <c r="AF32" s="4" t="s">
        <v>5</v>
      </c>
      <c r="AG32" s="4" t="s">
        <v>423</v>
      </c>
    </row>
    <row r="33" spans="1:33">
      <c r="A33">
        <f>ROW(Расходка[[#This Row],[Тип расходного материала ]])-1</f>
        <v>32</v>
      </c>
      <c r="B33" t="s">
        <v>3</v>
      </c>
      <c r="C33" t="s">
        <v>504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0</v>
      </c>
      <c r="L33" s="115">
        <f>IF(ISNUMBER(SEARCH('Карта учёта'!$B$20,Расходка[[#This Row],[Наименование расходного материала]])),MAX($L$1:L32)+1,0)</f>
        <v>0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/>
      </c>
      <c r="Y33" s="114" t="str">
        <f>IFERROR(INDEX(Расходка[Наименование расходного материала],MATCH(Расходка[[#This Row],[№]],Поиск_расходки[Индекс8],0)),"")</f>
        <v/>
      </c>
      <c r="Z33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3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3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3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3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3" s="4" t="s">
        <v>5</v>
      </c>
      <c r="AG33" s="4" t="s">
        <v>424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505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0</v>
      </c>
      <c r="L34" s="115">
        <f>IF(ISNUMBER(SEARCH('Карта учёта'!$B$20,Расходка[[#This Row],[Наименование расходного материала]])),MAX($L$1:L33)+1,0)</f>
        <v>0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/>
      </c>
      <c r="Y34" s="114" t="str">
        <f>IFERROR(INDEX(Расходка[Наименование расходного материала],MATCH(Расходка[[#This Row],[№]],Поиск_расходки[Индекс8],0)),"")</f>
        <v/>
      </c>
      <c r="Z34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4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4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4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4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4" s="4" t="s">
        <v>5</v>
      </c>
      <c r="AG34" s="4" t="s">
        <v>425</v>
      </c>
    </row>
    <row r="35" spans="1:33">
      <c r="A35">
        <f>ROW(Расходка[[#This Row],[Тип расходного материала ]])-1</f>
        <v>34</v>
      </c>
      <c r="B35" t="s">
        <v>3</v>
      </c>
      <c r="C35" s="1" t="s">
        <v>506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0</v>
      </c>
      <c r="L35" s="115">
        <f>IF(ISNUMBER(SEARCH('Карта учёта'!$B$20,Расходка[[#This Row],[Наименование расходного материала]])),MAX($L$1:L34)+1,0)</f>
        <v>0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/>
      </c>
      <c r="Y35" s="114" t="str">
        <f>IFERROR(INDEX(Расходка[Наименование расходного материала],MATCH(Расходка[[#This Row],[№]],Поиск_расходки[Индекс8],0)),"")</f>
        <v/>
      </c>
      <c r="Z35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5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5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5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5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5" s="4" t="s">
        <v>5</v>
      </c>
      <c r="AG35" s="4" t="s">
        <v>484</v>
      </c>
    </row>
    <row r="36" spans="1:33">
      <c r="A36">
        <f>ROW(Расходка[[#This Row],[Тип расходного материала ]])-1</f>
        <v>35</v>
      </c>
      <c r="B36" t="s">
        <v>3</v>
      </c>
      <c r="C36" s="1" t="s">
        <v>318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0</v>
      </c>
      <c r="L36" s="115">
        <f>IF(ISNUMBER(SEARCH('Карта учёта'!$B$20,Расходка[[#This Row],[Наименование расходного материала]])),MAX($L$1:L35)+1,0)</f>
        <v>0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/>
      </c>
      <c r="Y36" s="114" t="str">
        <f>IFERROR(INDEX(Расходка[Наименование расходного материала],MATCH(Расходка[[#This Row],[№]],Поиск_расходки[Индекс8],0)),"")</f>
        <v/>
      </c>
      <c r="Z36" s="114" t="str">
        <f>IFERROR(INDEX(Расходка[Наименование расходного материала],MATCH(Расходка[[#This Row],[№]],Поиск_расходки[Индекс9],0)),"")</f>
        <v>Intuition</v>
      </c>
      <c r="AA36" s="114" t="str">
        <f>IFERROR(INDEX(Расходка[Наименование расходного материала],MATCH(Расходка[[#This Row],[№]],Поиск_расходки[Индекс10],0)),"")</f>
        <v>Intuition</v>
      </c>
      <c r="AB36" s="114" t="str">
        <f>IFERROR(INDEX(Расходка[Наименование расходного материала],MATCH(Расходка[[#This Row],[№]],Поиск_расходки[Индекс11],0)),"")</f>
        <v>Intuition</v>
      </c>
      <c r="AC36" s="114" t="str">
        <f>IFERROR(INDEX(Расходка[Наименование расходного материала],MATCH(Расходка[[#This Row],[№]],Поиск_расходки[Индекс12],0)),"")</f>
        <v>Intuition</v>
      </c>
      <c r="AD36" s="114" t="str">
        <f>IFERROR(INDEX(Расходка[Наименование расходного материала],MATCH(Расходка[[#This Row],[№]],Поиск_расходки[Индекс13],0)),"")</f>
        <v>Intuition</v>
      </c>
      <c r="AF36" s="4" t="s">
        <v>5</v>
      </c>
      <c r="AG36" s="4" t="s">
        <v>426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314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0</v>
      </c>
      <c r="L37" s="115">
        <f>IF(ISNUMBER(SEARCH('Карта учёта'!$B$20,Расходка[[#This Row],[Наименование расходного материала]])),MAX($L$1:L36)+1,0)</f>
        <v>0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/>
      </c>
      <c r="Y37" s="114" t="str">
        <f>IFERROR(INDEX(Расходка[Наименование расходного материала],MATCH(Расходка[[#This Row],[№]],Поиск_расходки[Индекс8],0)),"")</f>
        <v/>
      </c>
      <c r="Z37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7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7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7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7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7" s="4" t="s">
        <v>6</v>
      </c>
      <c r="AG37" s="4" t="s">
        <v>399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315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0</v>
      </c>
      <c r="L38" s="115">
        <f>IF(ISNUMBER(SEARCH('Карта учёта'!$B$20,Расходка[[#This Row],[Наименование расходного материала]])),MAX($L$1:L37)+1,0)</f>
        <v>0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/>
      </c>
      <c r="Y38" s="114" t="str">
        <f>IFERROR(INDEX(Расходка[Наименование расходного материала],MATCH(Расходка[[#This Row],[№]],Поиск_расходки[Индекс8],0)),"")</f>
        <v/>
      </c>
      <c r="Z38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8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8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8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8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8" s="4" t="s">
        <v>6</v>
      </c>
      <c r="AG38" s="4" t="s">
        <v>486</v>
      </c>
    </row>
    <row r="39" spans="1:33">
      <c r="A39">
        <f>ROW(Расходка[[#This Row],[Тип расходного материала ]])-1</f>
        <v>38</v>
      </c>
      <c r="B39" t="s">
        <v>3</v>
      </c>
      <c r="C39" t="s">
        <v>316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0</v>
      </c>
      <c r="L39" s="115">
        <f>IF(ISNUMBER(SEARCH('Карта учёта'!$B$20,Расходка[[#This Row],[Наименование расходного материала]])),MAX($L$1:L38)+1,0)</f>
        <v>0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/>
      </c>
      <c r="Y39" s="114" t="str">
        <f>IFERROR(INDEX(Расходка[Наименование расходного материала],MATCH(Расходка[[#This Row],[№]],Поиск_расходки[Индекс8],0)),"")</f>
        <v/>
      </c>
      <c r="Z39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9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9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9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9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9" s="4" t="s">
        <v>6</v>
      </c>
      <c r="AG39" s="4" t="s">
        <v>427</v>
      </c>
    </row>
    <row r="40" spans="1:33">
      <c r="A40">
        <f>ROW(Расходка[[#This Row],[Тип расходного материала ]])-1</f>
        <v>39</v>
      </c>
      <c r="B40" t="s">
        <v>3</v>
      </c>
      <c r="C40" t="s">
        <v>312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0</v>
      </c>
      <c r="L40" s="115">
        <f>IF(ISNUMBER(SEARCH('Карта учёта'!$B$20,Расходка[[#This Row],[Наименование расходного материала]])),MAX($L$1:L39)+1,0)</f>
        <v>0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/>
      </c>
      <c r="Y40" s="114" t="str">
        <f>IFERROR(INDEX(Расходка[Наименование расходного материала],MATCH(Расходка[[#This Row],[№]],Поиск_расходки[Индекс8],0)),"")</f>
        <v/>
      </c>
      <c r="Z40" s="114" t="str">
        <f>IFERROR(INDEX(Расходка[Наименование расходного материала],MATCH(Расходка[[#This Row],[№]],Поиск_расходки[Индекс9],0)),"")</f>
        <v>Rinato</v>
      </c>
      <c r="AA40" s="114" t="str">
        <f>IFERROR(INDEX(Расходка[Наименование расходного материала],MATCH(Расходка[[#This Row],[№]],Поиск_расходки[Индекс10],0)),"")</f>
        <v>Rinato</v>
      </c>
      <c r="AB40" s="114" t="str">
        <f>IFERROR(INDEX(Расходка[Наименование расходного материала],MATCH(Расходка[[#This Row],[№]],Поиск_расходки[Индекс11],0)),"")</f>
        <v>Rinato</v>
      </c>
      <c r="AC40" s="114" t="str">
        <f>IFERROR(INDEX(Расходка[Наименование расходного материала],MATCH(Расходка[[#This Row],[№]],Поиск_расходки[Индекс12],0)),"")</f>
        <v>Rinato</v>
      </c>
      <c r="AD40" s="114" t="str">
        <f>IFERROR(INDEX(Расходка[Наименование расходного материала],MATCH(Расходка[[#This Row],[№]],Поиск_расходки[Индекс13],0)),"")</f>
        <v>Rinato</v>
      </c>
      <c r="AF40" s="4" t="s">
        <v>6</v>
      </c>
      <c r="AG40" s="4" t="s">
        <v>428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348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0</v>
      </c>
      <c r="L41" s="115">
        <f>IF(ISNUMBER(SEARCH('Карта учёта'!$B$20,Расходка[[#This Row],[Наименование расходного материала]])),MAX($L$1:L40)+1,0)</f>
        <v>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/>
      </c>
      <c r="Y41" s="114" t="str">
        <f>IFERROR(INDEX(Расходка[Наименование расходного материала],MATCH(Расходка[[#This Row],[№]],Поиск_расходки[Индекс8],0)),"")</f>
        <v/>
      </c>
      <c r="Z41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41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41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41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41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41" s="4" t="s">
        <v>6</v>
      </c>
      <c r="AG41" s="4" t="s">
        <v>429</v>
      </c>
    </row>
    <row r="42" spans="1:33">
      <c r="A42">
        <f>ROW(Расходка[[#This Row],[Тип расходного материала ]])-1</f>
        <v>41</v>
      </c>
      <c r="B42" t="s">
        <v>3</v>
      </c>
      <c r="C42" s="1" t="s">
        <v>355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0</v>
      </c>
      <c r="L42" s="115">
        <f>IF(ISNUMBER(SEARCH('Карта учёта'!$B$20,Расходка[[#This Row],[Наименование расходного материала]])),MAX($L$1:L41)+1,0)</f>
        <v>0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/>
      </c>
      <c r="Y42" s="114" t="str">
        <f>IFERROR(INDEX(Расходка[Наименование расходного материала],MATCH(Расходка[[#This Row],[№]],Поиск_расходки[Индекс8],0)),"")</f>
        <v/>
      </c>
      <c r="Z42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42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42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42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2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2" s="4" t="s">
        <v>6</v>
      </c>
      <c r="AG42" s="4" t="s">
        <v>430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354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0</v>
      </c>
      <c r="L43" s="115">
        <f>IF(ISNUMBER(SEARCH('Карта учёта'!$B$20,Расходка[[#This Row],[Наименование расходного материала]])),MAX($L$1:L42)+1,0)</f>
        <v>0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/>
      </c>
      <c r="Y43" s="114" t="str">
        <f>IFERROR(INDEX(Расходка[Наименование расходного материала],MATCH(Расходка[[#This Row],[№]],Поиск_расходки[Индекс8],0)),"")</f>
        <v/>
      </c>
      <c r="Z43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3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3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3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3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3" s="4" t="s">
        <v>6</v>
      </c>
      <c r="AG43" s="4" t="s">
        <v>403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311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0</v>
      </c>
      <c r="L44" s="115">
        <f>IF(ISNUMBER(SEARCH('Карта учёта'!$B$20,Расходка[[#This Row],[Наименование расходного материала]])),MAX($L$1:L43)+1,0)</f>
        <v>0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/>
      </c>
      <c r="Y44" s="114" t="str">
        <f>IFERROR(INDEX(Расходка[Наименование расходного материала],MATCH(Расходка[[#This Row],[№]],Поиск_расходки[Индекс8],0)),"")</f>
        <v/>
      </c>
      <c r="Z44" s="114" t="str">
        <f>IFERROR(INDEX(Расходка[Наименование расходного материала],MATCH(Расходка[[#This Row],[№]],Поиск_расходки[Индекс9],0)),"")</f>
        <v>Sion</v>
      </c>
      <c r="AA44" s="114" t="str">
        <f>IFERROR(INDEX(Расходка[Наименование расходного материала],MATCH(Расходка[[#This Row],[№]],Поиск_расходки[Индекс10],0)),"")</f>
        <v>Sion</v>
      </c>
      <c r="AB44" s="114" t="str">
        <f>IFERROR(INDEX(Расходка[Наименование расходного материала],MATCH(Расходка[[#This Row],[№]],Поиск_расходки[Индекс11],0)),"")</f>
        <v>Sion</v>
      </c>
      <c r="AC44" s="114" t="str">
        <f>IFERROR(INDEX(Расходка[Наименование расходного материала],MATCH(Расходка[[#This Row],[№]],Поиск_расходки[Индекс12],0)),"")</f>
        <v>Sion</v>
      </c>
      <c r="AD44" s="114" t="str">
        <f>IFERROR(INDEX(Расходка[Наименование расходного материала],MATCH(Расходка[[#This Row],[№]],Поиск_расходки[Индекс13],0)),"")</f>
        <v>Sion</v>
      </c>
      <c r="AF44" s="4" t="s">
        <v>6</v>
      </c>
      <c r="AG44" s="4" t="s">
        <v>431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371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0</v>
      </c>
      <c r="L45" s="115">
        <f>IF(ISNUMBER(SEARCH('Карта учёта'!$B$20,Расходка[[#This Row],[Наименование расходного материала]])),MAX($L$1:L44)+1,0)</f>
        <v>0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/>
      </c>
      <c r="Y45" s="114" t="str">
        <f>IFERROR(INDEX(Расходка[Наименование расходного материала],MATCH(Расходка[[#This Row],[№]],Поиск_расходки[Индекс8],0)),"")</f>
        <v/>
      </c>
      <c r="Z45" s="114" t="str">
        <f>IFERROR(INDEX(Расходка[Наименование расходного материала],MATCH(Расходка[[#This Row],[№]],Поиск_расходки[Индекс9],0)),"")</f>
        <v>Sion Black</v>
      </c>
      <c r="AA45" s="114" t="str">
        <f>IFERROR(INDEX(Расходка[Наименование расходного материала],MATCH(Расходка[[#This Row],[№]],Поиск_расходки[Индекс10],0)),"")</f>
        <v>Sion Black</v>
      </c>
      <c r="AB45" s="114" t="str">
        <f>IFERROR(INDEX(Расходка[Наименование расходного материала],MATCH(Расходка[[#This Row],[№]],Поиск_расходки[Индекс11],0)),"")</f>
        <v>Sion Black</v>
      </c>
      <c r="AC45" s="114" t="str">
        <f>IFERROR(INDEX(Расходка[Наименование расходного материала],MATCH(Расходка[[#This Row],[№]],Поиск_расходки[Индекс12],0)),"")</f>
        <v>Sion Black</v>
      </c>
      <c r="AD45" s="114" t="str">
        <f>IFERROR(INDEX(Расходка[Наименование расходного материала],MATCH(Расходка[[#This Row],[№]],Поиск_расходки[Индекс13],0)),"")</f>
        <v>Sion Black</v>
      </c>
      <c r="AF45" s="4" t="s">
        <v>6</v>
      </c>
      <c r="AG45" s="4" t="s">
        <v>432</v>
      </c>
    </row>
    <row r="46" spans="1:33">
      <c r="A46">
        <f>ROW(Расходка[[#This Row],[Тип расходного материала ]])-1</f>
        <v>45</v>
      </c>
      <c r="B46" t="s">
        <v>3</v>
      </c>
      <c r="C46" s="1" t="s">
        <v>366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0</v>
      </c>
      <c r="L46" s="115">
        <f>IF(ISNUMBER(SEARCH('Карта учёта'!$B$20,Расходка[[#This Row],[Наименование расходного материала]])),MAX($L$1:L45)+1,0)</f>
        <v>0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/>
      </c>
      <c r="Y46" s="114" t="str">
        <f>IFERROR(INDEX(Расходка[Наименование расходного материала],MATCH(Расходка[[#This Row],[№]],Поиск_расходки[Индекс8],0)),"")</f>
        <v/>
      </c>
      <c r="Z46" s="114" t="str">
        <f>IFERROR(INDEX(Расходка[Наименование расходного материала],MATCH(Расходка[[#This Row],[№]],Поиск_расходки[Индекс9],0)),"")</f>
        <v>Sion Blue</v>
      </c>
      <c r="AA46" s="114" t="str">
        <f>IFERROR(INDEX(Расходка[Наименование расходного материала],MATCH(Расходка[[#This Row],[№]],Поиск_расходки[Индекс10],0)),"")</f>
        <v>Sion Blue</v>
      </c>
      <c r="AB46" s="114" t="str">
        <f>IFERROR(INDEX(Расходка[Наименование расходного материала],MATCH(Расходка[[#This Row],[№]],Поиск_расходки[Индекс11],0)),"")</f>
        <v>Sion Blue</v>
      </c>
      <c r="AC46" s="114" t="str">
        <f>IFERROR(INDEX(Расходка[Наименование расходного материала],MATCH(Расходка[[#This Row],[№]],Поиск_расходки[Индекс12],0)),"")</f>
        <v>Sion Blue</v>
      </c>
      <c r="AD46" s="114" t="str">
        <f>IFERROR(INDEX(Расходка[Наименование расходного материала],MATCH(Расходка[[#This Row],[№]],Поиск_расходки[Индекс13],0)),"")</f>
        <v>Sion Blue</v>
      </c>
      <c r="AF46" s="4" t="s">
        <v>6</v>
      </c>
      <c r="AG46" s="4" t="s">
        <v>433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313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0</v>
      </c>
      <c r="L47" s="115">
        <f>IF(ISNUMBER(SEARCH('Карта учёта'!$B$20,Расходка[[#This Row],[Наименование расходного материала]])),MAX($L$1:L46)+1,0)</f>
        <v>0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/>
      </c>
      <c r="Y47" s="114" t="str">
        <f>IFERROR(INDEX(Расходка[Наименование расходного материала],MATCH(Расходка[[#This Row],[№]],Поиск_расходки[Индекс8],0)),"")</f>
        <v/>
      </c>
      <c r="Z47" s="114" t="str">
        <f>IFERROR(INDEX(Расходка[Наименование расходного материала],MATCH(Расходка[[#This Row],[№]],Поиск_расходки[Индекс9],0)),"")</f>
        <v>Thunder</v>
      </c>
      <c r="AA47" s="114" t="str">
        <f>IFERROR(INDEX(Расходка[Наименование расходного материала],MATCH(Расходка[[#This Row],[№]],Поиск_расходки[Индекс10],0)),"")</f>
        <v>Thunder</v>
      </c>
      <c r="AB47" s="114" t="str">
        <f>IFERROR(INDEX(Расходка[Наименование расходного материала],MATCH(Расходка[[#This Row],[№]],Поиск_расходки[Индекс11],0)),"")</f>
        <v>Thunder</v>
      </c>
      <c r="AC47" s="114" t="str">
        <f>IFERROR(INDEX(Расходка[Наименование расходного материала],MATCH(Расходка[[#This Row],[№]],Поиск_расходки[Индекс12],0)),"")</f>
        <v>Thunder</v>
      </c>
      <c r="AD47" s="114" t="str">
        <f>IFERROR(INDEX(Расходка[Наименование расходного материала],MATCH(Расходка[[#This Row],[№]],Поиск_расходки[Индекс13],0)),"")</f>
        <v>Thunder</v>
      </c>
      <c r="AF47" s="4" t="s">
        <v>6</v>
      </c>
      <c r="AG47" s="4" t="s">
        <v>434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512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0</v>
      </c>
      <c r="L48" s="115">
        <f>IF(ISNUMBER(SEARCH('Карта учёта'!$B$20,Расходка[[#This Row],[Наименование расходного материала]])),MAX($L$1:L47)+1,0)</f>
        <v>0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/>
      </c>
      <c r="Y48" s="114" t="str">
        <f>IFERROR(INDEX(Расходка[Наименование расходного материала],MATCH(Расходка[[#This Row],[№]],Поиск_расходки[Индекс8],0)),"")</f>
        <v/>
      </c>
      <c r="Z48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8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8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8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8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8" s="4" t="s">
        <v>6</v>
      </c>
      <c r="AG48" s="4" t="s">
        <v>435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513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0</v>
      </c>
      <c r="L49" s="115">
        <f>IF(ISNUMBER(SEARCH('Карта учёта'!$B$20,Расходка[[#This Row],[Наименование расходного материала]])),MAX($L$1:L48)+1,0)</f>
        <v>0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/>
      </c>
      <c r="Y49" s="114" t="str">
        <f>IFERROR(INDEX(Расходка[Наименование расходного материала],MATCH(Расходка[[#This Row],[№]],Поиск_расходки[Индекс8],0)),"")</f>
        <v/>
      </c>
      <c r="Z49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9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9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9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9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9" s="4" t="s">
        <v>6</v>
      </c>
      <c r="AG49" s="4" t="s">
        <v>436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356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0</v>
      </c>
      <c r="L50" s="115">
        <f>IF(ISNUMBER(SEARCH('Карта учёта'!$B$20,Расходка[[#This Row],[Наименование расходного материала]])),MAX($L$1:L49)+1,0)</f>
        <v>0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/>
      </c>
      <c r="Y50" s="114" t="str">
        <f>IFERROR(INDEX(Расходка[Наименование расходного материала],MATCH(Расходка[[#This Row],[№]],Поиск_расходки[Индекс8],0)),"")</f>
        <v/>
      </c>
      <c r="Z50" s="114" t="str">
        <f>IFERROR(INDEX(Расходка[Наименование расходного материала],MATCH(Расходка[[#This Row],[№]],Поиск_расходки[Индекс9],0)),"")</f>
        <v>Winn 200T</v>
      </c>
      <c r="AA50" s="114" t="str">
        <f>IFERROR(INDEX(Расходка[Наименование расходного материала],MATCH(Расходка[[#This Row],[№]],Поиск_расходки[Индекс10],0)),"")</f>
        <v>Winn 200T</v>
      </c>
      <c r="AB50" s="114" t="str">
        <f>IFERROR(INDEX(Расходка[Наименование расходного материала],MATCH(Расходка[[#This Row],[№]],Поиск_расходки[Индекс11],0)),"")</f>
        <v>Winn 200T</v>
      </c>
      <c r="AC50" s="114" t="str">
        <f>IFERROR(INDEX(Расходка[Наименование расходного материала],MATCH(Расходка[[#This Row],[№]],Поиск_расходки[Индекс12],0)),"")</f>
        <v>Winn 200T</v>
      </c>
      <c r="AD50" s="114" t="str">
        <f>IFERROR(INDEX(Расходка[Наименование расходного материала],MATCH(Расходка[[#This Row],[№]],Поиск_расходки[Индекс13],0)),"")</f>
        <v>Winn 200T</v>
      </c>
      <c r="AF50" s="4" t="s">
        <v>6</v>
      </c>
      <c r="AG50" s="4" t="s">
        <v>437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342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0</v>
      </c>
      <c r="L51" s="115">
        <f>IF(ISNUMBER(SEARCH('Карта учёта'!$B$20,Расходка[[#This Row],[Наименование расходного материала]])),MAX($L$1:L50)+1,0)</f>
        <v>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/>
      </c>
      <c r="Y51" s="114" t="str">
        <f>IFERROR(INDEX(Расходка[Наименование расходного материала],MATCH(Расходка[[#This Row],[№]],Поиск_расходки[Индекс8],0)),"")</f>
        <v/>
      </c>
      <c r="Z51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51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51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51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51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51" s="4" t="s">
        <v>6</v>
      </c>
      <c r="AG51" s="4" t="s">
        <v>438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503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0</v>
      </c>
      <c r="L52" s="115">
        <f>IF(ISNUMBER(SEARCH('Карта учёта'!$B$20,Расходка[[#This Row],[Наименование расходного материала]])),MAX($L$1:L51)+1,0)</f>
        <v>0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/>
      </c>
      <c r="Y52" s="114" t="str">
        <f>IFERROR(INDEX(Расходка[Наименование расходного материала],MATCH(Расходка[[#This Row],[№]],Поиск_расходки[Индекс8],0)),"")</f>
        <v/>
      </c>
      <c r="Z52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52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52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2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2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2" s="4" t="s">
        <v>6</v>
      </c>
      <c r="AG52" s="4" t="s">
        <v>439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96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0</v>
      </c>
      <c r="L53" s="115">
        <f>IF(ISNUMBER(SEARCH('Карта учёта'!$B$20,Расходка[[#This Row],[Наименование расходного материала]])),MAX($L$1:L52)+1,0)</f>
        <v>0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/>
      </c>
      <c r="Y53" s="114" t="str">
        <f>IFERROR(INDEX(Расходка[Наименование расходного материала],MATCH(Расходка[[#This Row],[№]],Поиск_расходки[Индекс8],0)),"")</f>
        <v/>
      </c>
      <c r="Z53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3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3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3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3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3" s="4" t="s">
        <v>6</v>
      </c>
      <c r="AG53" s="4" t="s">
        <v>440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501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0</v>
      </c>
      <c r="L54" s="115">
        <f>IF(ISNUMBER(SEARCH('Карта учёта'!$B$20,Расходка[[#This Row],[Наименование расходного материала]])),MAX($L$1:L53)+1,0)</f>
        <v>0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/>
      </c>
      <c r="Y54" s="114" t="str">
        <f>IFERROR(INDEX(Расходка[Наименование расходного материала],MATCH(Расходка[[#This Row],[№]],Поиск_расходки[Индекс8],0)),"")</f>
        <v/>
      </c>
      <c r="Z54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4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4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4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4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4" s="4" t="s">
        <v>6</v>
      </c>
      <c r="AG54" s="4" t="s">
        <v>441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511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0</v>
      </c>
      <c r="L55" s="115">
        <f>IF(ISNUMBER(SEARCH('Карта учёта'!$B$20,Расходка[[#This Row],[Наименование расходного материала]])),MAX($L$1:L54)+1,0)</f>
        <v>0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/>
      </c>
      <c r="Y55" s="114" t="str">
        <f>IFERROR(INDEX(Расходка[Наименование расходного материала],MATCH(Расходка[[#This Row],[№]],Поиск_расходки[Индекс8],0)),"")</f>
        <v/>
      </c>
      <c r="Z55" s="114" t="str">
        <f>IFERROR(INDEX(Расходка[Наименование расходного материала],MATCH(Расходка[[#This Row],[№]],Поиск_расходки[Индекс9],0)),"")</f>
        <v>Shunmei</v>
      </c>
      <c r="AA55" s="114" t="str">
        <f>IFERROR(INDEX(Расходка[Наименование расходного материала],MATCH(Расходка[[#This Row],[№]],Поиск_расходки[Индекс10],0)),"")</f>
        <v>Shunmei</v>
      </c>
      <c r="AB55" s="114" t="str">
        <f>IFERROR(INDEX(Расходка[Наименование расходного материала],MATCH(Расходка[[#This Row],[№]],Поиск_расходки[Индекс11],0)),"")</f>
        <v>Shunmei</v>
      </c>
      <c r="AC55" s="114" t="str">
        <f>IFERROR(INDEX(Расходка[Наименование расходного материала],MATCH(Расходка[[#This Row],[№]],Поиск_расходки[Индекс12],0)),"")</f>
        <v>Shunmei</v>
      </c>
      <c r="AD55" s="114" t="str">
        <f>IFERROR(INDEX(Расходка[Наименование расходного материала],MATCH(Расходка[[#This Row],[№]],Поиск_расходки[Индекс13],0)),"")</f>
        <v>Shunmei</v>
      </c>
      <c r="AF55" s="4" t="s">
        <v>6</v>
      </c>
      <c r="AG55" s="4" t="s">
        <v>442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515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0</v>
      </c>
      <c r="L56" s="115">
        <f>IF(ISNUMBER(SEARCH('Карта учёта'!$B$20,Расходка[[#This Row],[Наименование расходного материала]])),MAX($L$1:L55)+1,0)</f>
        <v>0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/>
      </c>
      <c r="Y56" s="114" t="str">
        <f>IFERROR(INDEX(Расходка[Наименование расходного материала],MATCH(Расходка[[#This Row],[№]],Поиск_расходки[Индекс8],0)),"")</f>
        <v/>
      </c>
      <c r="Z56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6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6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6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6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6" s="4" t="s">
        <v>6</v>
      </c>
      <c r="AG56" s="4" t="s">
        <v>443</v>
      </c>
    </row>
    <row r="57" spans="1:33">
      <c r="A57">
        <f>ROW(Расходка[[#This Row],[Тип расходного материала ]])-1</f>
        <v>56</v>
      </c>
      <c r="B57" t="s">
        <v>3</v>
      </c>
      <c r="C57" t="s">
        <v>516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0</v>
      </c>
      <c r="L57" s="115">
        <f>IF(ISNUMBER(SEARCH('Карта учёта'!$B$20,Расходка[[#This Row],[Наименование расходного материала]])),MAX($L$1:L56)+1,0)</f>
        <v>0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/>
      </c>
      <c r="Y57" s="114" t="str">
        <f>IFERROR(INDEX(Расходка[Наименование расходного материала],MATCH(Расходка[[#This Row],[№]],Поиск_расходки[Индекс8],0)),"")</f>
        <v/>
      </c>
      <c r="Z57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7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7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7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7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7" s="4" t="s">
        <v>6</v>
      </c>
      <c r="AG57" s="4" t="s">
        <v>444</v>
      </c>
    </row>
    <row r="58" spans="1:33">
      <c r="A58">
        <f>ROW(Расходка[[#This Row],[Тип расходного материала ]])-1</f>
        <v>57</v>
      </c>
      <c r="B58" t="s">
        <v>6</v>
      </c>
      <c r="C58" s="1" t="s">
        <v>275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0</v>
      </c>
      <c r="K58" s="115">
        <f>IF(ISNUMBER(SEARCH('Карта учёта'!$B$19,Расходка[[#This Row],[Наименование расходного материала]])),MAX($K$1:K57)+1,0)</f>
        <v>0</v>
      </c>
      <c r="L58" s="115">
        <f>IF(ISNUMBER(SEARCH('Карта учёта'!$B$20,Расходка[[#This Row],[Наименование расходного материала]])),MAX($L$1:L57)+1,0)</f>
        <v>0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/>
      </c>
      <c r="Y58" s="114" t="str">
        <f>IFERROR(INDEX(Расходка[Наименование расходного материала],MATCH(Расходка[[#This Row],[№]],Поиск_расходки[Индекс8],0)),"")</f>
        <v/>
      </c>
      <c r="Z58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8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8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8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8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8" s="4" t="s">
        <v>6</v>
      </c>
      <c r="AG58" s="4" t="s">
        <v>445</v>
      </c>
    </row>
    <row r="59" spans="1:33">
      <c r="A59">
        <f>ROW(Расходка[[#This Row],[Тип расходного материала ]])-1</f>
        <v>58</v>
      </c>
      <c r="B59" t="s">
        <v>6</v>
      </c>
      <c r="C59" s="156" t="s">
        <v>341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0</v>
      </c>
      <c r="L59" s="115">
        <f>IF(ISNUMBER(SEARCH('Карта учёта'!$B$20,Расходка[[#This Row],[Наименование расходного материала]])),MAX($L$1:L58)+1,0)</f>
        <v>0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/>
      </c>
      <c r="Y59" s="114" t="str">
        <f>IFERROR(INDEX(Расходка[Наименование расходного материала],MATCH(Расходка[[#This Row],[№]],Поиск_расходки[Индекс8],0)),"")</f>
        <v/>
      </c>
      <c r="Z59" s="114" t="str">
        <f>IFERROR(INDEX(Расходка[Наименование расходного материала],MATCH(Расходка[[#This Row],[№]],Поиск_расходки[Индекс9],0)),"")</f>
        <v>DES, Calipso</v>
      </c>
      <c r="AA59" s="114" t="str">
        <f>IFERROR(INDEX(Расходка[Наименование расходного материала],MATCH(Расходка[[#This Row],[№]],Поиск_расходки[Индекс10],0)),"")</f>
        <v>DES, Calipso</v>
      </c>
      <c r="AB59" s="114" t="str">
        <f>IFERROR(INDEX(Расходка[Наименование расходного материала],MATCH(Расходка[[#This Row],[№]],Поиск_расходки[Индекс11],0)),"")</f>
        <v>DES, Calipso</v>
      </c>
      <c r="AC59" s="114" t="str">
        <f>IFERROR(INDEX(Расходка[Наименование расходного материала],MATCH(Расходка[[#This Row],[№]],Поиск_расходки[Индекс12],0)),"")</f>
        <v>DES, Calipso</v>
      </c>
      <c r="AD59" s="114" t="str">
        <f>IFERROR(INDEX(Расходка[Наименование расходного материала],MATCH(Расходка[[#This Row],[№]],Поиск_расходки[Индекс13],0)),"")</f>
        <v>DES, Calipso</v>
      </c>
      <c r="AF59" s="4" t="s">
        <v>6</v>
      </c>
      <c r="AG59" s="4" t="s">
        <v>446</v>
      </c>
    </row>
    <row r="60" spans="1:33">
      <c r="A60">
        <f>ROW(Расходка[[#This Row],[Тип расходного материала ]])-1</f>
        <v>59</v>
      </c>
      <c r="B60" t="s">
        <v>6</v>
      </c>
      <c r="C60" s="214" t="s">
        <v>519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0</v>
      </c>
      <c r="L60" s="115">
        <f>IF(ISNUMBER(SEARCH('Карта учёта'!$B$20,Расходка[[#This Row],[Наименование расходного материала]])),MAX($L$1:L59)+1,0)</f>
        <v>0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/>
      </c>
      <c r="Y60" s="114" t="str">
        <f>IFERROR(INDEX(Расходка[Наименование расходного материала],MATCH(Расходка[[#This Row],[№]],Поиск_расходки[Индекс8],0)),"")</f>
        <v/>
      </c>
      <c r="Z60" s="114" t="str">
        <f>IFERROR(INDEX(Расходка[Наименование расходного материала],MATCH(Расходка[[#This Row],[№]],Поиск_расходки[Индекс9],0)),"")</f>
        <v>DES, Metafor</v>
      </c>
      <c r="AA60" s="114" t="str">
        <f>IFERROR(INDEX(Расходка[Наименование расходного материала],MATCH(Расходка[[#This Row],[№]],Поиск_расходки[Индекс10],0)),"")</f>
        <v>DES, Metafor</v>
      </c>
      <c r="AB60" s="114" t="str">
        <f>IFERROR(INDEX(Расходка[Наименование расходного материала],MATCH(Расходка[[#This Row],[№]],Поиск_расходки[Индекс11],0)),"")</f>
        <v>DES, Metafor</v>
      </c>
      <c r="AC60" s="114" t="str">
        <f>IFERROR(INDEX(Расходка[Наименование расходного материала],MATCH(Расходка[[#This Row],[№]],Поиск_расходки[Индекс12],0)),"")</f>
        <v>DES, Metafor</v>
      </c>
      <c r="AD60" s="114" t="str">
        <f>IFERROR(INDEX(Расходка[Наименование расходного материала],MATCH(Расходка[[#This Row],[№]],Поиск_расходки[Индекс13],0)),"")</f>
        <v>DES, Metafor</v>
      </c>
      <c r="AF60" s="4" t="s">
        <v>6</v>
      </c>
      <c r="AG60" s="4" t="s">
        <v>447</v>
      </c>
    </row>
    <row r="61" spans="1:33">
      <c r="A61">
        <f>ROW(Расходка[[#This Row],[Тип расходного материала ]])-1</f>
        <v>60</v>
      </c>
      <c r="B61" t="s">
        <v>6</v>
      </c>
      <c r="C61" s="156" t="s">
        <v>340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0</v>
      </c>
      <c r="L61" s="115">
        <f>IF(ISNUMBER(SEARCH('Карта учёта'!$B$20,Расходка[[#This Row],[Наименование расходного материала]])),MAX($L$1:L60)+1,0)</f>
        <v>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/>
      </c>
      <c r="Y61" s="114" t="str">
        <f>IFERROR(INDEX(Расходка[Наименование расходного материала],MATCH(Расходка[[#This Row],[№]],Поиск_расходки[Индекс8],0)),"")</f>
        <v/>
      </c>
      <c r="Z61" s="114" t="str">
        <f>IFERROR(INDEX(Расходка[Наименование расходного материала],MATCH(Расходка[[#This Row],[№]],Поиск_расходки[Индекс9],0)),"")</f>
        <v>DES, NanoMed</v>
      </c>
      <c r="AA61" s="114" t="str">
        <f>IFERROR(INDEX(Расходка[Наименование расходного материала],MATCH(Расходка[[#This Row],[№]],Поиск_расходки[Индекс10],0)),"")</f>
        <v>DES, NanoMed</v>
      </c>
      <c r="AB61" s="114" t="str">
        <f>IFERROR(INDEX(Расходка[Наименование расходного материала],MATCH(Расходка[[#This Row],[№]],Поиск_расходки[Индекс11],0)),"")</f>
        <v>DES, NanoMed</v>
      </c>
      <c r="AC61" s="114" t="str">
        <f>IFERROR(INDEX(Расходка[Наименование расходного материала],MATCH(Расходка[[#This Row],[№]],Поиск_расходки[Индекс12],0)),"")</f>
        <v>DES, NanoMed</v>
      </c>
      <c r="AD61" s="114" t="str">
        <f>IFERROR(INDEX(Расходка[Наименование расходного материала],MATCH(Расходка[[#This Row],[№]],Поиск_расходки[Индекс13],0)),"")</f>
        <v>DES, NanoMed</v>
      </c>
      <c r="AF61" s="4" t="s">
        <v>6</v>
      </c>
      <c r="AG61" s="4" t="s">
        <v>408</v>
      </c>
    </row>
    <row r="62" spans="1:33">
      <c r="A62">
        <f>ROW(Расходка[[#This Row],[Тип расходного материала ]])-1</f>
        <v>61</v>
      </c>
      <c r="B62" t="s">
        <v>6</v>
      </c>
      <c r="C62" s="129" t="s">
        <v>319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1</v>
      </c>
      <c r="J62" s="115">
        <f>IF(ISNUMBER(SEARCH('Карта учёта'!$B$18,Расходка[[#This Row],[Наименование расходного материала]])),MAX($J$1:J61)+1,0)</f>
        <v>0</v>
      </c>
      <c r="K62" s="115">
        <f>IF(ISNUMBER(SEARCH('Карта учёта'!$B$19,Расходка[[#This Row],[Наименование расходного материала]])),MAX($K$1:K61)+1,0)</f>
        <v>0</v>
      </c>
      <c r="L62" s="115">
        <f>IF(ISNUMBER(SEARCH('Карта учёта'!$B$20,Расходка[[#This Row],[Наименование расходного материала]])),MAX($L$1:L61)+1,0)</f>
        <v>0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/>
      </c>
      <c r="Y62" s="114" t="str">
        <f>IFERROR(INDEX(Расходка[Наименование расходного материала],MATCH(Расходка[[#This Row],[№]],Поиск_расходки[Индекс8],0)),"")</f>
        <v/>
      </c>
      <c r="Z62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62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2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2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2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2" s="4" t="s">
        <v>6</v>
      </c>
      <c r="AG62" s="4" t="s">
        <v>448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352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0</v>
      </c>
      <c r="L63" s="115">
        <f>IF(ISNUMBER(SEARCH('Карта учёта'!$B$20,Расходка[[#This Row],[Наименование расходного материала]])),MAX($L$1:L62)+1,0)</f>
        <v>0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/>
      </c>
      <c r="Y63" s="114" t="str">
        <f>IFERROR(INDEX(Расходка[Наименование расходного материала],MATCH(Расходка[[#This Row],[№]],Поиск_расходки[Индекс8],0)),"")</f>
        <v/>
      </c>
      <c r="Z63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63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3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3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3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3" s="4" t="s">
        <v>6</v>
      </c>
      <c r="AG63" s="4" t="s">
        <v>449</v>
      </c>
    </row>
    <row r="64" spans="1:33">
      <c r="A64">
        <f>ROW(Расходка[[#This Row],[Тип расходного материала ]])-1</f>
        <v>63</v>
      </c>
      <c r="B64" t="s">
        <v>6</v>
      </c>
      <c r="C64" s="160" t="s">
        <v>379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0</v>
      </c>
      <c r="L64" s="115">
        <f>IF(ISNUMBER(SEARCH('Карта учёта'!$B$20,Расходка[[#This Row],[Наименование расходного материала]])),MAX($L$1:L63)+1,0)</f>
        <v>0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/>
      </c>
      <c r="Y64" s="114" t="str">
        <f>IFERROR(INDEX(Расходка[Наименование расходного материала],MATCH(Расходка[[#This Row],[№]],Поиск_расходки[Индекс8],0)),"")</f>
        <v/>
      </c>
      <c r="Z64" s="114" t="str">
        <f>IFERROR(INDEX(Расходка[Наименование расходного материала],MATCH(Расходка[[#This Row],[№]],Поиск_расходки[Индекс9],0)),"")</f>
        <v>DES, Firehawk</v>
      </c>
      <c r="AA64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4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4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4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4" s="4" t="s">
        <v>6</v>
      </c>
      <c r="AG64" s="4" t="s">
        <v>450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378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0</v>
      </c>
      <c r="L65" s="115">
        <f>IF(ISNUMBER(SEARCH('Карта учёта'!$B$20,Расходка[[#This Row],[Наименование расходного материала]])),MAX($L$1:L64)+1,0)</f>
        <v>0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/>
      </c>
      <c r="Y65" s="114" t="str">
        <f>IFERROR(INDEX(Расходка[Наименование расходного материала],MATCH(Расходка[[#This Row],[№]],Поиск_расходки[Индекс8],0)),"")</f>
        <v/>
      </c>
      <c r="Z65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5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5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5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5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5" s="4" t="s">
        <v>6</v>
      </c>
      <c r="AG65" s="4" t="s">
        <v>451</v>
      </c>
    </row>
    <row r="66" spans="1:33">
      <c r="A66">
        <f>ROW(Расходка[[#This Row],[Тип расходного материала ]])-1</f>
        <v>65</v>
      </c>
      <c r="B66" t="s">
        <v>6</v>
      </c>
      <c r="C66" t="s">
        <v>509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0</v>
      </c>
      <c r="L66" s="115">
        <f>IF(ISNUMBER(SEARCH('Карта учёта'!$B$20,Расходка[[#This Row],[Наименование расходного материала]])),MAX($L$1:L65)+1,0)</f>
        <v>0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/>
      </c>
      <c r="Y66" s="114" t="str">
        <f>IFERROR(INDEX(Расходка[Наименование расходного материала],MATCH(Расходка[[#This Row],[№]],Поиск_расходки[Индекс8],0)),"")</f>
        <v/>
      </c>
      <c r="Z66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6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6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6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6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6" s="4" t="s">
        <v>6</v>
      </c>
      <c r="AG66" s="4" t="s">
        <v>452</v>
      </c>
    </row>
    <row r="67" spans="1:33">
      <c r="A67">
        <f>ROW(Расходка[[#This Row],[Тип расходного материала ]])-1</f>
        <v>66</v>
      </c>
      <c r="B67" t="s">
        <v>6</v>
      </c>
      <c r="C67" t="s">
        <v>510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0</v>
      </c>
      <c r="G67" s="196">
        <f>IF(ISNUMBER(SEARCH('Карта учёта'!$B$15,Расходка[[#This Row],[Наименование расходного материала]])),MAX($G$1:G66)+1,0)</f>
        <v>0</v>
      </c>
      <c r="H67" s="196">
        <f>IF(ISNUMBER(SEARCH('Карта учёта'!$B$16,Расходка[[#This Row],[Наименование расходного материала]])),MAX($H$1:H66)+1,0)</f>
        <v>0</v>
      </c>
      <c r="I67" s="196">
        <f>IF(ISNUMBER(SEARCH('Карта учёта'!$B$17,Расходка[[#This Row],[Наименование расходного материала]])),MAX($I$1:I66)+1,0)</f>
        <v>0</v>
      </c>
      <c r="J67" s="196">
        <f>IF(ISNUMBER(SEARCH('Карта учёта'!$B$18,Расходка[[#This Row],[Наименование расходного материала]])),MAX($J$1:J66)+1,0)</f>
        <v>0</v>
      </c>
      <c r="K67" s="196">
        <f>IF(ISNUMBER(SEARCH('Карта учёта'!$B$19,Расходка[[#This Row],[Наименование расходного материала]])),MAX($K$1:K66)+1,0)</f>
        <v>0</v>
      </c>
      <c r="L67" s="196">
        <f>IF(ISNUMBER(SEARCH('Карта учёта'!$B$20,Расходка[[#This Row],[Наименование расходного материала]])),MAX($L$1:L66)+1,0)</f>
        <v>0</v>
      </c>
      <c r="M67" s="196">
        <f>IF(ISNUMBER(SEARCH('Карта учёта'!$B$21,Расходка[[#This Row],[Наименование расходного материала]])),MAX($M$1:M66)+1,0)</f>
        <v>66</v>
      </c>
      <c r="N67" s="196">
        <f>IF(ISNUMBER(SEARCH('Карта учёта'!$B$22,Расходка[[#This Row],[Наименование расходного материала]])),MAX($N$1:N66)+1,0)</f>
        <v>66</v>
      </c>
      <c r="O67" s="196">
        <f>IF(ISNUMBER(SEARCH('Карта учёта'!$B$23,Расходка[[#This Row],[Наименование расходного материала]])),MAX($O$1:O66)+1,0)</f>
        <v>66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/>
      </c>
      <c r="T67" s="197" t="str">
        <f>IFERROR(INDEX(Расходка[Наименование расходного материала],MATCH(Расходка[[#This Row],[№]],Поиск_расходки[Индекс3],0)),"")</f>
        <v/>
      </c>
      <c r="U67" s="197" t="str">
        <f>IFERROR(INDEX(Расходка[Наименование расходного материала],MATCH(Расходка[[#This Row],[№]],Поиск_расходки[Индекс4],0)),"")</f>
        <v/>
      </c>
      <c r="V67" s="197" t="str">
        <f>IFERROR(INDEX(Расходка[Наименование расходного материала],MATCH(Расходка[[#This Row],[№]],Поиск_расходки[Индекс5],0)),"")</f>
        <v/>
      </c>
      <c r="W67" s="197" t="str">
        <f>IFERROR(INDEX(Расходка[Наименование расходного материала],MATCH(Расходка[[#This Row],[№]],Поиск_расходки[Индекс6],0)),"")</f>
        <v/>
      </c>
      <c r="X67" s="197" t="str">
        <f>IFERROR(INDEX(Расходка[Наименование расходного материала],MATCH(Расходка[[#This Row],[№]],Поиск_расходки[Индекс7],0)),"")</f>
        <v/>
      </c>
      <c r="Y67" s="197" t="str">
        <f>IFERROR(INDEX(Расходка[Наименование расходного материала],MATCH(Расходка[[#This Row],[№]],Поиск_расходки[Индекс8],0)),"")</f>
        <v/>
      </c>
      <c r="Z67" s="197" t="str">
        <f>IFERROR(INDEX(Расходка[Наименование расходного материала],MATCH(Расходка[[#This Row],[№]],Поиск_расходки[Индекс9],0)),"")</f>
        <v>Meril Evermine50™</v>
      </c>
      <c r="AA67" s="197" t="str">
        <f>IFERROR(INDEX(Расходка[Наименование расходного материала],MATCH(Расходка[[#This Row],[№]],Поиск_расходки[Индекс10],0)),"")</f>
        <v>Meril Evermine50™</v>
      </c>
      <c r="AB67" s="197" t="str">
        <f>IFERROR(INDEX(Расходка[Наименование расходного материала],MATCH(Расходка[[#This Row],[№]],Поиск_расходки[Индекс11],0)),"")</f>
        <v>Meril Evermine50™</v>
      </c>
      <c r="AC67" s="197" t="str">
        <f>IFERROR(INDEX(Расходка[Наименование расходного материала],MATCH(Расходка[[#This Row],[№]],Поиск_расходки[Индекс12],0)),"")</f>
        <v>Meril Evermine50™</v>
      </c>
      <c r="AD67" s="197" t="str">
        <f>IFERROR(INDEX(Расходка[Наименование расходного материала],MATCH(Расходка[[#This Row],[№]],Поиск_расходки[Индекс13],0)),"")</f>
        <v>Meril Evermine50™</v>
      </c>
      <c r="AF67" s="4" t="s">
        <v>6</v>
      </c>
      <c r="AG67" s="4" t="s">
        <v>453</v>
      </c>
    </row>
    <row r="68" spans="1:33">
      <c r="A68">
        <f>ROW(Расходка[[#This Row],[Тип расходного материала ]])-1</f>
        <v>67</v>
      </c>
      <c r="B68" t="s">
        <v>95</v>
      </c>
      <c r="C68" s="1" t="s">
        <v>320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0</v>
      </c>
      <c r="G68" s="196">
        <f>IF(ISNUMBER(SEARCH('Карта учёта'!$B$15,Расходка[[#This Row],[Наименование расходного материала]])),MAX($G$1:G67)+1,0)</f>
        <v>0</v>
      </c>
      <c r="H68" s="196">
        <f>IF(ISNUMBER(SEARCH('Карта учёта'!$B$16,Расходка[[#This Row],[Наименование расходного материала]])),MAX($H$1:H67)+1,0)</f>
        <v>0</v>
      </c>
      <c r="I68" s="196">
        <f>IF(ISNUMBER(SEARCH('Карта учёта'!$B$17,Расходка[[#This Row],[Наименование расходного материала]])),MAX($I$1:I67)+1,0)</f>
        <v>0</v>
      </c>
      <c r="J68" s="196">
        <f>IF(ISNUMBER(SEARCH('Карта учёта'!$B$18,Расходка[[#This Row],[Наименование расходного материала]])),MAX($J$1:J67)+1,0)</f>
        <v>0</v>
      </c>
      <c r="K68" s="196">
        <f>IF(ISNUMBER(SEARCH('Карта учёта'!$B$19,Расходка[[#This Row],[Наименование расходного материала]])),MAX($K$1:K67)+1,0)</f>
        <v>0</v>
      </c>
      <c r="L68" s="196">
        <f>IF(ISNUMBER(SEARCH('Карта учёта'!$B$20,Расходка[[#This Row],[Наименование расходного материала]])),MAX($L$1:L67)+1,0)</f>
        <v>0</v>
      </c>
      <c r="M68" s="196">
        <f>IF(ISNUMBER(SEARCH('Карта учёта'!$B$21,Расходка[[#This Row],[Наименование расходного материала]])),MAX($M$1:M67)+1,0)</f>
        <v>67</v>
      </c>
      <c r="N68" s="196">
        <f>IF(ISNUMBER(SEARCH('Карта учёта'!$B$22,Расходка[[#This Row],[Наименование расходного материала]])),MAX($N$1:N67)+1,0)</f>
        <v>67</v>
      </c>
      <c r="O68" s="196">
        <f>IF(ISNUMBER(SEARCH('Карта учёта'!$B$23,Расходка[[#This Row],[Наименование расходного материала]])),MAX($O$1:O67)+1,0)</f>
        <v>67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/>
      </c>
      <c r="T68" s="197" t="str">
        <f>IFERROR(INDEX(Расходка[Наименование расходного материала],MATCH(Расходка[[#This Row],[№]],Поиск_расходки[Индекс3],0)),"")</f>
        <v/>
      </c>
      <c r="U68" s="197" t="str">
        <f>IFERROR(INDEX(Расходка[Наименование расходного материала],MATCH(Расходка[[#This Row],[№]],Поиск_расходки[Индекс4],0)),"")</f>
        <v/>
      </c>
      <c r="V68" s="197" t="str">
        <f>IFERROR(INDEX(Расходка[Наименование расходного материала],MATCH(Расходка[[#This Row],[№]],Поиск_расходки[Индекс5],0)),"")</f>
        <v/>
      </c>
      <c r="W68" s="197" t="str">
        <f>IFERROR(INDEX(Расходка[Наименование расходного материала],MATCH(Расходка[[#This Row],[№]],Поиск_расходки[Индекс6],0)),"")</f>
        <v/>
      </c>
      <c r="X68" s="197" t="str">
        <f>IFERROR(INDEX(Расходка[Наименование расходного материала],MATCH(Расходка[[#This Row],[№]],Поиск_расходки[Индекс7],0)),"")</f>
        <v/>
      </c>
      <c r="Y68" s="197" t="str">
        <f>IFERROR(INDEX(Расходка[Наименование расходного материала],MATCH(Расходка[[#This Row],[№]],Поиск_расходки[Индекс8],0)),"")</f>
        <v/>
      </c>
      <c r="Z68" s="197" t="str">
        <f>IFERROR(INDEX(Расходка[Наименование расходного материала],MATCH(Расходка[[#This Row],[№]],Поиск_расходки[Индекс9],0)),"")</f>
        <v>Guidezilla™ II 6F</v>
      </c>
      <c r="AA68" s="197" t="str">
        <f>IFERROR(INDEX(Расходка[Наименование расходного материала],MATCH(Расходка[[#This Row],[№]],Поиск_расходки[Индекс10],0)),"")</f>
        <v>Guidezilla™ II 6F</v>
      </c>
      <c r="AB68" s="197" t="str">
        <f>IFERROR(INDEX(Расходка[Наименование расходного материала],MATCH(Расходка[[#This Row],[№]],Поиск_расходки[Индекс11],0)),"")</f>
        <v>Guidezilla™ II 6F</v>
      </c>
      <c r="AC68" s="197" t="str">
        <f>IFERROR(INDEX(Расходка[Наименование расходного материала],MATCH(Расходка[[#This Row],[№]],Поиск_расходки[Индекс12],0)),"")</f>
        <v>Guidezilla™ II 6F</v>
      </c>
      <c r="AD68" s="197" t="str">
        <f>IFERROR(INDEX(Расходка[Наименование расходного материала],MATCH(Расходка[[#This Row],[№]],Поиск_расходки[Индекс13],0)),"")</f>
        <v>Guidezilla™ II 6F</v>
      </c>
      <c r="AF68" s="4" t="s">
        <v>6</v>
      </c>
      <c r="AG68" s="4" t="s">
        <v>454</v>
      </c>
    </row>
    <row r="69" spans="1:33">
      <c r="A69">
        <f>ROW(Расходка[[#This Row],[Тип расходного материала ]])-1</f>
        <v>68</v>
      </c>
      <c r="B69" t="s">
        <v>95</v>
      </c>
      <c r="C69" s="1" t="s">
        <v>339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0</v>
      </c>
      <c r="G69" s="196">
        <f>IF(ISNUMBER(SEARCH('Карта учёта'!$B$15,Расходка[[#This Row],[Наименование расходного материала]])),MAX($G$1:G68)+1,0)</f>
        <v>0</v>
      </c>
      <c r="H69" s="196">
        <f>IF(ISNUMBER(SEARCH('Карта учёта'!$B$16,Расходка[[#This Row],[Наименование расходного материала]])),MAX($H$1:H68)+1,0)</f>
        <v>0</v>
      </c>
      <c r="I69" s="196">
        <f>IF(ISNUMBER(SEARCH('Карта учёта'!$B$17,Расходка[[#This Row],[Наименование расходного материала]])),MAX($I$1:I68)+1,0)</f>
        <v>0</v>
      </c>
      <c r="J69" s="196">
        <f>IF(ISNUMBER(SEARCH('Карта учёта'!$B$18,Расходка[[#This Row],[Наименование расходного материала]])),MAX($J$1:J68)+1,0)</f>
        <v>0</v>
      </c>
      <c r="K69" s="196">
        <f>IF(ISNUMBER(SEARCH('Карта учёта'!$B$19,Расходка[[#This Row],[Наименование расходного материала]])),MAX($K$1:K68)+1,0)</f>
        <v>0</v>
      </c>
      <c r="L69" s="196">
        <f>IF(ISNUMBER(SEARCH('Карта учёта'!$B$20,Расходка[[#This Row],[Наименование расходного материала]])),MAX($L$1:L68)+1,0)</f>
        <v>0</v>
      </c>
      <c r="M69" s="196">
        <f>IF(ISNUMBER(SEARCH('Карта учёта'!$B$21,Расходка[[#This Row],[Наименование расходного материала]])),MAX($M$1:M68)+1,0)</f>
        <v>68</v>
      </c>
      <c r="N69" s="196">
        <f>IF(ISNUMBER(SEARCH('Карта учёта'!$B$22,Расходка[[#This Row],[Наименование расходного материала]])),MAX($N$1:N68)+1,0)</f>
        <v>68</v>
      </c>
      <c r="O69" s="196">
        <f>IF(ISNUMBER(SEARCH('Карта учёта'!$B$23,Расходка[[#This Row],[Наименование расходного материала]])),MAX($O$1:O68)+1,0)</f>
        <v>68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/>
      </c>
      <c r="T69" s="197" t="str">
        <f>IFERROR(INDEX(Расходка[Наименование расходного материала],MATCH(Расходка[[#This Row],[№]],Поиск_расходки[Индекс3],0)),"")</f>
        <v/>
      </c>
      <c r="U69" s="197" t="str">
        <f>IFERROR(INDEX(Расходка[Наименование расходного материала],MATCH(Расходка[[#This Row],[№]],Поиск_расходки[Индекс4],0)),"")</f>
        <v/>
      </c>
      <c r="V69" s="197" t="str">
        <f>IFERROR(INDEX(Расходка[Наименование расходного материала],MATCH(Расходка[[#This Row],[№]],Поиск_расходки[Индекс5],0)),"")</f>
        <v/>
      </c>
      <c r="W69" s="197" t="str">
        <f>IFERROR(INDEX(Расходка[Наименование расходного материала],MATCH(Расходка[[#This Row],[№]],Поиск_расходки[Индекс6],0)),"")</f>
        <v/>
      </c>
      <c r="X69" s="197" t="str">
        <f>IFERROR(INDEX(Расходка[Наименование расходного материала],MATCH(Расходка[[#This Row],[№]],Поиск_расходки[Индекс7],0)),"")</f>
        <v/>
      </c>
      <c r="Y69" s="197" t="str">
        <f>IFERROR(INDEX(Расходка[Наименование расходного материала],MATCH(Расходка[[#This Row],[№]],Поиск_расходки[Индекс8],0)),"")</f>
        <v/>
      </c>
      <c r="Z69" s="197" t="str">
        <f>IFERROR(INDEX(Расходка[Наименование расходного материала],MATCH(Расходка[[#This Row],[№]],Поиск_расходки[Индекс9],0)),"")</f>
        <v>Telescope ™ II 6F</v>
      </c>
      <c r="AA69" s="197" t="str">
        <f>IFERROR(INDEX(Расходка[Наименование расходного материала],MATCH(Расходка[[#This Row],[№]],Поиск_расходки[Индекс10],0)),"")</f>
        <v>Telescope ™ II 6F</v>
      </c>
      <c r="AB69" s="197" t="str">
        <f>IFERROR(INDEX(Расходка[Наименование расходного материала],MATCH(Расходка[[#This Row],[№]],Поиск_расходки[Индекс11],0)),"")</f>
        <v>Telescope ™ II 6F</v>
      </c>
      <c r="AC69" s="197" t="str">
        <f>IFERROR(INDEX(Расходка[Наименование расходного материала],MATCH(Расходка[[#This Row],[№]],Поиск_расходки[Индекс12],0)),"")</f>
        <v>Telescope ™ II 6F</v>
      </c>
      <c r="AD69" s="197" t="str">
        <f>IFERROR(INDEX(Расходка[Наименование расходного материала],MATCH(Расходка[[#This Row],[№]],Поиск_расходки[Индекс13],0)),"")</f>
        <v>Telescope ™ II 6F</v>
      </c>
      <c r="AF69" s="4" t="s">
        <v>6</v>
      </c>
      <c r="AG69" s="4" t="s">
        <v>455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345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0</v>
      </c>
      <c r="G70" s="196">
        <f>IF(ISNUMBER(SEARCH('Карта учёта'!$B$15,Расходка[[#This Row],[Наименование расходного материала]])),MAX($G$1:G69)+1,0)</f>
        <v>0</v>
      </c>
      <c r="H70" s="196">
        <f>IF(ISNUMBER(SEARCH('Карта учёта'!$B$16,Расходка[[#This Row],[Наименование расходного материала]])),MAX($H$1:H69)+1,0)</f>
        <v>0</v>
      </c>
      <c r="I70" s="196">
        <f>IF(ISNUMBER(SEARCH('Карта учёта'!$B$17,Расходка[[#This Row],[Наименование расходного материала]])),MAX($I$1:I69)+1,0)</f>
        <v>0</v>
      </c>
      <c r="J70" s="196">
        <f>IF(ISNUMBER(SEARCH('Карта учёта'!$B$18,Расходка[[#This Row],[Наименование расходного материала]])),MAX($J$1:J69)+1,0)</f>
        <v>0</v>
      </c>
      <c r="K70" s="196">
        <f>IF(ISNUMBER(SEARCH('Карта учёта'!$B$19,Расходка[[#This Row],[Наименование расходного материала]])),MAX($K$1:K69)+1,0)</f>
        <v>0</v>
      </c>
      <c r="L70" s="196">
        <f>IF(ISNUMBER(SEARCH('Карта учёта'!$B$20,Расходка[[#This Row],[Наименование расходного материала]])),MAX($L$1:L69)+1,0)</f>
        <v>0</v>
      </c>
      <c r="M70" s="196">
        <f>IF(ISNUMBER(SEARCH('Карта учёта'!$B$21,Расходка[[#This Row],[Наименование расходного материала]])),MAX($M$1:M69)+1,0)</f>
        <v>69</v>
      </c>
      <c r="N70" s="196">
        <f>IF(ISNUMBER(SEARCH('Карта учёта'!$B$22,Расходка[[#This Row],[Наименование расходного материала]])),MAX($N$1:N69)+1,0)</f>
        <v>69</v>
      </c>
      <c r="O70" s="196">
        <f>IF(ISNUMBER(SEARCH('Карта учёта'!$B$23,Расходка[[#This Row],[Наименование расходного материала]])),MAX($O$1:O69)+1,0)</f>
        <v>69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/>
      </c>
      <c r="T70" s="197" t="str">
        <f>IFERROR(INDEX(Расходка[Наименование расходного материала],MATCH(Расходка[[#This Row],[№]],Поиск_расходки[Индекс3],0)),"")</f>
        <v/>
      </c>
      <c r="U70" s="197" t="str">
        <f>IFERROR(INDEX(Расходка[Наименование расходного материала],MATCH(Расходка[[#This Row],[№]],Поиск_расходки[Индекс4],0)),"")</f>
        <v/>
      </c>
      <c r="V70" s="197" t="str">
        <f>IFERROR(INDEX(Расходка[Наименование расходного материала],MATCH(Расходка[[#This Row],[№]],Поиск_расходки[Индекс5],0)),"")</f>
        <v/>
      </c>
      <c r="W70" s="197" t="str">
        <f>IFERROR(INDEX(Расходка[Наименование расходного материала],MATCH(Расходка[[#This Row],[№]],Поиск_расходки[Индекс6],0)),"")</f>
        <v/>
      </c>
      <c r="X70" s="197" t="str">
        <f>IFERROR(INDEX(Расходка[Наименование расходного материала],MATCH(Расходка[[#This Row],[№]],Поиск_расходки[Индекс7],0)),"")</f>
        <v/>
      </c>
      <c r="Y70" s="197" t="str">
        <f>IFERROR(INDEX(Расходка[Наименование расходного материала],MATCH(Расходка[[#This Row],[№]],Поиск_расходки[Индекс8],0)),"")</f>
        <v/>
      </c>
      <c r="Z70" s="197" t="str">
        <f>IFERROR(INDEX(Расходка[Наименование расходного материала],MATCH(Расходка[[#This Row],[№]],Поиск_расходки[Индекс9],0)),"")</f>
        <v>Launcher 6F AL 1</v>
      </c>
      <c r="AA70" s="197" t="str">
        <f>IFERROR(INDEX(Расходка[Наименование расходного материала],MATCH(Расходка[[#This Row],[№]],Поиск_расходки[Индекс10],0)),"")</f>
        <v>Launcher 6F AL 1</v>
      </c>
      <c r="AB70" s="197" t="str">
        <f>IFERROR(INDEX(Расходка[Наименование расходного материала],MATCH(Расходка[[#This Row],[№]],Поиск_расходки[Индекс11],0)),"")</f>
        <v>Launcher 6F AL 1</v>
      </c>
      <c r="AC70" s="197" t="str">
        <f>IFERROR(INDEX(Расходка[Наименование расходного материала],MATCH(Расходка[[#This Row],[№]],Поиск_расходки[Индекс12],0)),"")</f>
        <v>Launcher 6F AL 1</v>
      </c>
      <c r="AD70" s="197" t="str">
        <f>IFERROR(INDEX(Расходка[Наименование расходного материала],MATCH(Расходка[[#This Row],[№]],Поиск_расходки[Индекс13],0)),"")</f>
        <v>Launcher 6F AL 1</v>
      </c>
      <c r="AF70" s="4" t="s">
        <v>6</v>
      </c>
      <c r="AG70" s="4" t="s">
        <v>456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346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0</v>
      </c>
      <c r="G71" s="196">
        <f>IF(ISNUMBER(SEARCH('Карта учёта'!$B$15,Расходка[[#This Row],[Наименование расходного материала]])),MAX($G$1:G70)+1,0)</f>
        <v>0</v>
      </c>
      <c r="H71" s="196">
        <f>IF(ISNUMBER(SEARCH('Карта учёта'!$B$16,Расходка[[#This Row],[Наименование расходного материала]])),MAX($H$1:H70)+1,0)</f>
        <v>0</v>
      </c>
      <c r="I71" s="196">
        <f>IF(ISNUMBER(SEARCH('Карта учёта'!$B$17,Расходка[[#This Row],[Наименование расходного материала]])),MAX($I$1:I70)+1,0)</f>
        <v>0</v>
      </c>
      <c r="J71" s="196">
        <f>IF(ISNUMBER(SEARCH('Карта учёта'!$B$18,Расходка[[#This Row],[Наименование расходного материала]])),MAX($J$1:J70)+1,0)</f>
        <v>0</v>
      </c>
      <c r="K71" s="196">
        <f>IF(ISNUMBER(SEARCH('Карта учёта'!$B$19,Расходка[[#This Row],[Наименование расходного материала]])),MAX($K$1:K70)+1,0)</f>
        <v>0</v>
      </c>
      <c r="L71" s="196">
        <f>IF(ISNUMBER(SEARCH('Карта учёта'!$B$20,Расходка[[#This Row],[Наименование расходного материала]])),MAX($L$1:L70)+1,0)</f>
        <v>0</v>
      </c>
      <c r="M71" s="196">
        <f>IF(ISNUMBER(SEARCH('Карта учёта'!$B$21,Расходка[[#This Row],[Наименование расходного материала]])),MAX($M$1:M70)+1,0)</f>
        <v>70</v>
      </c>
      <c r="N71" s="196">
        <f>IF(ISNUMBER(SEARCH('Карта учёта'!$B$22,Расходка[[#This Row],[Наименование расходного материала]])),MAX($N$1:N70)+1,0)</f>
        <v>70</v>
      </c>
      <c r="O71" s="196">
        <f>IF(ISNUMBER(SEARCH('Карта учёта'!$B$23,Расходка[[#This Row],[Наименование расходного материала]])),MAX($O$1:O70)+1,0)</f>
        <v>70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/>
      </c>
      <c r="T71" s="197" t="str">
        <f>IFERROR(INDEX(Расходка[Наименование расходного материала],MATCH(Расходка[[#This Row],[№]],Поиск_расходки[Индекс3],0)),"")</f>
        <v/>
      </c>
      <c r="U71" s="197" t="str">
        <f>IFERROR(INDEX(Расходка[Наименование расходного материала],MATCH(Расходка[[#This Row],[№]],Поиск_расходки[Индекс4],0)),"")</f>
        <v/>
      </c>
      <c r="V71" s="197" t="str">
        <f>IFERROR(INDEX(Расходка[Наименование расходного материала],MATCH(Расходка[[#This Row],[№]],Поиск_расходки[Индекс5],0)),"")</f>
        <v/>
      </c>
      <c r="W71" s="197" t="str">
        <f>IFERROR(INDEX(Расходка[Наименование расходного материала],MATCH(Расходка[[#This Row],[№]],Поиск_расходки[Индекс6],0)),"")</f>
        <v/>
      </c>
      <c r="X71" s="197" t="str">
        <f>IFERROR(INDEX(Расходка[Наименование расходного материала],MATCH(Расходка[[#This Row],[№]],Поиск_расходки[Индекс7],0)),"")</f>
        <v/>
      </c>
      <c r="Y71" s="197" t="str">
        <f>IFERROR(INDEX(Расходка[Наименование расходного материала],MATCH(Расходка[[#This Row],[№]],Поиск_расходки[Индекс8],0)),"")</f>
        <v/>
      </c>
      <c r="Z71" s="197" t="str">
        <f>IFERROR(INDEX(Расходка[Наименование расходного материала],MATCH(Расходка[[#This Row],[№]],Поиск_расходки[Индекс9],0)),"")</f>
        <v>Launcher 6F AL 2</v>
      </c>
      <c r="AA71" s="197" t="str">
        <f>IFERROR(INDEX(Расходка[Наименование расходного материала],MATCH(Расходка[[#This Row],[№]],Поиск_расходки[Индекс10],0)),"")</f>
        <v>Launcher 6F AL 2</v>
      </c>
      <c r="AB71" s="197" t="str">
        <f>IFERROR(INDEX(Расходка[Наименование расходного материала],MATCH(Расходка[[#This Row],[№]],Поиск_расходки[Индекс11],0)),"")</f>
        <v>Launcher 6F AL 2</v>
      </c>
      <c r="AC71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71" s="4" t="s">
        <v>6</v>
      </c>
      <c r="AG71" s="4" t="s">
        <v>411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321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1</v>
      </c>
      <c r="G72" s="196">
        <f>IF(ISNUMBER(SEARCH('Карта учёта'!$B$15,Расходка[[#This Row],[Наименование расходного материала]])),MAX($G$1:G71)+1,0)</f>
        <v>0</v>
      </c>
      <c r="H72" s="196">
        <f>IF(ISNUMBER(SEARCH('Карта учёта'!$B$16,Расходка[[#This Row],[Наименование расходного материала]])),MAX($H$1:H71)+1,0)</f>
        <v>0</v>
      </c>
      <c r="I72" s="196">
        <f>IF(ISNUMBER(SEARCH('Карта учёта'!$B$17,Расходка[[#This Row],[Наименование расходного материала]])),MAX($I$1:I71)+1,0)</f>
        <v>0</v>
      </c>
      <c r="J72" s="196">
        <f>IF(ISNUMBER(SEARCH('Карта учёта'!$B$18,Расходка[[#This Row],[Наименование расходного материала]])),MAX($J$1:J71)+1,0)</f>
        <v>0</v>
      </c>
      <c r="K72" s="196">
        <f>IF(ISNUMBER(SEARCH('Карта учёта'!$B$19,Расходка[[#This Row],[Наименование расходного материала]])),MAX($K$1:K71)+1,0)</f>
        <v>0</v>
      </c>
      <c r="L72" s="196">
        <f>IF(ISNUMBER(SEARCH('Карта учёта'!$B$20,Расходка[[#This Row],[Наименование расходного материала]])),MAX($L$1:L71)+1,0)</f>
        <v>0</v>
      </c>
      <c r="M72" s="196">
        <f>IF(ISNUMBER(SEARCH('Карта учёта'!$B$21,Расходка[[#This Row],[Наименование расходного материала]])),MAX($M$1:M71)+1,0)</f>
        <v>71</v>
      </c>
      <c r="N72" s="196">
        <f>IF(ISNUMBER(SEARCH('Карта учёта'!$B$22,Расходка[[#This Row],[Наименование расходного материала]])),MAX($N$1:N71)+1,0)</f>
        <v>71</v>
      </c>
      <c r="O72" s="196">
        <f>IF(ISNUMBER(SEARCH('Карта учёта'!$B$23,Расходка[[#This Row],[Наименование расходного материала]])),MAX($O$1:O71)+1,0)</f>
        <v>71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/>
      </c>
      <c r="T72" s="197" t="str">
        <f>IFERROR(INDEX(Расходка[Наименование расходного материала],MATCH(Расходка[[#This Row],[№]],Поиск_расходки[Индекс3],0)),"")</f>
        <v/>
      </c>
      <c r="U72" s="197" t="str">
        <f>IFERROR(INDEX(Расходка[Наименование расходного материала],MATCH(Расходка[[#This Row],[№]],Поиск_расходки[Индекс4],0)),"")</f>
        <v/>
      </c>
      <c r="V72" s="197" t="str">
        <f>IFERROR(INDEX(Расходка[Наименование расходного материала],MATCH(Расходка[[#This Row],[№]],Поиск_расходки[Индекс5],0)),"")</f>
        <v/>
      </c>
      <c r="W72" s="197" t="str">
        <f>IFERROR(INDEX(Расходка[Наименование расходного материала],MATCH(Расходка[[#This Row],[№]],Поиск_расходки[Индекс6],0)),"")</f>
        <v/>
      </c>
      <c r="X72" s="197" t="str">
        <f>IFERROR(INDEX(Расходка[Наименование расходного материала],MATCH(Расходка[[#This Row],[№]],Поиск_расходки[Индекс7],0)),"")</f>
        <v/>
      </c>
      <c r="Y72" s="197" t="str">
        <f>IFERROR(INDEX(Расходка[Наименование расходного материала],MATCH(Расходка[[#This Row],[№]],Поиск_расходки[Индекс8],0)),"")</f>
        <v/>
      </c>
      <c r="Z72" s="197" t="str">
        <f>IFERROR(INDEX(Расходка[Наименование расходного материала],MATCH(Расходка[[#This Row],[№]],Поиск_расходки[Индекс9],0)),"")</f>
        <v>Launcher 6F EBU 3.5</v>
      </c>
      <c r="AA72" s="197" t="str">
        <f>IFERROR(INDEX(Расходка[Наименование расходного материала],MATCH(Расходка[[#This Row],[№]],Поиск_расходки[Индекс10],0)),"")</f>
        <v>Launcher 6F EBU 3.5</v>
      </c>
      <c r="AB72" s="197" t="str">
        <f>IFERROR(INDEX(Расходка[Наименование расходного материала],MATCH(Расходка[[#This Row],[№]],Поиск_расходки[Индекс11],0)),"")</f>
        <v>Launcher 6F EBU 3.5</v>
      </c>
      <c r="AC72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72" s="4" t="s">
        <v>6</v>
      </c>
      <c r="AG72" s="4" t="s">
        <v>457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322</v>
      </c>
      <c r="E73" s="196">
        <f>IF(ISNUMBER(SEARCH('Карта учёта'!$B$13,Расходка[[#This Row],[Наименование расходного материала]])),MAX($E$1:E72)+1,0)</f>
        <v>0</v>
      </c>
      <c r="F73" s="196">
        <f>IF(ISNUMBER(SEARCH('Карта учёта'!$B$14,Расходка[[#This Row],[Наименование расходного материала]])),MAX($F$1:F72)+1,0)</f>
        <v>0</v>
      </c>
      <c r="G73" s="196">
        <f>IF(ISNUMBER(SEARCH('Карта учёта'!$B$15,Расходка[[#This Row],[Наименование расходного материала]])),MAX($G$1:G72)+1,0)</f>
        <v>0</v>
      </c>
      <c r="H73" s="196">
        <f>IF(ISNUMBER(SEARCH('Карта учёта'!$B$16,Расходка[[#This Row],[Наименование расходного материала]])),MAX($H$1:H72)+1,0)</f>
        <v>0</v>
      </c>
      <c r="I73" s="196">
        <f>IF(ISNUMBER(SEARCH('Карта учёта'!$B$17,Расходка[[#This Row],[Наименование расходного материала]])),MAX($I$1:I72)+1,0)</f>
        <v>0</v>
      </c>
      <c r="J73" s="196">
        <f>IF(ISNUMBER(SEARCH('Карта учёта'!$B$18,Расходка[[#This Row],[Наименование расходного материала]])),MAX($J$1:J72)+1,0)</f>
        <v>0</v>
      </c>
      <c r="K73" s="196">
        <f>IF(ISNUMBER(SEARCH('Карта учёта'!$B$19,Расходка[[#This Row],[Наименование расходного материала]])),MAX($K$1:K72)+1,0)</f>
        <v>0</v>
      </c>
      <c r="L73" s="196">
        <f>IF(ISNUMBER(SEARCH('Карта учёта'!$B$20,Расходка[[#This Row],[Наименование расходного материала]])),MAX($L$1:L72)+1,0)</f>
        <v>0</v>
      </c>
      <c r="M73" s="196">
        <f>IF(ISNUMBER(SEARCH('Карта учёта'!$B$21,Расходка[[#This Row],[Наименование расходного материала]])),MAX($M$1:M72)+1,0)</f>
        <v>72</v>
      </c>
      <c r="N73" s="196">
        <f>IF(ISNUMBER(SEARCH('Карта учёта'!$B$22,Расходка[[#This Row],[Наименование расходного материала]])),MAX($N$1:N72)+1,0)</f>
        <v>72</v>
      </c>
      <c r="O73" s="196">
        <f>IF(ISNUMBER(SEARCH('Карта учёта'!$B$23,Расходка[[#This Row],[Наименование расходного материала]])),MAX($O$1:O72)+1,0)</f>
        <v>72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/>
      </c>
      <c r="T73" s="197" t="str">
        <f>IFERROR(INDEX(Расходка[Наименование расходного материала],MATCH(Расходка[[#This Row],[№]],Поиск_расходки[Индекс3],0)),"")</f>
        <v/>
      </c>
      <c r="U73" s="197" t="str">
        <f>IFERROR(INDEX(Расходка[Наименование расходного материала],MATCH(Расходка[[#This Row],[№]],Поиск_расходки[Индекс4],0)),"")</f>
        <v/>
      </c>
      <c r="V73" s="197" t="str">
        <f>IFERROR(INDEX(Расходка[Наименование расходного материала],MATCH(Расходка[[#This Row],[№]],Поиск_расходки[Индекс5],0)),"")</f>
        <v/>
      </c>
      <c r="W73" s="197" t="str">
        <f>IFERROR(INDEX(Расходка[Наименование расходного материала],MATCH(Расходка[[#This Row],[№]],Поиск_расходки[Индекс6],0)),"")</f>
        <v/>
      </c>
      <c r="X73" s="197" t="str">
        <f>IFERROR(INDEX(Расходка[Наименование расходного материала],MATCH(Расходка[[#This Row],[№]],Поиск_расходки[Индекс7],0)),"")</f>
        <v/>
      </c>
      <c r="Y73" s="197" t="str">
        <f>IFERROR(INDEX(Расходка[Наименование расходного материала],MATCH(Расходка[[#This Row],[№]],Поиск_расходки[Индекс8],0)),"")</f>
        <v/>
      </c>
      <c r="Z73" s="197" t="str">
        <f>IFERROR(INDEX(Расходка[Наименование расходного материала],MATCH(Расходка[[#This Row],[№]],Поиск_расходки[Индекс9],0)),"")</f>
        <v>Launcher 6F EBU 4.0</v>
      </c>
      <c r="AA73" s="197" t="str">
        <f>IFERROR(INDEX(Расходка[Наименование расходного материала],MATCH(Расходка[[#This Row],[№]],Поиск_расходки[Индекс10],0)),"")</f>
        <v>Launcher 6F EBU 4.0</v>
      </c>
      <c r="AB73" s="197" t="str">
        <f>IFERROR(INDEX(Расходка[Наименование расходного материала],MATCH(Расходка[[#This Row],[№]],Поиск_расходки[Индекс11],0)),"")</f>
        <v>Launcher 6F EBU 4.0</v>
      </c>
      <c r="AC73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73" s="4" t="s">
        <v>6</v>
      </c>
      <c r="AG73" s="4" t="s">
        <v>412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323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0</v>
      </c>
      <c r="G74" s="196">
        <f>IF(ISNUMBER(SEARCH('Карта учёта'!$B$15,Расходка[[#This Row],[Наименование расходного материала]])),MAX($G$1:G73)+1,0)</f>
        <v>0</v>
      </c>
      <c r="H74" s="196">
        <f>IF(ISNUMBER(SEARCH('Карта учёта'!$B$16,Расходка[[#This Row],[Наименование расходного материала]])),MAX($H$1:H73)+1,0)</f>
        <v>0</v>
      </c>
      <c r="I74" s="196">
        <f>IF(ISNUMBER(SEARCH('Карта учёта'!$B$17,Расходка[[#This Row],[Наименование расходного материала]])),MAX($I$1:I73)+1,0)</f>
        <v>0</v>
      </c>
      <c r="J74" s="196">
        <f>IF(ISNUMBER(SEARCH('Карта учёта'!$B$18,Расходка[[#This Row],[Наименование расходного материала]])),MAX($J$1:J73)+1,0)</f>
        <v>0</v>
      </c>
      <c r="K74" s="196">
        <f>IF(ISNUMBER(SEARCH('Карта учёта'!$B$19,Расходка[[#This Row],[Наименование расходного материала]])),MAX($K$1:K73)+1,0)</f>
        <v>0</v>
      </c>
      <c r="L74" s="196">
        <f>IF(ISNUMBER(SEARCH('Карта учёта'!$B$20,Расходка[[#This Row],[Наименование расходного материала]])),MAX($L$1:L73)+1,0)</f>
        <v>0</v>
      </c>
      <c r="M74" s="196">
        <f>IF(ISNUMBER(SEARCH('Карта учёта'!$B$21,Расходка[[#This Row],[Наименование расходного материала]])),MAX($M$1:M73)+1,0)</f>
        <v>73</v>
      </c>
      <c r="N74" s="196">
        <f>IF(ISNUMBER(SEARCH('Карта учёта'!$B$22,Расходка[[#This Row],[Наименование расходного материала]])),MAX($N$1:N73)+1,0)</f>
        <v>73</v>
      </c>
      <c r="O74" s="196">
        <f>IF(ISNUMBER(SEARCH('Карта учёта'!$B$23,Расходка[[#This Row],[Наименование расходного материала]])),MAX($O$1:O73)+1,0)</f>
        <v>73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/>
      </c>
      <c r="T74" s="197" t="str">
        <f>IFERROR(INDEX(Расходка[Наименование расходного материала],MATCH(Расходка[[#This Row],[№]],Поиск_расходки[Индекс3],0)),"")</f>
        <v/>
      </c>
      <c r="U74" s="197" t="str">
        <f>IFERROR(INDEX(Расходка[Наименование расходного материала],MATCH(Расходка[[#This Row],[№]],Поиск_расходки[Индекс4],0)),"")</f>
        <v/>
      </c>
      <c r="V74" s="197" t="str">
        <f>IFERROR(INDEX(Расходка[Наименование расходного материала],MATCH(Расходка[[#This Row],[№]],Поиск_расходки[Индекс5],0)),"")</f>
        <v/>
      </c>
      <c r="W74" s="197" t="str">
        <f>IFERROR(INDEX(Расходка[Наименование расходного материала],MATCH(Расходка[[#This Row],[№]],Поиск_расходки[Индекс6],0)),"")</f>
        <v/>
      </c>
      <c r="X74" s="197" t="str">
        <f>IFERROR(INDEX(Расходка[Наименование расходного материала],MATCH(Расходка[[#This Row],[№]],Поиск_расходки[Индекс7],0)),"")</f>
        <v/>
      </c>
      <c r="Y74" s="197" t="str">
        <f>IFERROR(INDEX(Расходка[Наименование расходного материала],MATCH(Расходка[[#This Row],[№]],Поиск_расходки[Индекс8],0)),"")</f>
        <v/>
      </c>
      <c r="Z74" s="197" t="str">
        <f>IFERROR(INDEX(Расходка[Наименование расходного материала],MATCH(Расходка[[#This Row],[№]],Поиск_расходки[Индекс9],0)),"")</f>
        <v>Launcher 6F JL 3.5</v>
      </c>
      <c r="AA74" s="197" t="str">
        <f>IFERROR(INDEX(Расходка[Наименование расходного материала],MATCH(Расходка[[#This Row],[№]],Поиск_расходки[Индекс10],0)),"")</f>
        <v>Launcher 6F JL 3.5</v>
      </c>
      <c r="AB74" s="197" t="str">
        <f>IFERROR(INDEX(Расходка[Наименование расходного материала],MATCH(Расходка[[#This Row],[№]],Поиск_расходки[Индекс11],0)),"")</f>
        <v>Launcher 6F JL 3.5</v>
      </c>
      <c r="AC74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4" s="4" t="s">
        <v>6</v>
      </c>
      <c r="AG74" s="4" t="s">
        <v>458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324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0</v>
      </c>
      <c r="G75" s="196">
        <f>IF(ISNUMBER(SEARCH('Карта учёта'!$B$15,Расходка[[#This Row],[Наименование расходного материала]])),MAX($G$1:G74)+1,0)</f>
        <v>0</v>
      </c>
      <c r="H75" s="196">
        <f>IF(ISNUMBER(SEARCH('Карта учёта'!$B$16,Расходка[[#This Row],[Наименование расходного материала]])),MAX($H$1:H74)+1,0)</f>
        <v>0</v>
      </c>
      <c r="I75" s="196">
        <f>IF(ISNUMBER(SEARCH('Карта учёта'!$B$17,Расходка[[#This Row],[Наименование расходного материала]])),MAX($I$1:I74)+1,0)</f>
        <v>0</v>
      </c>
      <c r="J75" s="196">
        <f>IF(ISNUMBER(SEARCH('Карта учёта'!$B$18,Расходка[[#This Row],[Наименование расходного материала]])),MAX($J$1:J74)+1,0)</f>
        <v>0</v>
      </c>
      <c r="K75" s="196">
        <f>IF(ISNUMBER(SEARCH('Карта учёта'!$B$19,Расходка[[#This Row],[Наименование расходного материала]])),MAX($K$1:K74)+1,0)</f>
        <v>0</v>
      </c>
      <c r="L75" s="196">
        <f>IF(ISNUMBER(SEARCH('Карта учёта'!$B$20,Расходка[[#This Row],[Наименование расходного материала]])),MAX($L$1:L74)+1,0)</f>
        <v>0</v>
      </c>
      <c r="M75" s="196">
        <f>IF(ISNUMBER(SEARCH('Карта учёта'!$B$21,Расходка[[#This Row],[Наименование расходного материала]])),MAX($M$1:M74)+1,0)</f>
        <v>74</v>
      </c>
      <c r="N75" s="196">
        <f>IF(ISNUMBER(SEARCH('Карта учёта'!$B$22,Расходка[[#This Row],[Наименование расходного материала]])),MAX($N$1:N74)+1,0)</f>
        <v>74</v>
      </c>
      <c r="O75" s="196">
        <f>IF(ISNUMBER(SEARCH('Карта учёта'!$B$23,Расходка[[#This Row],[Наименование расходного материала]])),MAX($O$1:O74)+1,0)</f>
        <v>74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/>
      </c>
      <c r="T75" s="197" t="str">
        <f>IFERROR(INDEX(Расходка[Наименование расходного материала],MATCH(Расходка[[#This Row],[№]],Поиск_расходки[Индекс3],0)),"")</f>
        <v/>
      </c>
      <c r="U75" s="197" t="str">
        <f>IFERROR(INDEX(Расходка[Наименование расходного материала],MATCH(Расходка[[#This Row],[№]],Поиск_расходки[Индекс4],0)),"")</f>
        <v/>
      </c>
      <c r="V75" s="197" t="str">
        <f>IFERROR(INDEX(Расходка[Наименование расходного материала],MATCH(Расходка[[#This Row],[№]],Поиск_расходки[Индекс5],0)),"")</f>
        <v/>
      </c>
      <c r="W75" s="197" t="str">
        <f>IFERROR(INDEX(Расходка[Наименование расходного материала],MATCH(Расходка[[#This Row],[№]],Поиск_расходки[Индекс6],0)),"")</f>
        <v/>
      </c>
      <c r="X75" s="197" t="str">
        <f>IFERROR(INDEX(Расходка[Наименование расходного материала],MATCH(Расходка[[#This Row],[№]],Поиск_расходки[Индекс7],0)),"")</f>
        <v/>
      </c>
      <c r="Y75" s="197" t="str">
        <f>IFERROR(INDEX(Расходка[Наименование расходного материала],MATCH(Расходка[[#This Row],[№]],Поиск_расходки[Индекс8],0)),"")</f>
        <v/>
      </c>
      <c r="Z75" s="197" t="str">
        <f>IFERROR(INDEX(Расходка[Наименование расходного материала],MATCH(Расходка[[#This Row],[№]],Поиск_расходки[Индекс9],0)),"")</f>
        <v>Launcher 6F JL 4.0</v>
      </c>
      <c r="AA75" s="197" t="str">
        <f>IFERROR(INDEX(Расходка[Наименование расходного материала],MATCH(Расходка[[#This Row],[№]],Поиск_расходки[Индекс10],0)),"")</f>
        <v>Launcher 6F JL 4.0</v>
      </c>
      <c r="AB75" s="197" t="str">
        <f>IFERROR(INDEX(Расходка[Наименование расходного материала],MATCH(Расходка[[#This Row],[№]],Поиск_расходки[Индекс11],0)),"")</f>
        <v>Launcher 6F JL 4.0</v>
      </c>
      <c r="AC75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5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5" s="4" t="s">
        <v>6</v>
      </c>
      <c r="AG75" s="4" t="s">
        <v>459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330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0</v>
      </c>
      <c r="G76" s="196">
        <f>IF(ISNUMBER(SEARCH('Карта учёта'!$B$15,Расходка[[#This Row],[Наименование расходного материала]])),MAX($G$1:G75)+1,0)</f>
        <v>0</v>
      </c>
      <c r="H76" s="196">
        <f>IF(ISNUMBER(SEARCH('Карта учёта'!$B$16,Расходка[[#This Row],[Наименование расходного материала]])),MAX($H$1:H75)+1,0)</f>
        <v>0</v>
      </c>
      <c r="I76" s="196">
        <f>IF(ISNUMBER(SEARCH('Карта учёта'!$B$17,Расходка[[#This Row],[Наименование расходного материала]])),MAX($I$1:I75)+1,0)</f>
        <v>0</v>
      </c>
      <c r="J76" s="196">
        <f>IF(ISNUMBER(SEARCH('Карта учёта'!$B$18,Расходка[[#This Row],[Наименование расходного материала]])),MAX($J$1:J75)+1,0)</f>
        <v>0</v>
      </c>
      <c r="K76" s="196">
        <f>IF(ISNUMBER(SEARCH('Карта учёта'!$B$19,Расходка[[#This Row],[Наименование расходного материала]])),MAX($K$1:K75)+1,0)</f>
        <v>0</v>
      </c>
      <c r="L76" s="196">
        <f>IF(ISNUMBER(SEARCH('Карта учёта'!$B$20,Расходка[[#This Row],[Наименование расходного материала]])),MAX($L$1:L75)+1,0)</f>
        <v>0</v>
      </c>
      <c r="M76" s="196">
        <f>IF(ISNUMBER(SEARCH('Карта учёта'!$B$21,Расходка[[#This Row],[Наименование расходного материала]])),MAX($M$1:M75)+1,0)</f>
        <v>75</v>
      </c>
      <c r="N76" s="196">
        <f>IF(ISNUMBER(SEARCH('Карта учёта'!$B$22,Расходка[[#This Row],[Наименование расходного материала]])),MAX($N$1:N75)+1,0)</f>
        <v>75</v>
      </c>
      <c r="O76" s="196">
        <f>IF(ISNUMBER(SEARCH('Карта учёта'!$B$23,Расходка[[#This Row],[Наименование расходного материала]])),MAX($O$1:O75)+1,0)</f>
        <v>75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/>
      </c>
      <c r="T76" s="197" t="str">
        <f>IFERROR(INDEX(Расходка[Наименование расходного материала],MATCH(Расходка[[#This Row],[№]],Поиск_расходки[Индекс3],0)),"")</f>
        <v/>
      </c>
      <c r="U76" s="197" t="str">
        <f>IFERROR(INDEX(Расходка[Наименование расходного материала],MATCH(Расходка[[#This Row],[№]],Поиск_расходки[Индекс4],0)),"")</f>
        <v/>
      </c>
      <c r="V76" s="197" t="str">
        <f>IFERROR(INDEX(Расходка[Наименование расходного материала],MATCH(Расходка[[#This Row],[№]],Поиск_расходки[Индекс5],0)),"")</f>
        <v/>
      </c>
      <c r="W76" s="197" t="str">
        <f>IFERROR(INDEX(Расходка[Наименование расходного материала],MATCH(Расходка[[#This Row],[№]],Поиск_расходки[Индекс6],0)),"")</f>
        <v/>
      </c>
      <c r="X76" s="197" t="str">
        <f>IFERROR(INDEX(Расходка[Наименование расходного материала],MATCH(Расходка[[#This Row],[№]],Поиск_расходки[Индекс7],0)),"")</f>
        <v/>
      </c>
      <c r="Y76" s="197" t="str">
        <f>IFERROR(INDEX(Расходка[Наименование расходного материала],MATCH(Расходка[[#This Row],[№]],Поиск_расходки[Индекс8],0)),"")</f>
        <v/>
      </c>
      <c r="Z76" s="197" t="str">
        <f>IFERROR(INDEX(Расходка[Наименование расходного материала],MATCH(Расходка[[#This Row],[№]],Поиск_расходки[Индекс9],0)),"")</f>
        <v>Launcher 6F JL 4.5</v>
      </c>
      <c r="AA76" s="197" t="str">
        <f>IFERROR(INDEX(Расходка[Наименование расходного материала],MATCH(Расходка[[#This Row],[№]],Поиск_расходки[Индекс10],0)),"")</f>
        <v>Launcher 6F JL 4.5</v>
      </c>
      <c r="AB76" s="197" t="str">
        <f>IFERROR(INDEX(Расходка[Наименование расходного материала],MATCH(Расходка[[#This Row],[№]],Поиск_расходки[Индекс11],0)),"")</f>
        <v>Launcher 6F JL 4.5</v>
      </c>
      <c r="AC76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6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6" s="4" t="s">
        <v>6</v>
      </c>
      <c r="AG76" s="4" t="s">
        <v>460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325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0</v>
      </c>
      <c r="G77" s="196">
        <f>IF(ISNUMBER(SEARCH('Карта учёта'!$B$15,Расходка[[#This Row],[Наименование расходного материала]])),MAX($G$1:G76)+1,0)</f>
        <v>1</v>
      </c>
      <c r="H77" s="196">
        <f>IF(ISNUMBER(SEARCH('Карта учёта'!$B$16,Расходка[[#This Row],[Наименование расходного материала]])),MAX($H$1:H76)+1,0)</f>
        <v>0</v>
      </c>
      <c r="I77" s="196">
        <f>IF(ISNUMBER(SEARCH('Карта учёта'!$B$17,Расходка[[#This Row],[Наименование расходного материала]])),MAX($I$1:I76)+1,0)</f>
        <v>0</v>
      </c>
      <c r="J77" s="196">
        <f>IF(ISNUMBER(SEARCH('Карта учёта'!$B$18,Расходка[[#This Row],[Наименование расходного материала]])),MAX($J$1:J76)+1,0)</f>
        <v>0</v>
      </c>
      <c r="K77" s="196">
        <f>IF(ISNUMBER(SEARCH('Карта учёта'!$B$19,Расходка[[#This Row],[Наименование расходного материала]])),MAX($K$1:K76)+1,0)</f>
        <v>0</v>
      </c>
      <c r="L77" s="196">
        <f>IF(ISNUMBER(SEARCH('Карта учёта'!$B$20,Расходка[[#This Row],[Наименование расходного материала]])),MAX($L$1:L76)+1,0)</f>
        <v>0</v>
      </c>
      <c r="M77" s="196">
        <f>IF(ISNUMBER(SEARCH('Карта учёта'!$B$21,Расходка[[#This Row],[Наименование расходного материала]])),MAX($M$1:M76)+1,0)</f>
        <v>76</v>
      </c>
      <c r="N77" s="196">
        <f>IF(ISNUMBER(SEARCH('Карта учёта'!$B$22,Расходка[[#This Row],[Наименование расходного материала]])),MAX($N$1:N76)+1,0)</f>
        <v>76</v>
      </c>
      <c r="O77" s="196">
        <f>IF(ISNUMBER(SEARCH('Карта учёта'!$B$23,Расходка[[#This Row],[Наименование расходного материала]])),MAX($O$1:O76)+1,0)</f>
        <v>76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/>
      </c>
      <c r="T77" s="197" t="str">
        <f>IFERROR(INDEX(Расходка[Наименование расходного материала],MATCH(Расходка[[#This Row],[№]],Поиск_расходки[Индекс3],0)),"")</f>
        <v/>
      </c>
      <c r="U77" s="197" t="str">
        <f>IFERROR(INDEX(Расходка[Наименование расходного материала],MATCH(Расходка[[#This Row],[№]],Поиск_расходки[Индекс4],0)),"")</f>
        <v/>
      </c>
      <c r="V77" s="197" t="str">
        <f>IFERROR(INDEX(Расходка[Наименование расходного материала],MATCH(Расходка[[#This Row],[№]],Поиск_расходки[Индекс5],0)),"")</f>
        <v/>
      </c>
      <c r="W77" s="197" t="str">
        <f>IFERROR(INDEX(Расходка[Наименование расходного материала],MATCH(Расходка[[#This Row],[№]],Поиск_расходки[Индекс6],0)),"")</f>
        <v/>
      </c>
      <c r="X77" s="197" t="str">
        <f>IFERROR(INDEX(Расходка[Наименование расходного материала],MATCH(Расходка[[#This Row],[№]],Поиск_расходки[Индекс7],0)),"")</f>
        <v/>
      </c>
      <c r="Y77" s="197" t="str">
        <f>IFERROR(INDEX(Расходка[Наименование расходного материала],MATCH(Расходка[[#This Row],[№]],Поиск_расходки[Индекс8],0)),"")</f>
        <v/>
      </c>
      <c r="Z77" s="197" t="str">
        <f>IFERROR(INDEX(Расходка[Наименование расходного материала],MATCH(Расходка[[#This Row],[№]],Поиск_расходки[Индекс9],0)),"")</f>
        <v>Launcher 6F JR 3.5</v>
      </c>
      <c r="AA77" s="197" t="str">
        <f>IFERROR(INDEX(Расходка[Наименование расходного материала],MATCH(Расходка[[#This Row],[№]],Поиск_расходки[Индекс10],0)),"")</f>
        <v>Launcher 6F JR 3.5</v>
      </c>
      <c r="AB77" s="197" t="str">
        <f>IFERROR(INDEX(Расходка[Наименование расходного материала],MATCH(Расходка[[#This Row],[№]],Поиск_расходки[Индекс11],0)),"")</f>
        <v>Launcher 6F JR 3.5</v>
      </c>
      <c r="AC77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7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7" s="4" t="s">
        <v>6</v>
      </c>
      <c r="AG77" s="4" t="s">
        <v>461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326</v>
      </c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0</v>
      </c>
      <c r="G78" s="196">
        <f>IF(ISNUMBER(SEARCH('Карта учёта'!$B$15,Расходка[[#This Row],[Наименование расходного материала]])),MAX($G$1:G77)+1,0)</f>
        <v>0</v>
      </c>
      <c r="H78" s="196">
        <f>IF(ISNUMBER(SEARCH('Карта учёта'!$B$16,Расходка[[#This Row],[Наименование расходного материала]])),MAX($H$1:H77)+1,0)</f>
        <v>0</v>
      </c>
      <c r="I78" s="196">
        <f>IF(ISNUMBER(SEARCH('Карта учёта'!$B$17,Расходка[[#This Row],[Наименование расходного материала]])),MAX($I$1:I77)+1,0)</f>
        <v>0</v>
      </c>
      <c r="J78" s="196">
        <f>IF(ISNUMBER(SEARCH('Карта учёта'!$B$18,Расходка[[#This Row],[Наименование расходного материала]])),MAX($J$1:J77)+1,0)</f>
        <v>0</v>
      </c>
      <c r="K78" s="196">
        <f>IF(ISNUMBER(SEARCH('Карта учёта'!$B$19,Расходка[[#This Row],[Наименование расходного материала]])),MAX($K$1:K77)+1,0)</f>
        <v>0</v>
      </c>
      <c r="L78" s="196">
        <f>IF(ISNUMBER(SEARCH('Карта учёта'!$B$20,Расходка[[#This Row],[Наименование расходного материала]])),MAX($L$1:L77)+1,0)</f>
        <v>0</v>
      </c>
      <c r="M78" s="196">
        <f>IF(ISNUMBER(SEARCH('Карта учёта'!$B$21,Расходка[[#This Row],[Наименование расходного материала]])),MAX($M$1:M77)+1,0)</f>
        <v>77</v>
      </c>
      <c r="N78" s="196">
        <f>IF(ISNUMBER(SEARCH('Карта учёта'!$B$22,Расходка[[#This Row],[Наименование расходного материала]])),MAX($N$1:N77)+1,0)</f>
        <v>77</v>
      </c>
      <c r="O78" s="196">
        <f>IF(ISNUMBER(SEARCH('Карта учёта'!$B$23,Расходка[[#This Row],[Наименование расходного материала]])),MAX($O$1:O77)+1,0)</f>
        <v>77</v>
      </c>
      <c r="P78" s="196">
        <f>IF(ISNUMBER(SEARCH('Карта учёта'!$B$24,Расходка[[#This Row],[Наименование расходного материала]])),MAX($P$1:P77)+1,0)</f>
        <v>77</v>
      </c>
      <c r="Q78" s="196">
        <f>IF(ISNUMBER(SEARCH('Карта учёта'!$B$25,Расходка[[#This Row],[Наименование расходного материала]])),MAX($Q$1:Q77)+1,0)</f>
        <v>77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/>
      </c>
      <c r="T78" s="197" t="str">
        <f>IFERROR(INDEX(Расходка[Наименование расходного материала],MATCH(Расходка[[#This Row],[№]],Поиск_расходки[Индекс3],0)),"")</f>
        <v/>
      </c>
      <c r="U78" s="197" t="str">
        <f>IFERROR(INDEX(Расходка[Наименование расходного материала],MATCH(Расходка[[#This Row],[№]],Поиск_расходки[Индекс4],0)),"")</f>
        <v/>
      </c>
      <c r="V78" s="197" t="str">
        <f>IFERROR(INDEX(Расходка[Наименование расходного материала],MATCH(Расходка[[#This Row],[№]],Поиск_расходки[Индекс5],0)),"")</f>
        <v/>
      </c>
      <c r="W78" s="197" t="str">
        <f>IFERROR(INDEX(Расходка[Наименование расходного материала],MATCH(Расходка[[#This Row],[№]],Поиск_расходки[Индекс6],0)),"")</f>
        <v/>
      </c>
      <c r="X78" s="197" t="str">
        <f>IFERROR(INDEX(Расходка[Наименование расходного материала],MATCH(Расходка[[#This Row],[№]],Поиск_расходки[Индекс7],0)),"")</f>
        <v/>
      </c>
      <c r="Y78" s="197" t="str">
        <f>IFERROR(INDEX(Расходка[Наименование расходного материала],MATCH(Расходка[[#This Row],[№]],Поиск_расходки[Индекс8],0)),"")</f>
        <v/>
      </c>
      <c r="Z78" s="197" t="str">
        <f>IFERROR(INDEX(Расходка[Наименование расходного материала],MATCH(Расходка[[#This Row],[№]],Поиск_расходки[Индекс9],0)),"")</f>
        <v>Launcher 6F JR 4.0</v>
      </c>
      <c r="AA78" s="197" t="str">
        <f>IFERROR(INDEX(Расходка[Наименование расходного материала],MATCH(Расходка[[#This Row],[№]],Поиск_расходки[Индекс10],0)),"")</f>
        <v>Launcher 6F JR 4.0</v>
      </c>
      <c r="AB78" s="197" t="str">
        <f>IFERROR(INDEX(Расходка[Наименование расходного материала],MATCH(Расходка[[#This Row],[№]],Поиск_расходки[Индекс11],0)),"")</f>
        <v>Launcher 6F JR 4.0</v>
      </c>
      <c r="AC78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8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8" s="4" t="s">
        <v>6</v>
      </c>
      <c r="AG78" s="4" t="s">
        <v>462</v>
      </c>
    </row>
    <row r="79" spans="1:33">
      <c r="A79">
        <f>ROW(Расходка[[#This Row],[Тип расходного материала ]])-1</f>
        <v>78</v>
      </c>
      <c r="B79" t="s">
        <v>4</v>
      </c>
      <c r="C79" t="s">
        <v>336</v>
      </c>
      <c r="E79" s="196">
        <f>IF(ISNUMBER(SEARCH('Карта учёта'!$B$13,Расходка[[#This Row],[Наименование расходного материала]])),MAX($E$1:E78)+1,0)</f>
        <v>0</v>
      </c>
      <c r="F79" s="196">
        <f>IF(ISNUMBER(SEARCH('Карта учёта'!$B$14,Расходка[[#This Row],[Наименование расходного материала]])),MAX($F$1:F78)+1,0)</f>
        <v>0</v>
      </c>
      <c r="G79" s="196">
        <f>IF(ISNUMBER(SEARCH('Карта учёта'!$B$15,Расходка[[#This Row],[Наименование расходного материала]])),MAX($G$1:G78)+1,0)</f>
        <v>0</v>
      </c>
      <c r="H79" s="196">
        <f>IF(ISNUMBER(SEARCH('Карта учёта'!$B$16,Расходка[[#This Row],[Наименование расходного материала]])),MAX($H$1:H78)+1,0)</f>
        <v>0</v>
      </c>
      <c r="I79" s="196">
        <f>IF(ISNUMBER(SEARCH('Карта учёта'!$B$17,Расходка[[#This Row],[Наименование расходного материала]])),MAX($I$1:I78)+1,0)</f>
        <v>0</v>
      </c>
      <c r="J79" s="196">
        <f>IF(ISNUMBER(SEARCH('Карта учёта'!$B$18,Расходка[[#This Row],[Наименование расходного материала]])),MAX($J$1:J78)+1,0)</f>
        <v>0</v>
      </c>
      <c r="K79" s="196">
        <f>IF(ISNUMBER(SEARCH('Карта учёта'!$B$19,Расходка[[#This Row],[Наименование расходного материала]])),MAX($K$1:K78)+1,0)</f>
        <v>0</v>
      </c>
      <c r="L79" s="196">
        <f>IF(ISNUMBER(SEARCH('Карта учёта'!$B$20,Расходка[[#This Row],[Наименование расходного материала]])),MAX($L$1:L78)+1,0)</f>
        <v>0</v>
      </c>
      <c r="M79" s="196">
        <f>IF(ISNUMBER(SEARCH('Карта учёта'!$B$21,Расходка[[#This Row],[Наименование расходного материала]])),MAX($M$1:M78)+1,0)</f>
        <v>78</v>
      </c>
      <c r="N79" s="196">
        <f>IF(ISNUMBER(SEARCH('Карта учёта'!$B$22,Расходка[[#This Row],[Наименование расходного материала]])),MAX($N$1:N78)+1,0)</f>
        <v>78</v>
      </c>
      <c r="O79" s="196">
        <f>IF(ISNUMBER(SEARCH('Карта учёта'!$B$23,Расходка[[#This Row],[Наименование расходного материала]])),MAX($O$1:O78)+1,0)</f>
        <v>78</v>
      </c>
      <c r="P79" s="196">
        <f>IF(ISNUMBER(SEARCH('Карта учёта'!$B$24,Расходка[[#This Row],[Наименование расходного материала]])),MAX($P$1:P78)+1,0)</f>
        <v>78</v>
      </c>
      <c r="Q79" s="196">
        <f>IF(ISNUMBER(SEARCH('Карта учёта'!$B$25,Расходка[[#This Row],[Наименование расходного материала]])),MAX($Q$1:Q78)+1,0)</f>
        <v>78</v>
      </c>
      <c r="R79" s="197" t="str">
        <f>IFERROR(INDEX(Расходка[Наименование расходного материала],MATCH(Расходка[[#This Row],[№]],Поиск_расходки[Индекс1],0)),"")</f>
        <v/>
      </c>
      <c r="S79" s="197" t="str">
        <f>IFERROR(INDEX(Расходка[Наименование расходного материала],MATCH(Расходка[[#This Row],[№]],Поиск_расходки[Индекс2],0)),"")</f>
        <v/>
      </c>
      <c r="T79" s="197" t="str">
        <f>IFERROR(INDEX(Расходка[Наименование расходного материала],MATCH(Расходка[[#This Row],[№]],Поиск_расходки[Индекс3],0)),"")</f>
        <v/>
      </c>
      <c r="U79" s="197" t="str">
        <f>IFERROR(INDEX(Расходка[Наименование расходного материала],MATCH(Расходка[[#This Row],[№]],Поиск_расходки[Индекс4],0)),"")</f>
        <v/>
      </c>
      <c r="V79" s="197" t="str">
        <f>IFERROR(INDEX(Расходка[Наименование расходного материала],MATCH(Расходка[[#This Row],[№]],Поиск_расходки[Индекс5],0)),"")</f>
        <v/>
      </c>
      <c r="W79" s="197" t="str">
        <f>IFERROR(INDEX(Расходка[Наименование расходного материала],MATCH(Расходка[[#This Row],[№]],Поиск_расходки[Индекс6],0)),"")</f>
        <v/>
      </c>
      <c r="X79" s="197" t="str">
        <f>IFERROR(INDEX(Расходка[Наименование расходного материала],MATCH(Расходка[[#This Row],[№]],Поиск_расходки[Индекс7],0)),"")</f>
        <v/>
      </c>
      <c r="Y79" s="197" t="str">
        <f>IFERROR(INDEX(Расходка[Наименование расходного материала],MATCH(Расходка[[#This Row],[№]],Поиск_расходки[Индекс8],0)),"")</f>
        <v/>
      </c>
      <c r="Z79" s="197" t="str">
        <f>IFERROR(INDEX(Расходка[Наименование расходного материала],MATCH(Расходка[[#This Row],[№]],Поиск_расходки[Индекс9],0)),"")</f>
        <v>Launcher 7F JL 3.5</v>
      </c>
      <c r="AA79" s="197" t="str">
        <f>IFERROR(INDEX(Расходка[Наименование расходного материала],MATCH(Расходка[[#This Row],[№]],Поиск_расходки[Индекс10],0)),"")</f>
        <v>Launcher 7F JL 3.5</v>
      </c>
      <c r="AB79" s="197" t="str">
        <f>IFERROR(INDEX(Расходка[Наименование расходного материала],MATCH(Расходка[[#This Row],[№]],Поиск_расходки[Индекс11],0)),"")</f>
        <v>Launcher 7F JL 3.5</v>
      </c>
      <c r="AC79" s="197" t="str">
        <f>IFERROR(INDEX(Расходка[Наименование расходного материала],MATCH(Расходка[[#This Row],[№]],Поиск_расходки[Индекс12],0)),"")</f>
        <v>Launcher 7F JL 3.5</v>
      </c>
      <c r="AD79" s="197" t="str">
        <f>IFERROR(INDEX(Расходка[Наименование расходного материала],MATCH(Расходка[[#This Row],[№]],Поиск_расходки[Индекс13],0)),"")</f>
        <v>Launcher 7F JL 3.5</v>
      </c>
      <c r="AF79" s="4" t="s">
        <v>6</v>
      </c>
      <c r="AG79" s="4" t="s">
        <v>463</v>
      </c>
    </row>
    <row r="80" spans="1:33">
      <c r="A80">
        <f>ROW(Расходка[[#This Row],[Тип расходного материала ]])-1</f>
        <v>79</v>
      </c>
      <c r="B80" t="s">
        <v>4</v>
      </c>
      <c r="C80" t="s">
        <v>335</v>
      </c>
      <c r="E80" s="196">
        <f>IF(ISNUMBER(SEARCH('Карта учёта'!$B$13,Расходка[[#This Row],[Наименование расходного материала]])),MAX($E$1:E79)+1,0)</f>
        <v>0</v>
      </c>
      <c r="F80" s="196">
        <f>IF(ISNUMBER(SEARCH('Карта учёта'!$B$14,Расходка[[#This Row],[Наименование расходного материала]])),MAX($F$1:F79)+1,0)</f>
        <v>0</v>
      </c>
      <c r="G80" s="196">
        <f>IF(ISNUMBER(SEARCH('Карта учёта'!$B$15,Расходка[[#This Row],[Наименование расходного материала]])),MAX($G$1:G79)+1,0)</f>
        <v>0</v>
      </c>
      <c r="H80" s="196">
        <f>IF(ISNUMBER(SEARCH('Карта учёта'!$B$16,Расходка[[#This Row],[Наименование расходного материала]])),MAX($H$1:H79)+1,0)</f>
        <v>0</v>
      </c>
      <c r="I80" s="196">
        <f>IF(ISNUMBER(SEARCH('Карта учёта'!$B$17,Расходка[[#This Row],[Наименование расходного материала]])),MAX($I$1:I79)+1,0)</f>
        <v>0</v>
      </c>
      <c r="J80" s="196">
        <f>IF(ISNUMBER(SEARCH('Карта учёта'!$B$18,Расходка[[#This Row],[Наименование расходного материала]])),MAX($J$1:J79)+1,0)</f>
        <v>0</v>
      </c>
      <c r="K80" s="196">
        <f>IF(ISNUMBER(SEARCH('Карта учёта'!$B$19,Расходка[[#This Row],[Наименование расходного материала]])),MAX($K$1:K79)+1,0)</f>
        <v>0</v>
      </c>
      <c r="L80" s="196">
        <f>IF(ISNUMBER(SEARCH('Карта учёта'!$B$20,Расходка[[#This Row],[Наименование расходного материала]])),MAX($L$1:L79)+1,0)</f>
        <v>0</v>
      </c>
      <c r="M80" s="196">
        <f>IF(ISNUMBER(SEARCH('Карта учёта'!$B$21,Расходка[[#This Row],[Наименование расходного материала]])),MAX($M$1:M79)+1,0)</f>
        <v>79</v>
      </c>
      <c r="N80" s="196">
        <f>IF(ISNUMBER(SEARCH('Карта учёта'!$B$22,Расходка[[#This Row],[Наименование расходного материала]])),MAX($N$1:N79)+1,0)</f>
        <v>79</v>
      </c>
      <c r="O80" s="196">
        <f>IF(ISNUMBER(SEARCH('Карта учёта'!$B$23,Расходка[[#This Row],[Наименование расходного материала]])),MAX($O$1:O79)+1,0)</f>
        <v>79</v>
      </c>
      <c r="P80" s="196">
        <f>IF(ISNUMBER(SEARCH('Карта учёта'!$B$24,Расходка[[#This Row],[Наименование расходного материала]])),MAX($P$1:P79)+1,0)</f>
        <v>79</v>
      </c>
      <c r="Q80" s="196">
        <f>IF(ISNUMBER(SEARCH('Карта учёта'!$B$25,Расходка[[#This Row],[Наименование расходного материала]])),MAX($Q$1:Q79)+1,0)</f>
        <v>79</v>
      </c>
      <c r="R80" s="197" t="str">
        <f>IFERROR(INDEX(Расходка[Наименование расходного материала],MATCH(Расходка[[#This Row],[№]],Поиск_расходки[Индекс1],0)),"")</f>
        <v/>
      </c>
      <c r="S80" s="197" t="str">
        <f>IFERROR(INDEX(Расходка[Наименование расходного материала],MATCH(Расходка[[#This Row],[№]],Поиск_расходки[Индекс2],0)),"")</f>
        <v/>
      </c>
      <c r="T80" s="197" t="str">
        <f>IFERROR(INDEX(Расходка[Наименование расходного материала],MATCH(Расходка[[#This Row],[№]],Поиск_расходки[Индекс3],0)),"")</f>
        <v/>
      </c>
      <c r="U80" s="197" t="str">
        <f>IFERROR(INDEX(Расходка[Наименование расходного материала],MATCH(Расходка[[#This Row],[№]],Поиск_расходки[Индекс4],0)),"")</f>
        <v/>
      </c>
      <c r="V80" s="197" t="str">
        <f>IFERROR(INDEX(Расходка[Наименование расходного материала],MATCH(Расходка[[#This Row],[№]],Поиск_расходки[Индекс5],0)),"")</f>
        <v/>
      </c>
      <c r="W80" s="197" t="str">
        <f>IFERROR(INDEX(Расходка[Наименование расходного материала],MATCH(Расходка[[#This Row],[№]],Поиск_расходки[Индекс6],0)),"")</f>
        <v/>
      </c>
      <c r="X80" s="197" t="str">
        <f>IFERROR(INDEX(Расходка[Наименование расходного материала],MATCH(Расходка[[#This Row],[№]],Поиск_расходки[Индекс7],0)),"")</f>
        <v/>
      </c>
      <c r="Y80" s="197" t="str">
        <f>IFERROR(INDEX(Расходка[Наименование расходного материала],MATCH(Расходка[[#This Row],[№]],Поиск_расходки[Индекс8],0)),"")</f>
        <v/>
      </c>
      <c r="Z80" s="197" t="str">
        <f>IFERROR(INDEX(Расходка[Наименование расходного материала],MATCH(Расходка[[#This Row],[№]],Поиск_расходки[Индекс9],0)),"")</f>
        <v>Launcher 7F JL 4.0</v>
      </c>
      <c r="AA80" s="197" t="str">
        <f>IFERROR(INDEX(Расходка[Наименование расходного материала],MATCH(Расходка[[#This Row],[№]],Поиск_расходки[Индекс10],0)),"")</f>
        <v>Launcher 7F JL 4.0</v>
      </c>
      <c r="AB80" s="197" t="str">
        <f>IFERROR(INDEX(Расходка[Наименование расходного материала],MATCH(Расходка[[#This Row],[№]],Поиск_расходки[Индекс11],0)),"")</f>
        <v>Launcher 7F JL 4.0</v>
      </c>
      <c r="AC80" s="197" t="str">
        <f>IFERROR(INDEX(Расходка[Наименование расходного материала],MATCH(Расходка[[#This Row],[№]],Поиск_расходки[Индекс12],0)),"")</f>
        <v>Launcher 7F JL 4.0</v>
      </c>
      <c r="AD80" s="197" t="str">
        <f>IFERROR(INDEX(Расходка[Наименование расходного материала],MATCH(Расходка[[#This Row],[№]],Поиск_расходки[Индекс13],0)),"")</f>
        <v>Launcher 7F JL 4.0</v>
      </c>
      <c r="AF80" s="4" t="s">
        <v>6</v>
      </c>
      <c r="AG80" s="4" t="s">
        <v>464</v>
      </c>
    </row>
    <row r="81" spans="1:33">
      <c r="A81">
        <f>ROW(Расходка[[#This Row],[Тип расходного материала ]])-1</f>
        <v>80</v>
      </c>
      <c r="B81" t="s">
        <v>298</v>
      </c>
      <c r="C81" s="1" t="s">
        <v>327</v>
      </c>
      <c r="E81" s="196">
        <f>IF(ISNUMBER(SEARCH('Карта учёта'!$B$13,Расходка[[#This Row],[Наименование расходного материала]])),MAX($E$1:E80)+1,0)</f>
        <v>0</v>
      </c>
      <c r="F81" s="196">
        <f>IF(ISNUMBER(SEARCH('Карта учёта'!$B$14,Расходка[[#This Row],[Наименование расходного материала]])),MAX($F$1:F80)+1,0)</f>
        <v>0</v>
      </c>
      <c r="G81" s="196">
        <f>IF(ISNUMBER(SEARCH('Карта учёта'!$B$15,Расходка[[#This Row],[Наименование расходного материала]])),MAX($G$1:G80)+1,0)</f>
        <v>0</v>
      </c>
      <c r="H81" s="196">
        <f>IF(ISNUMBER(SEARCH('Карта учёта'!$B$16,Расходка[[#This Row],[Наименование расходного материала]])),MAX($H$1:H80)+1,0)</f>
        <v>0</v>
      </c>
      <c r="I81" s="196">
        <f>IF(ISNUMBER(SEARCH('Карта учёта'!$B$17,Расходка[[#This Row],[Наименование расходного материала]])),MAX($I$1:I80)+1,0)</f>
        <v>0</v>
      </c>
      <c r="J81" s="196">
        <f>IF(ISNUMBER(SEARCH('Карта учёта'!$B$18,Расходка[[#This Row],[Наименование расходного материала]])),MAX($J$1:J80)+1,0)</f>
        <v>0</v>
      </c>
      <c r="K81" s="196">
        <f>IF(ISNUMBER(SEARCH('Карта учёта'!$B$19,Расходка[[#This Row],[Наименование расходного материала]])),MAX($K$1:K80)+1,0)</f>
        <v>0</v>
      </c>
      <c r="L81" s="196">
        <f>IF(ISNUMBER(SEARCH('Карта учёта'!$B$20,Расходка[[#This Row],[Наименование расходного материала]])),MAX($L$1:L80)+1,0)</f>
        <v>1</v>
      </c>
      <c r="M81" s="196">
        <f>IF(ISNUMBER(SEARCH('Карта учёта'!$B$21,Расходка[[#This Row],[Наименование расходного материала]])),MAX($M$1:M80)+1,0)</f>
        <v>80</v>
      </c>
      <c r="N81" s="196">
        <f>IF(ISNUMBER(SEARCH('Карта учёта'!$B$22,Расходка[[#This Row],[Наименование расходного материала]])),MAX($N$1:N80)+1,0)</f>
        <v>80</v>
      </c>
      <c r="O81" s="196">
        <f>IF(ISNUMBER(SEARCH('Карта учёта'!$B$23,Расходка[[#This Row],[Наименование расходного материала]])),MAX($O$1:O80)+1,0)</f>
        <v>80</v>
      </c>
      <c r="P81" s="196">
        <f>IF(ISNUMBER(SEARCH('Карта учёта'!$B$24,Расходка[[#This Row],[Наименование расходного материала]])),MAX($P$1:P80)+1,0)</f>
        <v>80</v>
      </c>
      <c r="Q81" s="196">
        <f>IF(ISNUMBER(SEARCH('Карта учёта'!$B$25,Расходка[[#This Row],[Наименование расходного материала]])),MAX($Q$1:Q80)+1,0)</f>
        <v>80</v>
      </c>
      <c r="R81" s="197" t="str">
        <f>IFERROR(INDEX(Расходка[Наименование расходного материала],MATCH(Расходка[[#This Row],[№]],Поиск_расходки[Индекс1],0)),"")</f>
        <v/>
      </c>
      <c r="S81" s="197" t="str">
        <f>IFERROR(INDEX(Расходка[Наименование расходного материала],MATCH(Расходка[[#This Row],[№]],Поиск_расходки[Индекс2],0)),"")</f>
        <v/>
      </c>
      <c r="T81" s="197" t="str">
        <f>IFERROR(INDEX(Расходка[Наименование расходного материала],MATCH(Расходка[[#This Row],[№]],Поиск_расходки[Индекс3],0)),"")</f>
        <v/>
      </c>
      <c r="U81" s="197" t="str">
        <f>IFERROR(INDEX(Расходка[Наименование расходного материала],MATCH(Расходка[[#This Row],[№]],Поиск_расходки[Индекс4],0)),"")</f>
        <v/>
      </c>
      <c r="V81" s="197" t="str">
        <f>IFERROR(INDEX(Расходка[Наименование расходного материала],MATCH(Расходка[[#This Row],[№]],Поиск_расходки[Индекс5],0)),"")</f>
        <v/>
      </c>
      <c r="W81" s="197" t="str">
        <f>IFERROR(INDEX(Расходка[Наименование расходного материала],MATCH(Расходка[[#This Row],[№]],Поиск_расходки[Индекс6],0)),"")</f>
        <v/>
      </c>
      <c r="X81" s="197" t="str">
        <f>IFERROR(INDEX(Расходка[Наименование расходного материала],MATCH(Расходка[[#This Row],[№]],Поиск_расходки[Индекс7],0)),"")</f>
        <v/>
      </c>
      <c r="Y81" s="197" t="str">
        <f>IFERROR(INDEX(Расходка[Наименование расходного материала],MATCH(Расходка[[#This Row],[№]],Поиск_расходки[Индекс8],0)),"")</f>
        <v/>
      </c>
      <c r="Z81" s="197" t="str">
        <f>IFERROR(INDEX(Расходка[Наименование расходного материала],MATCH(Расходка[[#This Row],[№]],Поиск_расходки[Индекс9],0)),"")</f>
        <v>Angio-Seal™ VIP</v>
      </c>
      <c r="AA81" s="197" t="str">
        <f>IFERROR(INDEX(Расходка[Наименование расходного материала],MATCH(Расходка[[#This Row],[№]],Поиск_расходки[Индекс10],0)),"")</f>
        <v>Angio-Seal™ VIP</v>
      </c>
      <c r="AB81" s="197" t="str">
        <f>IFERROR(INDEX(Расходка[Наименование расходного материала],MATCH(Расходка[[#This Row],[№]],Поиск_расходки[Индекс11],0)),"")</f>
        <v>Angio-Seal™ VIP</v>
      </c>
      <c r="AC81" s="197" t="str">
        <f>IFERROR(INDEX(Расходка[Наименование расходного материала],MATCH(Расходка[[#This Row],[№]],Поиск_расходки[Индекс12],0)),"")</f>
        <v>Angio-Seal™ VIP</v>
      </c>
      <c r="AD81" s="197" t="str">
        <f>IFERROR(INDEX(Расходка[Наименование расходного материала],MATCH(Расходка[[#This Row],[№]],Поиск_расходки[Индекс13],0)),"")</f>
        <v>Angio-Seal™ VIP</v>
      </c>
      <c r="AF81" s="4" t="s">
        <v>6</v>
      </c>
      <c r="AG81" s="4" t="s">
        <v>465</v>
      </c>
    </row>
    <row r="82" spans="1:33">
      <c r="E82" s="196">
        <f>IF(ISNUMBER(SEARCH('Карта учёта'!$B$13,Расходка[[#This Row],[Наименование расходного материала]])),MAX($E$1:E81)+1,0)</f>
        <v>0</v>
      </c>
      <c r="F82" s="196">
        <f>IF(ISNUMBER(SEARCH('Карта учёта'!$B$14,Расходка[[#This Row],[Наименование расходного материала]])),MAX($F$1:F81)+1,0)</f>
        <v>0</v>
      </c>
      <c r="G82" s="196">
        <f>IF(ISNUMBER(SEARCH('Карта учёта'!$B$15,Расходка[[#This Row],[Наименование расходного материала]])),MAX($G$1:G81)+1,0)</f>
        <v>0</v>
      </c>
      <c r="H82" s="196">
        <f>IF(ISNUMBER(SEARCH('Карта учёта'!$B$16,Расходка[[#This Row],[Наименование расходного материала]])),MAX($H$1:H81)+1,0)</f>
        <v>0</v>
      </c>
      <c r="I82" s="196">
        <f>IF(ISNUMBER(SEARCH('Карта учёта'!$B$17,Расходка[[#This Row],[Наименование расходного материала]])),MAX($I$1:I81)+1,0)</f>
        <v>0</v>
      </c>
      <c r="J82" s="196">
        <f>IF(ISNUMBER(SEARCH('Карта учёта'!$B$18,Расходка[[#This Row],[Наименование расходного материала]])),MAX($J$1:J81)+1,0)</f>
        <v>0</v>
      </c>
      <c r="K82" s="196">
        <f>IF(ISNUMBER(SEARCH('Карта учёта'!$B$19,Расходка[[#This Row],[Наименование расходного материала]])),MAX($K$1:K81)+1,0)</f>
        <v>0</v>
      </c>
      <c r="L82" s="196">
        <f>IF(ISNUMBER(SEARCH('Карта учёта'!$B$20,Расходка[[#This Row],[Наименование расходного материала]])),MAX($L$1:L81)+1,0)</f>
        <v>0</v>
      </c>
      <c r="M82" s="196">
        <f>IF(ISNUMBER(SEARCH('Карта учёта'!$B$21,Расходка[[#This Row],[Наименование расходного материала]])),MAX($M$1:M81)+1,0)</f>
        <v>0</v>
      </c>
      <c r="N82" s="196">
        <f>IF(ISNUMBER(SEARCH('Карта учёта'!$B$22,Расходка[[#This Row],[Наименование расходного материала]])),MAX($N$1:N81)+1,0)</f>
        <v>0</v>
      </c>
      <c r="O82" s="196">
        <f>IF(ISNUMBER(SEARCH('Карта учёта'!$B$23,Расходка[[#This Row],[Наименование расходного материала]])),MAX($O$1:O81)+1,0)</f>
        <v>0</v>
      </c>
      <c r="P82" s="196">
        <f>IF(ISNUMBER(SEARCH('Карта учёта'!$B$24,Расходка[[#This Row],[Наименование расходного материала]])),MAX($P$1:P81)+1,0)</f>
        <v>0</v>
      </c>
      <c r="Q82" s="196">
        <f>IF(ISNUMBER(SEARCH('Карта учёта'!$B$25,Расходка[[#This Row],[Наименование расходного материала]])),MAX($Q$1:Q81)+1,0)</f>
        <v>0</v>
      </c>
      <c r="R82" s="197" t="str">
        <f>IFERROR(INDEX(Расходка[Наименование расходного материала],MATCH(Расходка[[#This Row],[№]],Поиск_расходки[Индекс1],0)),"")</f>
        <v/>
      </c>
      <c r="S82" s="197" t="str">
        <f>IFERROR(INDEX(Расходка[Наименование расходного материала],MATCH(Расходка[[#This Row],[№]],Поиск_расходки[Индекс2],0)),"")</f>
        <v/>
      </c>
      <c r="T82" s="197" t="str">
        <f>IFERROR(INDEX(Расходка[Наименование расходного материала],MATCH(Расходка[[#This Row],[№]],Поиск_расходки[Индекс3],0)),"")</f>
        <v/>
      </c>
      <c r="U82" s="197" t="str">
        <f>IFERROR(INDEX(Расходка[Наименование расходного материала],MATCH(Расходка[[#This Row],[№]],Поиск_расходки[Индекс4],0)),"")</f>
        <v/>
      </c>
      <c r="V82" s="197" t="str">
        <f>IFERROR(INDEX(Расходка[Наименование расходного материала],MATCH(Расходка[[#This Row],[№]],Поиск_расходки[Индекс5],0)),"")</f>
        <v/>
      </c>
      <c r="W82" s="197" t="str">
        <f>IFERROR(INDEX(Расходка[Наименование расходного материала],MATCH(Расходка[[#This Row],[№]],Поиск_расходки[Индекс6],0)),"")</f>
        <v/>
      </c>
      <c r="X82" s="197" t="str">
        <f>IFERROR(INDEX(Расходка[Наименование расходного материала],MATCH(Расходка[[#This Row],[№]],Поиск_расходки[Индекс7],0)),"")</f>
        <v/>
      </c>
      <c r="Y82" s="197" t="str">
        <f>IFERROR(INDEX(Расходка[Наименование расходного материала],MATCH(Расходка[[#This Row],[№]],Поиск_расходки[Индекс8],0)),"")</f>
        <v/>
      </c>
      <c r="Z82" s="197" t="str">
        <f>IFERROR(INDEX(Расходка[Наименование расходного материала],MATCH(Расходка[[#This Row],[№]],Поиск_расходки[Индекс9],0)),"")</f>
        <v/>
      </c>
      <c r="AA82" s="197" t="str">
        <f>IFERROR(INDEX(Расходка[Наименование расходного материала],MATCH(Расходка[[#This Row],[№]],Поиск_расходки[Индекс10],0)),"")</f>
        <v/>
      </c>
      <c r="AB82" s="197" t="str">
        <f>IFERROR(INDEX(Расходка[Наименование расходного материала],MATCH(Расходка[[#This Row],[№]],Поиск_расходки[Индекс11],0)),"")</f>
        <v/>
      </c>
      <c r="AC82" s="197" t="str">
        <f>IFERROR(INDEX(Расходка[Наименование расходного материала],MATCH(Расходка[[#This Row],[№]],Поиск_расходки[Индекс12],0)),"")</f>
        <v/>
      </c>
      <c r="AD82" s="197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466</v>
      </c>
    </row>
    <row r="83" spans="1:33">
      <c r="AF83" s="4" t="s">
        <v>6</v>
      </c>
      <c r="AG83" s="4" t="s">
        <v>467</v>
      </c>
    </row>
    <row r="84" spans="1:33">
      <c r="AF84" s="4" t="s">
        <v>6</v>
      </c>
      <c r="AG84" s="4" t="s">
        <v>418</v>
      </c>
    </row>
    <row r="85" spans="1:33">
      <c r="AF85" s="4" t="s">
        <v>6</v>
      </c>
      <c r="AG85" s="4" t="s">
        <v>419</v>
      </c>
    </row>
    <row r="86" spans="1:33">
      <c r="AF86" s="4" t="s">
        <v>6</v>
      </c>
      <c r="AG86" s="4" t="s">
        <v>468</v>
      </c>
    </row>
    <row r="87" spans="1:33">
      <c r="AF87" s="4" t="s">
        <v>6</v>
      </c>
      <c r="AG87" s="4" t="s">
        <v>469</v>
      </c>
    </row>
    <row r="88" spans="1:33">
      <c r="AF88" s="4" t="s">
        <v>6</v>
      </c>
      <c r="AG88" s="4" t="s">
        <v>470</v>
      </c>
    </row>
    <row r="89" spans="1:33">
      <c r="AF89" s="4" t="s">
        <v>6</v>
      </c>
      <c r="AG89" s="4" t="s">
        <v>471</v>
      </c>
    </row>
    <row r="90" spans="1:33">
      <c r="AF90" s="4" t="s">
        <v>6</v>
      </c>
      <c r="AG90" s="4" t="s">
        <v>472</v>
      </c>
    </row>
    <row r="91" spans="1:33">
      <c r="AF91" s="4" t="s">
        <v>6</v>
      </c>
      <c r="AG91" s="4" t="s">
        <v>473</v>
      </c>
    </row>
    <row r="92" spans="1:33">
      <c r="AF92" s="4" t="s">
        <v>6</v>
      </c>
      <c r="AG92" s="4" t="s">
        <v>474</v>
      </c>
    </row>
    <row r="93" spans="1:33">
      <c r="AF93" s="4" t="s">
        <v>6</v>
      </c>
      <c r="AG93" s="4" t="s">
        <v>475</v>
      </c>
    </row>
    <row r="94" spans="1:33">
      <c r="AF94" s="4" t="s">
        <v>6</v>
      </c>
      <c r="AG94" s="4" t="s">
        <v>422</v>
      </c>
    </row>
    <row r="95" spans="1:33">
      <c r="AF95" s="4" t="s">
        <v>6</v>
      </c>
      <c r="AG95" s="4" t="s">
        <v>423</v>
      </c>
    </row>
    <row r="96" spans="1:33">
      <c r="AF96" s="4" t="s">
        <v>6</v>
      </c>
      <c r="AG96" s="4" t="s">
        <v>476</v>
      </c>
    </row>
    <row r="97" spans="32:33">
      <c r="AF97" s="4" t="s">
        <v>6</v>
      </c>
      <c r="AG97" s="4" t="s">
        <v>477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8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opLeftCell="A55" zoomScale="90" zoomScaleNormal="90" workbookViewId="0">
      <selection activeCell="B83" sqref="B8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527</v>
      </c>
      <c r="C4" t="str">
        <f>CONCATENATE(A4,B4)</f>
        <v>И/О заведующего отделения: М.А. Дибиров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299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508</v>
      </c>
      <c r="C15" s="201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529</v>
      </c>
      <c r="C17" t="str">
        <f t="shared" si="0"/>
        <v>И/О старшей мед.сетры: О.В. Севринова</v>
      </c>
    </row>
    <row r="18" spans="1:3">
      <c r="A18" t="s">
        <v>123</v>
      </c>
      <c r="B18" t="s">
        <v>344</v>
      </c>
      <c r="C18" t="str">
        <f>CONCATENATE(A18,B18)</f>
        <v>И/О старшей мед.сетры: А.М. Казанцева</v>
      </c>
    </row>
    <row r="19" spans="1:3">
      <c r="C19" s="201"/>
    </row>
    <row r="20" spans="1:3">
      <c r="C20" s="201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265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300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262</v>
      </c>
    </row>
    <row r="27" spans="1:3">
      <c r="A27" t="s">
        <v>170</v>
      </c>
      <c r="B27" t="s">
        <v>266</v>
      </c>
    </row>
    <row r="28" spans="1:3">
      <c r="A28" t="s">
        <v>170</v>
      </c>
      <c r="B28" t="s">
        <v>526</v>
      </c>
    </row>
    <row r="29" spans="1:3">
      <c r="A29" t="s">
        <v>170</v>
      </c>
      <c r="B29" t="s">
        <v>256</v>
      </c>
    </row>
    <row r="30" spans="1:3">
      <c r="A30" t="s">
        <v>170</v>
      </c>
      <c r="B30" t="s">
        <v>255</v>
      </c>
    </row>
    <row r="31" spans="1:3">
      <c r="A31" t="s">
        <v>170</v>
      </c>
      <c r="B31" t="s">
        <v>517</v>
      </c>
    </row>
    <row r="32" spans="1:3">
      <c r="A32" t="s">
        <v>170</v>
      </c>
      <c r="B32" t="s">
        <v>254</v>
      </c>
    </row>
    <row r="33" spans="1:2">
      <c r="A33" t="s">
        <v>170</v>
      </c>
      <c r="B33" t="s">
        <v>267</v>
      </c>
    </row>
    <row r="34" spans="1:2">
      <c r="A34" t="s">
        <v>170</v>
      </c>
      <c r="B34" t="s">
        <v>347</v>
      </c>
    </row>
    <row r="35" spans="1:2">
      <c r="A35" t="s">
        <v>170</v>
      </c>
      <c r="B35" t="s">
        <v>261</v>
      </c>
    </row>
    <row r="36" spans="1:2">
      <c r="A36" t="s">
        <v>170</v>
      </c>
      <c r="B36" t="s">
        <v>249</v>
      </c>
    </row>
    <row r="37" spans="1:2">
      <c r="A37" t="s">
        <v>170</v>
      </c>
      <c r="B37" t="s">
        <v>253</v>
      </c>
    </row>
    <row r="38" spans="1:2">
      <c r="A38" t="s">
        <v>170</v>
      </c>
      <c r="B38" t="s">
        <v>248</v>
      </c>
    </row>
    <row r="39" spans="1:2">
      <c r="A39" t="s">
        <v>170</v>
      </c>
      <c r="B39" t="s">
        <v>358</v>
      </c>
    </row>
    <row r="40" spans="1:2">
      <c r="A40" t="s">
        <v>170</v>
      </c>
      <c r="B40" t="s">
        <v>499</v>
      </c>
    </row>
    <row r="41" spans="1:2">
      <c r="A41" t="s">
        <v>170</v>
      </c>
      <c r="B41" t="s">
        <v>264</v>
      </c>
    </row>
    <row r="42" spans="1:2">
      <c r="A42" t="s">
        <v>170</v>
      </c>
      <c r="B42" t="s">
        <v>263</v>
      </c>
    </row>
    <row r="43" spans="1:2">
      <c r="A43" t="s">
        <v>170</v>
      </c>
      <c r="B43" t="s">
        <v>257</v>
      </c>
    </row>
    <row r="44" spans="1:2">
      <c r="A44" t="s">
        <v>170</v>
      </c>
      <c r="B44" t="s">
        <v>251</v>
      </c>
    </row>
    <row r="45" spans="1:2">
      <c r="A45" t="s">
        <v>170</v>
      </c>
      <c r="B45" t="s">
        <v>252</v>
      </c>
    </row>
    <row r="46" spans="1:2">
      <c r="A46" t="s">
        <v>299</v>
      </c>
      <c r="B46" t="s">
        <v>259</v>
      </c>
    </row>
    <row r="47" spans="1:2">
      <c r="A47" t="s">
        <v>299</v>
      </c>
      <c r="B47" t="s">
        <v>260</v>
      </c>
    </row>
    <row r="48" spans="1:2">
      <c r="A48" t="s">
        <v>299</v>
      </c>
      <c r="B48" t="s">
        <v>525</v>
      </c>
    </row>
    <row r="49" spans="1:2">
      <c r="A49" t="s">
        <v>299</v>
      </c>
      <c r="B49" t="s">
        <v>518</v>
      </c>
    </row>
    <row r="50" spans="1:2">
      <c r="A50" t="s">
        <v>299</v>
      </c>
      <c r="B50" t="s">
        <v>178</v>
      </c>
    </row>
    <row r="51" spans="1:2">
      <c r="A51" t="s">
        <v>299</v>
      </c>
      <c r="B51" t="s">
        <v>522</v>
      </c>
    </row>
    <row r="52" spans="1:2">
      <c r="A52" t="s">
        <v>299</v>
      </c>
      <c r="B52" t="s">
        <v>524</v>
      </c>
    </row>
    <row r="53" spans="1:2">
      <c r="A53" t="s">
        <v>299</v>
      </c>
      <c r="B53" t="s">
        <v>177</v>
      </c>
    </row>
    <row r="54" spans="1:2">
      <c r="A54" t="s">
        <v>299</v>
      </c>
      <c r="B54" t="s">
        <v>497</v>
      </c>
    </row>
    <row r="55" spans="1:2">
      <c r="A55" t="s">
        <v>299</v>
      </c>
      <c r="B55" t="s">
        <v>258</v>
      </c>
    </row>
    <row r="56" spans="1:2">
      <c r="A56" t="s">
        <v>299</v>
      </c>
      <c r="B56" t="s">
        <v>363</v>
      </c>
    </row>
    <row r="57" spans="1:2">
      <c r="A57" t="s">
        <v>299</v>
      </c>
      <c r="B57" t="s">
        <v>359</v>
      </c>
    </row>
    <row r="58" spans="1:2">
      <c r="A58" t="s">
        <v>171</v>
      </c>
      <c r="B58" t="s">
        <v>144</v>
      </c>
    </row>
    <row r="59" spans="1:2">
      <c r="A59" t="s">
        <v>171</v>
      </c>
      <c r="B59" t="s">
        <v>147</v>
      </c>
    </row>
    <row r="60" spans="1:2">
      <c r="A60" t="s">
        <v>171</v>
      </c>
      <c r="B60" t="s">
        <v>150</v>
      </c>
    </row>
    <row r="61" spans="1:2">
      <c r="A61" t="s">
        <v>171</v>
      </c>
      <c r="B61" t="s">
        <v>153</v>
      </c>
    </row>
    <row r="62" spans="1:2">
      <c r="A62" t="s">
        <v>171</v>
      </c>
      <c r="B62" t="s">
        <v>156</v>
      </c>
    </row>
    <row r="63" spans="1:2">
      <c r="A63" t="s">
        <v>171</v>
      </c>
      <c r="B63" t="s">
        <v>159</v>
      </c>
    </row>
    <row r="64" spans="1:2">
      <c r="A64" t="s">
        <v>171</v>
      </c>
      <c r="B64" t="s">
        <v>164</v>
      </c>
    </row>
    <row r="65" spans="1:2">
      <c r="A65" t="s">
        <v>171</v>
      </c>
      <c r="B65" t="s">
        <v>272</v>
      </c>
    </row>
    <row r="66" spans="1:2">
      <c r="A66" t="s">
        <v>171</v>
      </c>
      <c r="B66" t="s">
        <v>166</v>
      </c>
    </row>
    <row r="67" spans="1:2">
      <c r="A67" t="s">
        <v>171</v>
      </c>
      <c r="B67" t="s">
        <v>167</v>
      </c>
    </row>
    <row r="68" spans="1:2">
      <c r="A68" t="s">
        <v>171</v>
      </c>
      <c r="B68" t="s">
        <v>168</v>
      </c>
    </row>
    <row r="69" spans="1:2">
      <c r="A69" t="s">
        <v>171</v>
      </c>
      <c r="B69" t="s">
        <v>169</v>
      </c>
    </row>
    <row r="70" spans="1:2">
      <c r="A70" t="s">
        <v>171</v>
      </c>
      <c r="B70" t="s">
        <v>141</v>
      </c>
    </row>
    <row r="71" spans="1:2">
      <c r="A71" t="s">
        <v>171</v>
      </c>
      <c r="B71" t="s">
        <v>185</v>
      </c>
    </row>
    <row r="72" spans="1:2">
      <c r="A72" t="s">
        <v>172</v>
      </c>
      <c r="B72" t="s">
        <v>337</v>
      </c>
    </row>
    <row r="73" spans="1:2">
      <c r="A73" t="s">
        <v>172</v>
      </c>
      <c r="B73" t="s">
        <v>143</v>
      </c>
    </row>
    <row r="74" spans="1:2">
      <c r="A74" t="s">
        <v>172</v>
      </c>
      <c r="B74" t="s">
        <v>361</v>
      </c>
    </row>
    <row r="75" spans="1:2">
      <c r="A75" t="s">
        <v>172</v>
      </c>
      <c r="B75" t="s">
        <v>146</v>
      </c>
    </row>
    <row r="76" spans="1:2">
      <c r="A76" t="s">
        <v>172</v>
      </c>
      <c r="B76" t="s">
        <v>140</v>
      </c>
    </row>
    <row r="77" spans="1:2">
      <c r="A77" t="s">
        <v>172</v>
      </c>
      <c r="B77" t="s">
        <v>149</v>
      </c>
    </row>
    <row r="78" spans="1:2">
      <c r="A78" t="s">
        <v>172</v>
      </c>
      <c r="B78" t="s">
        <v>152</v>
      </c>
    </row>
    <row r="79" spans="1:2">
      <c r="A79" t="s">
        <v>172</v>
      </c>
      <c r="B79" t="s">
        <v>155</v>
      </c>
    </row>
    <row r="80" spans="1:2">
      <c r="A80" t="s">
        <v>172</v>
      </c>
      <c r="B80" t="s">
        <v>158</v>
      </c>
    </row>
    <row r="81" spans="1:2">
      <c r="A81" t="s">
        <v>172</v>
      </c>
      <c r="B81" t="s">
        <v>161</v>
      </c>
    </row>
    <row r="82" spans="1:2">
      <c r="A82" t="s">
        <v>172</v>
      </c>
      <c r="B82" t="s">
        <v>531</v>
      </c>
    </row>
    <row r="83" spans="1:2">
      <c r="A83" t="s">
        <v>172</v>
      </c>
      <c r="B83" t="s">
        <v>163</v>
      </c>
    </row>
    <row r="84" spans="1:2">
      <c r="A84" t="s">
        <v>184</v>
      </c>
      <c r="B84" t="s">
        <v>142</v>
      </c>
    </row>
    <row r="85" spans="1:2">
      <c r="A85" t="s">
        <v>184</v>
      </c>
      <c r="B85" t="s">
        <v>271</v>
      </c>
    </row>
    <row r="86" spans="1:2">
      <c r="A86" t="s">
        <v>184</v>
      </c>
      <c r="B86" t="s">
        <v>145</v>
      </c>
    </row>
    <row r="87" spans="1:2">
      <c r="A87" t="s">
        <v>184</v>
      </c>
      <c r="B87" t="s">
        <v>148</v>
      </c>
    </row>
    <row r="88" spans="1:2">
      <c r="A88" t="s">
        <v>184</v>
      </c>
      <c r="B88" t="s">
        <v>151</v>
      </c>
    </row>
    <row r="89" spans="1:2">
      <c r="A89" t="s">
        <v>184</v>
      </c>
      <c r="B89" t="s">
        <v>154</v>
      </c>
    </row>
    <row r="90" spans="1:2">
      <c r="A90" t="s">
        <v>184</v>
      </c>
      <c r="B90" t="s">
        <v>160</v>
      </c>
    </row>
    <row r="91" spans="1:2">
      <c r="A91" t="s">
        <v>184</v>
      </c>
      <c r="B91" t="s">
        <v>157</v>
      </c>
    </row>
    <row r="92" spans="1:2">
      <c r="A92" t="s">
        <v>184</v>
      </c>
      <c r="B92" t="s">
        <v>162</v>
      </c>
    </row>
    <row r="93" spans="1:2">
      <c r="A93" t="s">
        <v>184</v>
      </c>
      <c r="B93" t="s">
        <v>165</v>
      </c>
    </row>
  </sheetData>
  <phoneticPr fontId="14" type="noConversion"/>
  <dataValidations count="1">
    <dataValidation type="list" allowBlank="1" showInputMessage="1" showErrorMessage="1" sqref="A22:A93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0" t="s">
        <v>375</v>
      </c>
    </row>
    <row r="2" spans="1:1">
      <c r="A2" t="s">
        <v>372</v>
      </c>
    </row>
    <row r="3" spans="1:1">
      <c r="A3" t="s">
        <v>376</v>
      </c>
    </row>
    <row r="4" spans="1:1">
      <c r="A4" t="s">
        <v>377</v>
      </c>
    </row>
    <row r="5" spans="1:1">
      <c r="A5" t="s">
        <v>373</v>
      </c>
    </row>
    <row r="6" spans="1:1">
      <c r="A6" t="s">
        <v>374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2025-06-17T22:20:22Z</cp:lastPrinted>
  <dcterms:created xsi:type="dcterms:W3CDTF">2015-06-05T18:19:34Z</dcterms:created>
  <dcterms:modified xsi:type="dcterms:W3CDTF">2025-06-18T04:08:28Z</dcterms:modified>
</cp:coreProperties>
</file>