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3\21\"/>
    </mc:Choice>
  </mc:AlternateContent>
  <bookViews>
    <workbookView xWindow="0" yWindow="0" windowWidth="18105" windowHeight="942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Row],[Расходный материал ]],Размеры[Тип],0),1,COUNTIF(Размеры[Тип],Карта_Учёта[[#This Row],[Расходный материал ]]),1)</definedName>
    <definedName name="Размеры_стентов_балонов">OFFSET(Размеры[[#Headers],[Тип]],MATCH(Карта_Учёта[[#This Row],[Расходный материал ]],Размеры[Тип],0),1,COUNTIF(Размеры[Тип],Карта_Учёта[[#This Row],[Расходный материал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9" l="1"/>
  <c r="Q2" i="1"/>
  <c r="Q3" i="1" s="1"/>
  <c r="P2" i="1"/>
  <c r="P4" i="1" s="1"/>
  <c r="P3" i="1"/>
  <c r="O2" i="1"/>
  <c r="O3" i="1" s="1"/>
  <c r="N2" i="1"/>
  <c r="N3" i="1" s="1"/>
  <c r="M2" i="1"/>
  <c r="L2" i="1"/>
  <c r="L3" i="1" s="1"/>
  <c r="K2" i="1"/>
  <c r="I2" i="1"/>
  <c r="I3" i="1" s="1"/>
  <c r="J2" i="1"/>
  <c r="J3" i="1" s="1"/>
  <c r="A10" i="9"/>
  <c r="A9" i="3" s="1"/>
  <c r="G2" i="1"/>
  <c r="H2" i="1"/>
  <c r="H3" i="1" s="1"/>
  <c r="F2" i="1"/>
  <c r="E2" i="1"/>
  <c r="B5" i="3"/>
  <c r="A5" i="3" s="1"/>
  <c r="B6" i="3"/>
  <c r="G13" i="9"/>
  <c r="G51" i="9" s="1"/>
  <c r="G14" i="9"/>
  <c r="H13" i="9"/>
  <c r="G53" i="9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H22" i="9" s="1"/>
  <c r="B15" i="9"/>
  <c r="C37" i="6"/>
  <c r="G51" i="6"/>
  <c r="A8" i="9"/>
  <c r="D10" i="3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4" i="3"/>
  <c r="A25" i="3"/>
  <c r="A26" i="3"/>
  <c r="A27" i="3"/>
  <c r="A12" i="3"/>
  <c r="A13" i="3"/>
  <c r="A14" i="3"/>
  <c r="A15" i="3"/>
  <c r="A16" i="3"/>
  <c r="A17" i="3"/>
  <c r="A18" i="3"/>
  <c r="A19" i="3"/>
  <c r="A20" i="3"/>
  <c r="A21" i="3"/>
  <c r="A22" i="3"/>
  <c r="A23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B2" i="3"/>
  <c r="D6" i="3" l="1"/>
  <c r="G22" i="9"/>
  <c r="A9" i="9"/>
  <c r="A8" i="3" s="1"/>
  <c r="E3" i="1"/>
  <c r="O4" i="1"/>
  <c r="P5" i="1"/>
  <c r="P6" i="1"/>
  <c r="P7" i="1" s="1"/>
  <c r="P8" i="1" s="1"/>
  <c r="B37" i="3"/>
  <c r="J4" i="1"/>
  <c r="J5" i="1" s="1"/>
  <c r="K3" i="1"/>
  <c r="K4" i="1" s="1"/>
  <c r="M3" i="1"/>
  <c r="L4" i="1"/>
  <c r="L5" i="1" s="1"/>
  <c r="Q4" i="1"/>
  <c r="AD2" i="1"/>
  <c r="N4" i="1"/>
  <c r="N5" i="1" s="1"/>
  <c r="G3" i="1"/>
  <c r="G4" i="1" s="1"/>
  <c r="I4" i="1"/>
  <c r="I5" i="1" s="1"/>
  <c r="H4" i="1"/>
  <c r="A6" i="3"/>
  <c r="F3" i="1"/>
  <c r="J6" i="1" l="1"/>
  <c r="E4" i="1"/>
  <c r="E5" i="1" s="1"/>
  <c r="E6" i="1" s="1"/>
  <c r="H5" i="1"/>
  <c r="O5" i="1"/>
  <c r="L6" i="1"/>
  <c r="N6" i="1"/>
  <c r="N7" i="1" s="1"/>
  <c r="J7" i="1"/>
  <c r="M4" i="1"/>
  <c r="M5" i="1" s="1"/>
  <c r="P9" i="1"/>
  <c r="Q5" i="1"/>
  <c r="AD5" i="1" s="1"/>
  <c r="K5" i="1"/>
  <c r="AD3" i="1"/>
  <c r="AD4" i="1"/>
  <c r="AC2" i="1"/>
  <c r="AB2" i="1"/>
  <c r="AB4" i="1"/>
  <c r="AB3" i="1"/>
  <c r="G5" i="1"/>
  <c r="I6" i="1"/>
  <c r="I7" i="1" s="1"/>
  <c r="F4" i="1"/>
  <c r="F5" i="1" s="1"/>
  <c r="Q6" i="1" l="1"/>
  <c r="AD6" i="1" s="1"/>
  <c r="G6" i="1"/>
  <c r="E7" i="1"/>
  <c r="E8" i="1" s="1"/>
  <c r="H6" i="1"/>
  <c r="H7" i="1" s="1"/>
  <c r="N8" i="1"/>
  <c r="O6" i="1"/>
  <c r="O7" i="1" s="1"/>
  <c r="AB5" i="1"/>
  <c r="Q7" i="1"/>
  <c r="L7" i="1"/>
  <c r="M6" i="1"/>
  <c r="M7" i="1" s="1"/>
  <c r="P10" i="1"/>
  <c r="AC10" i="1" s="1"/>
  <c r="J8" i="1"/>
  <c r="J9" i="1" s="1"/>
  <c r="N9" i="1"/>
  <c r="K6" i="1"/>
  <c r="AC3" i="1"/>
  <c r="AC8" i="1"/>
  <c r="AC5" i="1"/>
  <c r="AC4" i="1"/>
  <c r="AC9" i="1"/>
  <c r="AC6" i="1"/>
  <c r="G7" i="1"/>
  <c r="I8" i="1"/>
  <c r="I9" i="1" s="1"/>
  <c r="F6" i="1"/>
  <c r="F7" i="1"/>
  <c r="E9" i="1" l="1"/>
  <c r="E10" i="1" s="1"/>
  <c r="E11" i="1" s="1"/>
  <c r="E12" i="1" s="1"/>
  <c r="O8" i="1"/>
  <c r="O9" i="1"/>
  <c r="AB6" i="1"/>
  <c r="AB9" i="1"/>
  <c r="AD7" i="1"/>
  <c r="Q8" i="1"/>
  <c r="AD8" i="1" s="1"/>
  <c r="AB7" i="1"/>
  <c r="L8" i="1"/>
  <c r="J10" i="1"/>
  <c r="M8" i="1"/>
  <c r="M9" i="1" s="1"/>
  <c r="N10" i="1"/>
  <c r="K7" i="1"/>
  <c r="P11" i="1"/>
  <c r="P12" i="1" s="1"/>
  <c r="G8" i="1"/>
  <c r="I10" i="1"/>
  <c r="H8" i="1"/>
  <c r="H9" i="1"/>
  <c r="H10" i="1" s="1"/>
  <c r="F8" i="1"/>
  <c r="Q9" i="1" l="1"/>
  <c r="Q10" i="1"/>
  <c r="AD10" i="1"/>
  <c r="G9" i="1"/>
  <c r="O10" i="1"/>
  <c r="AB10" i="1" s="1"/>
  <c r="AB8" i="1"/>
  <c r="L9" i="1"/>
  <c r="AC11" i="1"/>
  <c r="K8" i="1"/>
  <c r="K9" i="1" s="1"/>
  <c r="M10" i="1"/>
  <c r="Q11" i="1"/>
  <c r="N11" i="1"/>
  <c r="N12" i="1" s="1"/>
  <c r="P13" i="1"/>
  <c r="AC13" i="1" s="1"/>
  <c r="AC12" i="1"/>
  <c r="J11" i="1"/>
  <c r="Y2" i="1"/>
  <c r="I11" i="1"/>
  <c r="I12" i="1" s="1"/>
  <c r="H11" i="1"/>
  <c r="H12" i="1"/>
  <c r="H13" i="1" s="1"/>
  <c r="F9" i="1"/>
  <c r="F10" i="1" s="1"/>
  <c r="F11" i="1" s="1"/>
  <c r="F12" i="1" s="1"/>
  <c r="E13" i="1"/>
  <c r="E14" i="1" s="1"/>
  <c r="O11" i="1" l="1"/>
  <c r="O12" i="1" s="1"/>
  <c r="G10" i="1"/>
  <c r="N13" i="1"/>
  <c r="AA2" i="1" s="1"/>
  <c r="O13" i="1"/>
  <c r="AB11" i="1"/>
  <c r="AB12" i="1"/>
  <c r="AB13" i="1"/>
  <c r="L10" i="1"/>
  <c r="J12" i="1"/>
  <c r="P14" i="1"/>
  <c r="AC14" i="1" s="1"/>
  <c r="I13" i="1"/>
  <c r="I14" i="1" s="1"/>
  <c r="M11" i="1"/>
  <c r="M12" i="1" s="1"/>
  <c r="AD11" i="1"/>
  <c r="Q12" i="1"/>
  <c r="Q13" i="1" s="1"/>
  <c r="K10" i="1"/>
  <c r="N14" i="1"/>
  <c r="G11" i="1"/>
  <c r="V2" i="1"/>
  <c r="H14" i="1"/>
  <c r="F13" i="1"/>
  <c r="F14" i="1" s="1"/>
  <c r="F15" i="1" s="1"/>
  <c r="E15" i="1"/>
  <c r="AD12" i="1" l="1"/>
  <c r="O14" i="1"/>
  <c r="AB14" i="1" s="1"/>
  <c r="L11" i="1"/>
  <c r="L12" i="1" s="1"/>
  <c r="AD9" i="1"/>
  <c r="Q14" i="1"/>
  <c r="N15" i="1"/>
  <c r="AA15" i="1" s="1"/>
  <c r="P15" i="1"/>
  <c r="J14" i="1"/>
  <c r="J15" i="1" s="1"/>
  <c r="J16" i="1" s="1"/>
  <c r="J13" i="1"/>
  <c r="AD14" i="1"/>
  <c r="M13" i="1"/>
  <c r="M14" i="1" s="1"/>
  <c r="AD13" i="1"/>
  <c r="K11" i="1"/>
  <c r="AA11" i="1"/>
  <c r="AA12" i="1"/>
  <c r="AA4" i="1"/>
  <c r="AA6" i="1"/>
  <c r="AA5" i="1"/>
  <c r="AA8" i="1"/>
  <c r="AA9" i="1"/>
  <c r="AA3" i="1"/>
  <c r="AA14" i="1"/>
  <c r="AA7" i="1"/>
  <c r="AA13" i="1"/>
  <c r="AA10" i="1"/>
  <c r="Z11" i="1"/>
  <c r="Z2" i="1"/>
  <c r="Z6" i="1"/>
  <c r="Z5" i="1"/>
  <c r="Z9" i="1"/>
  <c r="Z12" i="1"/>
  <c r="Z10" i="1"/>
  <c r="Z3" i="1"/>
  <c r="Z14" i="1"/>
  <c r="Z7" i="1"/>
  <c r="Z8" i="1"/>
  <c r="Z4" i="1"/>
  <c r="G12" i="1"/>
  <c r="I15" i="1"/>
  <c r="H15" i="1"/>
  <c r="H16" i="1" s="1"/>
  <c r="F16" i="1"/>
  <c r="E16" i="1"/>
  <c r="M15" i="1" l="1"/>
  <c r="M16" i="1" s="1"/>
  <c r="O15" i="1"/>
  <c r="AB15" i="1" s="1"/>
  <c r="L13" i="1"/>
  <c r="L14" i="1" s="1"/>
  <c r="L15" i="1" s="1"/>
  <c r="H17" i="1"/>
  <c r="H18" i="1" s="1"/>
  <c r="H19" i="1" s="1"/>
  <c r="H20" i="1" s="1"/>
  <c r="H21" i="1" s="1"/>
  <c r="H22" i="1" s="1"/>
  <c r="J17" i="1"/>
  <c r="P16" i="1"/>
  <c r="AC15" i="1"/>
  <c r="Q15" i="1"/>
  <c r="N16" i="1"/>
  <c r="Z16" i="1"/>
  <c r="Z15" i="1"/>
  <c r="Z13" i="1"/>
  <c r="K12" i="1"/>
  <c r="G13" i="1"/>
  <c r="I16" i="1"/>
  <c r="I17" i="1"/>
  <c r="I18" i="1" s="1"/>
  <c r="I19" i="1" s="1"/>
  <c r="I20" i="1" s="1"/>
  <c r="I21" i="1" s="1"/>
  <c r="I22" i="1" s="1"/>
  <c r="I23" i="1" s="1"/>
  <c r="I24" i="1" s="1"/>
  <c r="I25" i="1" s="1"/>
  <c r="F17" i="1"/>
  <c r="E17" i="1"/>
  <c r="J18" i="1" l="1"/>
  <c r="M17" i="1"/>
  <c r="Z17" i="1" s="1"/>
  <c r="O16" i="1"/>
  <c r="O17" i="1" s="1"/>
  <c r="AB16" i="1"/>
  <c r="AB17" i="1"/>
  <c r="O18" i="1"/>
  <c r="AB18" i="1" s="1"/>
  <c r="K13" i="1"/>
  <c r="K14" i="1" s="1"/>
  <c r="P17" i="1"/>
  <c r="P18" i="1" s="1"/>
  <c r="P19" i="1" s="1"/>
  <c r="P20" i="1" s="1"/>
  <c r="AC17" i="1"/>
  <c r="Q16" i="1"/>
  <c r="AD15" i="1"/>
  <c r="AA16" i="1"/>
  <c r="N17" i="1"/>
  <c r="AA17" i="1" s="1"/>
  <c r="M18" i="1"/>
  <c r="M19" i="1" s="1"/>
  <c r="L16" i="1"/>
  <c r="AC18" i="1"/>
  <c r="J20" i="1"/>
  <c r="AC16" i="1"/>
  <c r="G14" i="1"/>
  <c r="V12" i="1"/>
  <c r="V17" i="1"/>
  <c r="V5" i="1"/>
  <c r="V4" i="1"/>
  <c r="V7" i="1"/>
  <c r="V13" i="1"/>
  <c r="V23" i="1"/>
  <c r="V9" i="1"/>
  <c r="V8" i="1"/>
  <c r="V3" i="1"/>
  <c r="V15" i="1"/>
  <c r="V11" i="1"/>
  <c r="V14" i="1"/>
  <c r="V6" i="1"/>
  <c r="V16" i="1"/>
  <c r="V10" i="1"/>
  <c r="V24" i="1"/>
  <c r="V18" i="1"/>
  <c r="V20" i="1"/>
  <c r="V19" i="1"/>
  <c r="V21" i="1"/>
  <c r="V25" i="1"/>
  <c r="V22" i="1"/>
  <c r="H23" i="1"/>
  <c r="H24" i="1" s="1"/>
  <c r="F18" i="1"/>
  <c r="E18" i="1"/>
  <c r="E19" i="1" s="1"/>
  <c r="E20" i="1" s="1"/>
  <c r="J19" i="1" l="1"/>
  <c r="M20" i="1"/>
  <c r="M21" i="1" s="1"/>
  <c r="M22" i="1" s="1"/>
  <c r="M23" i="1" s="1"/>
  <c r="M24" i="1" s="1"/>
  <c r="O19" i="1"/>
  <c r="AB19" i="1"/>
  <c r="Z19" i="1"/>
  <c r="AC7" i="1"/>
  <c r="P21" i="1"/>
  <c r="N18" i="1"/>
  <c r="J21" i="1"/>
  <c r="AC20" i="1"/>
  <c r="Z20" i="1"/>
  <c r="L17" i="1"/>
  <c r="Z21" i="1"/>
  <c r="K15" i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Q17" i="1"/>
  <c r="Q18" i="1" s="1"/>
  <c r="Q19" i="1" s="1"/>
  <c r="Q20" i="1" s="1"/>
  <c r="Q21" i="1" s="1"/>
  <c r="Q22" i="1" s="1"/>
  <c r="Q23" i="1" s="1"/>
  <c r="Q24" i="1" s="1"/>
  <c r="Q25" i="1" s="1"/>
  <c r="Z18" i="1"/>
  <c r="G15" i="1"/>
  <c r="H25" i="1"/>
  <c r="U5" i="1" s="1"/>
  <c r="F19" i="1"/>
  <c r="E21" i="1"/>
  <c r="X2" i="1" l="1"/>
  <c r="X5" i="1"/>
  <c r="X4" i="1"/>
  <c r="X3" i="1"/>
  <c r="X10" i="1"/>
  <c r="X13" i="1"/>
  <c r="X6" i="1"/>
  <c r="X14" i="1"/>
  <c r="X11" i="1"/>
  <c r="X7" i="1"/>
  <c r="X8" i="1"/>
  <c r="X9" i="1"/>
  <c r="T2" i="1"/>
  <c r="M25" i="1"/>
  <c r="Z25" i="1" s="1"/>
  <c r="Z23" i="1"/>
  <c r="Z22" i="1"/>
  <c r="Z24" i="1"/>
  <c r="U2" i="1"/>
  <c r="U21" i="1"/>
  <c r="AD23" i="1"/>
  <c r="U10" i="1"/>
  <c r="U23" i="1"/>
  <c r="X15" i="1"/>
  <c r="O20" i="1"/>
  <c r="AB20" i="1" s="1"/>
  <c r="U22" i="1"/>
  <c r="U3" i="1"/>
  <c r="U7" i="1"/>
  <c r="U14" i="1"/>
  <c r="U17" i="1"/>
  <c r="U4" i="1"/>
  <c r="U13" i="1"/>
  <c r="U9" i="1"/>
  <c r="U6" i="1"/>
  <c r="U18" i="1"/>
  <c r="U20" i="1"/>
  <c r="AD19" i="1"/>
  <c r="AD16" i="1"/>
  <c r="AD17" i="1"/>
  <c r="AD25" i="1"/>
  <c r="AD21" i="1"/>
  <c r="AD22" i="1"/>
  <c r="AD24" i="1"/>
  <c r="AD20" i="1"/>
  <c r="N19" i="1"/>
  <c r="N20" i="1" s="1"/>
  <c r="J22" i="1"/>
  <c r="P22" i="1"/>
  <c r="AC21" i="1"/>
  <c r="X12" i="1"/>
  <c r="X24" i="1"/>
  <c r="X23" i="1"/>
  <c r="X22" i="1"/>
  <c r="X16" i="1"/>
  <c r="X19" i="1"/>
  <c r="X20" i="1"/>
  <c r="X17" i="1"/>
  <c r="X25" i="1"/>
  <c r="X18" i="1"/>
  <c r="X21" i="1"/>
  <c r="U25" i="1"/>
  <c r="AD18" i="1"/>
  <c r="L18" i="1"/>
  <c r="G16" i="1"/>
  <c r="G17" i="1" s="1"/>
  <c r="G18" i="1" s="1"/>
  <c r="G19" i="1" s="1"/>
  <c r="G20" i="1" s="1"/>
  <c r="U16" i="1"/>
  <c r="U24" i="1"/>
  <c r="U15" i="1"/>
  <c r="U8" i="1"/>
  <c r="U11" i="1"/>
  <c r="U19" i="1"/>
  <c r="U12" i="1"/>
  <c r="F20" i="1"/>
  <c r="E22" i="1"/>
  <c r="O21" i="1" l="1"/>
  <c r="AB21" i="1" s="1"/>
  <c r="AA20" i="1"/>
  <c r="N21" i="1"/>
  <c r="N22" i="1" s="1"/>
  <c r="G21" i="1"/>
  <c r="G22" i="1" s="1"/>
  <c r="P23" i="1"/>
  <c r="P24" i="1" s="1"/>
  <c r="P25" i="1" s="1"/>
  <c r="AC24" i="1" s="1"/>
  <c r="W2" i="1"/>
  <c r="J23" i="1"/>
  <c r="J24" i="1" s="1"/>
  <c r="L19" i="1"/>
  <c r="L20" i="1" s="1"/>
  <c r="AA19" i="1"/>
  <c r="S2" i="1"/>
  <c r="F21" i="1"/>
  <c r="E23" i="1"/>
  <c r="E24" i="1" s="1"/>
  <c r="G23" i="1" l="1"/>
  <c r="G24" i="1" s="1"/>
  <c r="AA21" i="1"/>
  <c r="O22" i="1"/>
  <c r="J25" i="1"/>
  <c r="N23" i="1"/>
  <c r="N24" i="1" s="1"/>
  <c r="AC19" i="1"/>
  <c r="AC23" i="1"/>
  <c r="AC22" i="1"/>
  <c r="AC25" i="1"/>
  <c r="L21" i="1"/>
  <c r="L22" i="1" s="1"/>
  <c r="L23" i="1" s="1"/>
  <c r="L24" i="1" s="1"/>
  <c r="L25" i="1" s="1"/>
  <c r="Y11" i="1" s="1"/>
  <c r="F22" i="1"/>
  <c r="E25" i="1"/>
  <c r="W25" i="1" l="1"/>
  <c r="W5" i="1"/>
  <c r="W9" i="1"/>
  <c r="W6" i="1"/>
  <c r="W14" i="1"/>
  <c r="W11" i="1"/>
  <c r="W21" i="1"/>
  <c r="W19" i="1"/>
  <c r="W22" i="1"/>
  <c r="W18" i="1"/>
  <c r="W10" i="1"/>
  <c r="W16" i="1"/>
  <c r="W24" i="1"/>
  <c r="W7" i="1"/>
  <c r="W23" i="1"/>
  <c r="W12" i="1"/>
  <c r="W17" i="1"/>
  <c r="W13" i="1"/>
  <c r="W3" i="1"/>
  <c r="W4" i="1"/>
  <c r="W20" i="1"/>
  <c r="W8" i="1"/>
  <c r="W15" i="1"/>
  <c r="AA24" i="1"/>
  <c r="G25" i="1"/>
  <c r="R3" i="1"/>
  <c r="AB23" i="1"/>
  <c r="O23" i="1"/>
  <c r="O24" i="1" s="1"/>
  <c r="Y9" i="1"/>
  <c r="Y23" i="1"/>
  <c r="Y10" i="1"/>
  <c r="Y16" i="1"/>
  <c r="Y7" i="1"/>
  <c r="Y24" i="1"/>
  <c r="Y6" i="1"/>
  <c r="Y13" i="1"/>
  <c r="Y3" i="1"/>
  <c r="Y5" i="1"/>
  <c r="Y4" i="1"/>
  <c r="Y8" i="1"/>
  <c r="Y14" i="1"/>
  <c r="Y12" i="1"/>
  <c r="Y15" i="1"/>
  <c r="Y20" i="1"/>
  <c r="Y18" i="1"/>
  <c r="Y17" i="1"/>
  <c r="AA18" i="1"/>
  <c r="N25" i="1"/>
  <c r="AA25" i="1" s="1"/>
  <c r="Y19" i="1"/>
  <c r="Y22" i="1"/>
  <c r="Y21" i="1"/>
  <c r="Y25" i="1"/>
  <c r="F23" i="1"/>
  <c r="F24" i="1" s="1"/>
  <c r="R24" i="1"/>
  <c r="R4" i="1"/>
  <c r="R5" i="1"/>
  <c r="R19" i="1"/>
  <c r="R2" i="1"/>
  <c r="R9" i="1"/>
  <c r="R8" i="1"/>
  <c r="R13" i="1"/>
  <c r="R6" i="1"/>
  <c r="R10" i="1"/>
  <c r="R12" i="1"/>
  <c r="R7" i="1"/>
  <c r="R14" i="1"/>
  <c r="R11" i="1"/>
  <c r="R21" i="1"/>
  <c r="R22" i="1"/>
  <c r="R23" i="1"/>
  <c r="R17" i="1"/>
  <c r="R15" i="1"/>
  <c r="R25" i="1"/>
  <c r="R20" i="1"/>
  <c r="R16" i="1"/>
  <c r="R18" i="1"/>
  <c r="T15" i="1" l="1"/>
  <c r="T17" i="1"/>
  <c r="T5" i="1"/>
  <c r="T14" i="1"/>
  <c r="T9" i="1"/>
  <c r="T16" i="1"/>
  <c r="T7" i="1"/>
  <c r="T22" i="1"/>
  <c r="T11" i="1"/>
  <c r="T12" i="1"/>
  <c r="T10" i="1"/>
  <c r="T6" i="1"/>
  <c r="T13" i="1"/>
  <c r="T8" i="1"/>
  <c r="T21" i="1"/>
  <c r="T19" i="1"/>
  <c r="T24" i="1"/>
  <c r="T18" i="1"/>
  <c r="T4" i="1"/>
  <c r="T20" i="1"/>
  <c r="T23" i="1"/>
  <c r="T3" i="1"/>
  <c r="T25" i="1"/>
  <c r="O25" i="1"/>
  <c r="AB22" i="1" s="1"/>
  <c r="AB24" i="1"/>
  <c r="AA22" i="1"/>
  <c r="AA23" i="1"/>
  <c r="F25" i="1"/>
  <c r="S3" i="1"/>
  <c r="S21" i="1" l="1"/>
  <c r="S4" i="1"/>
  <c r="AB25" i="1"/>
  <c r="S7" i="1"/>
  <c r="S15" i="1"/>
  <c r="S8" i="1"/>
  <c r="S13" i="1"/>
  <c r="S9" i="1"/>
  <c r="S5" i="1"/>
  <c r="S24" i="1"/>
  <c r="S6" i="1"/>
  <c r="S20" i="1"/>
  <c r="S23" i="1"/>
  <c r="S14" i="1"/>
  <c r="S10" i="1"/>
  <c r="S25" i="1"/>
  <c r="S19" i="1"/>
  <c r="S16" i="1"/>
  <c r="S17" i="1"/>
  <c r="S12" i="1"/>
  <c r="S11" i="1"/>
  <c r="S18" i="1"/>
  <c r="S2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<sst xmlns="http://schemas.openxmlformats.org/spreadsheetml/2006/main" count="637" uniqueCount="416">
  <si>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</si>
  <si>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</si>
  <si>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</si>
  <si>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</si>
  <si>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</si>
  <si>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</si>
  <si>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</si>
  <si>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</si>
  <si>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</si>
  <si>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</si>
  <si>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</si>
  <si>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</si>
  <si>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</si>
  <si>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</si>
  <si>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</si>
  <si>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</si>
  <si>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 xml:space="preserve">Расходный материал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</si>
  <si>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</si>
  <si>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</si>
  <si>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</si>
  <si>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</si>
  <si>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</si>
  <si>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</si>
  <si>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</si>
  <si>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</si>
  <si>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</si>
  <si>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</si>
  <si>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</si>
  <si>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</si>
  <si>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</si>
  <si>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</si>
  <si>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</si>
  <si>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</si>
  <si>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</si>
  <si>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</si>
  <si>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</si>
  <si>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</si>
  <si>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</si>
  <si>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</si>
  <si>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</si>
  <si>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</si>
  <si>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</si>
  <si>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</si>
  <si>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</si>
  <si>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</si>
  <si>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</si>
  <si>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</si>
  <si>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</si>
  <si>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</si>
  <si>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</si>
  <si>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</si>
  <si>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</si>
  <si>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</si>
  <si>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</si>
  <si>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</si>
  <si>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</si>
  <si>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</si>
  <si>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</si>
  <si>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</si>
  <si>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</si>
  <si>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</si>
  <si>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</si>
  <si>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</si>
  <si>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</si>
  <si>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</si>
  <si>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</si>
  <si>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</si>
  <si>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</si>
  <si>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</si>
  <si>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</si>
  <si>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</si>
  <si>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</si>
  <si>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</si>
  <si>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</si>
  <si>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</si>
  <si>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</si>
  <si>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</si>
  <si>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</si>
  <si>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</si>
  <si>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</si>
  <si>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</si>
  <si>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</si>
  <si>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</si>
  <si>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</si>
  <si>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</si>
  <si>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</si>
  <si>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</si>
  <si>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</si>
  <si>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</si>
  <si>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</si>
  <si>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</si>
  <si>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</si>
  <si>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</si>
  <si>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</si>
  <si>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</si>
  <si>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</si>
  <si>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</si>
  <si>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</si>
  <si>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</si>
  <si>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</si>
  <si>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r>
      <t xml:space="preserve">ОКС без </t>
    </r>
    <r>
      <rPr>
        <sz val="11"/>
        <color theme="1"/>
        <rFont val="Calibri"/>
        <family val="2"/>
        <charset val="204"/>
      </rPr>
      <t>↓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</si>
  <si>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</si>
  <si>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</si>
  <si>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</si>
  <si>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</si>
  <si>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</si>
  <si>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</si>
  <si>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</si>
  <si>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</si>
  <si>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</si>
  <si>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</si>
  <si>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</si>
  <si>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</si>
  <si>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</si>
  <si>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</si>
  <si>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</si>
  <si>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</si>
  <si>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</si>
  <si>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</si>
  <si>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</si>
  <si>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</si>
  <si>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</si>
  <si>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</si>
  <si>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</si>
  <si>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5.0 - 15</t>
  </si>
  <si>
    <t>Аспирационный катетер</t>
  </si>
  <si>
    <t>Hunter® 6F, Iberhospitex S.A.</t>
  </si>
  <si>
    <t>Rinato, Asahi</t>
  </si>
  <si>
    <t>Launcher 6F EBU 3.5, Medtronic</t>
  </si>
  <si>
    <t>Launcher 6F EBU 4.0, Medtronic</t>
  </si>
  <si>
    <t xml:space="preserve">Launcher 6F JL 3.5, Medtronic </t>
  </si>
  <si>
    <t xml:space="preserve">Sprinter Legend, Medtronic 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</si>
  <si>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VIP, Terumo</t>
    </r>
  </si>
  <si>
    <t>Guidezilla™ II 6F, Boston Scientific</t>
  </si>
  <si>
    <t>Проводниковый Extension катетер</t>
  </si>
  <si>
    <t>ProVia 9 Hydro-Track®, Medtronic</t>
  </si>
  <si>
    <t>ProVia 3 Hydro-Track®, Medtronic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</si>
  <si>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</si>
  <si>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</si>
  <si>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</si>
  <si>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</si>
  <si>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</si>
  <si>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</si>
  <si>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</si>
  <si>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</si>
  <si>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</si>
  <si>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</si>
  <si>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</si>
  <si>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</si>
  <si>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</si>
  <si>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</si>
  <si>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</si>
  <si>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</si>
  <si>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</si>
  <si>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</si>
  <si>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</si>
  <si>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</si>
  <si>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</si>
  <si>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</si>
  <si>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</si>
  <si>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</si>
  <si>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</si>
  <si>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</si>
  <si>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</si>
  <si>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</si>
  <si>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</si>
  <si>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</si>
  <si>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</si>
  <si>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</si>
  <si>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</si>
  <si>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</si>
  <si>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</si>
  <si>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</si>
  <si>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</si>
  <si>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</si>
  <si>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</si>
  <si>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</si>
  <si>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</si>
  <si>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</si>
  <si>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</si>
  <si>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</si>
  <si>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</si>
  <si>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</si>
  <si>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</si>
  <si>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</si>
  <si>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</si>
  <si>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</si>
  <si>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</si>
  <si>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</si>
  <si>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</si>
  <si>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</si>
  <si>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</si>
  <si>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</si>
  <si>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</si>
  <si>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</si>
  <si>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</si>
  <si>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</si>
  <si>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</si>
  <si>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</si>
  <si>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</si>
  <si>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</si>
  <si>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</si>
  <si>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</si>
  <si>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4.5 - 22</t>
  </si>
  <si>
    <t>5.0 - 12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</si>
  <si>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</si>
  <si>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</si>
  <si>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</si>
  <si>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</si>
  <si>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</si>
  <si>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</si>
  <si>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</si>
  <si>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>NC Accuforce, Terumo</t>
  </si>
  <si>
    <t xml:space="preserve">№ Отделения </t>
  </si>
  <si>
    <t xml:space="preserve">Заведующий отделения: </t>
  </si>
  <si>
    <t xml:space="preserve">Launcher 7F JL 4.0, Medtronic </t>
  </si>
  <si>
    <t xml:space="preserve">Launcher 7F JR 4.0, Medtronic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</si>
  <si>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</si>
  <si>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</si>
  <si>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</si>
  <si>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</si>
  <si>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</si>
  <si>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</si>
  <si>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</si>
  <si>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</si>
  <si>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</si>
  <si>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</si>
  <si>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</si>
  <si>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</si>
  <si>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</si>
  <si>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</si>
  <si>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</si>
  <si>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</si>
  <si>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</si>
  <si>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</si>
  <si>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</si>
  <si>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</si>
  <si>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</si>
  <si>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</si>
  <si>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</si>
  <si>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</si>
  <si>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</si>
  <si>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</si>
  <si>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</si>
  <si>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</si>
  <si>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</si>
  <si>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</si>
  <si>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</si>
  <si>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</si>
  <si>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</si>
  <si>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</si>
  <si>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</si>
  <si>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</si>
  <si>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</si>
  <si>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</si>
  <si>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</si>
  <si>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</si>
  <si>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</si>
  <si>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</si>
  <si>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</si>
  <si>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</si>
  <si>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</si>
  <si>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</si>
  <si>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</si>
  <si>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</si>
  <si>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</si>
  <si>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</si>
  <si>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</si>
  <si>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</si>
  <si>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</si>
  <si>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Транслюминальная баллонная ангиопластика коронарных артерий. БАП/63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</si>
  <si>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</si>
  <si>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</si>
  <si>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</si>
  <si>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</si>
  <si>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</si>
  <si>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</si>
  <si>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</si>
  <si>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</si>
  <si>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</si>
  <si>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</si>
  <si>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</si>
  <si>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</si>
  <si>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</si>
  <si>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</si>
  <si>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</si>
  <si>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</si>
  <si>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</si>
  <si>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</si>
  <si>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</si>
  <si>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</si>
  <si>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</si>
  <si>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</si>
  <si>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</si>
  <si>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</si>
  <si>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</si>
  <si>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</si>
  <si>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</si>
  <si>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</si>
  <si>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</si>
  <si>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Извлечён</t>
  </si>
  <si>
    <t>Thunder, Medtronic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</si>
  <si>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</si>
  <si>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</si>
  <si>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</si>
  <si>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</si>
  <si>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</si>
  <si>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</si>
  <si>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</si>
  <si>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</si>
  <si>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</si>
  <si>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</si>
  <si>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</si>
  <si>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</si>
  <si>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Правый</t>
  </si>
  <si>
    <t>лучевой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</si>
  <si>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</si>
  <si>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</si>
  <si>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</si>
  <si>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</si>
  <si>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</si>
  <si>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</si>
  <si>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</si>
  <si>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</si>
  <si>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</si>
  <si>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</si>
  <si>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</si>
  <si>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</si>
  <si>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</si>
  <si>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</si>
  <si>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</si>
  <si>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</si>
  <si>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</si>
  <si>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</si>
  <si>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</si>
  <si>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</si>
  <si>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</si>
  <si>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</si>
  <si>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</si>
  <si>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</si>
  <si>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</si>
  <si>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</si>
  <si>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</si>
  <si>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</si>
  <si>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</si>
  <si>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</si>
  <si>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</si>
  <si>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</si>
  <si>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</si>
  <si>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</si>
  <si>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</si>
  <si>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</si>
  <si>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</si>
  <si>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</si>
  <si>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</si>
  <si>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</si>
  <si>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</si>
  <si>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</si>
  <si>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</si>
  <si>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</si>
  <si>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</si>
  <si>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</si>
  <si>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</si>
  <si>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</si>
  <si>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</si>
  <si>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</si>
  <si>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</si>
  <si>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1. Контроль места пункции, повязка на 6ч. 2) Повязка на 6ч.</t>
  </si>
  <si>
    <t>ProVia 6 Hydro-Track®, Medtronic</t>
  </si>
  <si>
    <t>Старшая мед.сетра: О.Н. Черткова</t>
  </si>
  <si>
    <t>Fielder, Asahi</t>
  </si>
  <si>
    <t>Sion, Asahi</t>
  </si>
  <si>
    <t>100 ml</t>
  </si>
  <si>
    <t>DES</t>
  </si>
  <si>
    <t>ОКС с ↑ ST</t>
  </si>
  <si>
    <t>Cougar LS Hydro-Track®, Medtronic</t>
  </si>
  <si>
    <t>Sapphire</t>
  </si>
  <si>
    <t>Euphora</t>
  </si>
  <si>
    <t>Intuition</t>
  </si>
  <si>
    <t xml:space="preserve">DES, Resolute Integtity, Medtronic 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</si>
  <si>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</si>
  <si>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</si>
  <si>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</si>
  <si>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</si>
  <si>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</si>
  <si>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</si>
  <si>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</si>
  <si>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</si>
  <si>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</si>
  <si>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</si>
  <si>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</si>
  <si>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</si>
  <si>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</si>
  <si>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</si>
  <si>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</si>
  <si>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</si>
  <si>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</si>
  <si>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</si>
  <si>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</si>
  <si>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</si>
  <si>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</si>
  <si>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</si>
  <si>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</si>
  <si>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</si>
  <si>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</si>
  <si>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</si>
  <si>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</si>
  <si>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Мошков В.В.</t>
  </si>
  <si>
    <t>Бассейн гипоплазирован, стенозы пркосимального сегмента 70%. Антеградный кровоток TIMI III.</t>
  </si>
  <si>
    <t>Выраженный кальциноз проксимального и среднего сегмента, стенозы проксимального сегмента 70%, субокклюзия среднего сегмента, антеградный кровоток по ПНА TIMI I. Стеноз устья ДВ1 70%. ИМА: стеноз пркосимальной трети до 50%.</t>
  </si>
  <si>
    <t>Кальциноз, стеноз устья 50%, неровность тела ствола ЛКА.</t>
  </si>
  <si>
    <t>Артерия крупная.Неровность контуров пркосимального и среднего сегмента, на границе среднего и дистального сегмента стеноз 40%, стенозы ЗБВ до 50%. Антеградный кровоток TIMI III.</t>
  </si>
  <si>
    <r>
      <t xml:space="preserve">С учётом клинических данных совместно с деж.кардиологом принято решение </t>
    </r>
    <r>
      <rPr>
        <sz val="11"/>
        <color theme="1"/>
        <rFont val="Calibri"/>
        <family val="2"/>
        <charset val="204"/>
        <scheme val="minor"/>
      </rPr>
      <t xml:space="preserve"> о целесообразности реваскуляризации ПНА. </t>
    </r>
  </si>
  <si>
    <t>300 ml</t>
  </si>
  <si>
    <t>Устье ЛКА катетеризировано проводниковым катетером Launcher EBU 3.5 6Fr. Коронарный проводник Sion заведен в дистальный сегмент ПМЖА. Реканализация выполнена БК Sprinter Legend 2.5-15, давленим 14 атм. В зону кальцинированного стеноза среднего сегмента не удалось позиционировать и имплантировать стент DES Resolute Integrity 2,5-22 mm (стент не имплантирован). С техническими сложностями удалось позиционировать и имплантировать в средний и частично проксимальный сегмент с полным покрытием значимых стенозов  DES Resolute Integrity 2,5-18 mm и DES Resolute Integrity 3,0-30 mm, давлением от 10 до 16 атм. соответственно. На контрольных съёмках ангиографический результат удовлетворительный, признаков краевых диссекций, тромбоза нет, кровоток по ПМЖА восстановлен, TIMI III. Пациент в стабильном состоянии переводится в ПРИТ для дальнейшего наблюдения и лечения.</t>
  </si>
  <si>
    <t>Бородкина С.А.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</si>
</sst>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sz val="13"/>
      <color theme="1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3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 style="hair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5" fillId="3" borderId="0" applyNumberFormat="0" applyBorder="0" applyAlignment="0" applyProtection="0"/>
    <xf numFmtId="164" fontId="5" fillId="3" borderId="0" applyNumberFormat="0" applyFill="0" applyAlignment="0"/>
    <xf numFmtId="0" fontId="10" fillId="0" borderId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3" fillId="8" borderId="0" applyNumberFormat="0" applyBorder="0" applyAlignment="0" applyProtection="0"/>
    <xf numFmtId="0" fontId="49" fillId="9" borderId="21" applyNumberFormat="0" applyAlignment="0" applyProtection="0"/>
  </cellStyleXfs>
  <cellXfs count="2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4" fillId="7" borderId="5" xfId="5" applyBorder="1" applyAlignment="1">
      <alignment horizontal="centerContinuous" vertical="center"/>
    </xf>
    <xf numFmtId="0" fontId="4" fillId="7" borderId="11" xfId="5" applyBorder="1" applyAlignment="1">
      <alignment horizontal="centerContinuous" vertical="center"/>
    </xf>
    <xf numFmtId="0" fontId="13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8" fillId="7" borderId="8" xfId="5" applyFont="1" applyBorder="1" applyAlignment="1">
      <alignment horizontal="left" vertical="center"/>
    </xf>
    <xf numFmtId="166" fontId="8" fillId="6" borderId="9" xfId="4" applyNumberFormat="1" applyFont="1" applyBorder="1" applyAlignment="1" applyProtection="1">
      <alignment horizontal="left" vertical="center"/>
      <protection locked="0"/>
    </xf>
    <xf numFmtId="0" fontId="13" fillId="0" borderId="3" xfId="0" applyFont="1" applyBorder="1" applyAlignment="1" applyProtection="1">
      <alignment vertical="center"/>
      <protection locked="0"/>
    </xf>
    <xf numFmtId="0" fontId="13" fillId="0" borderId="4" xfId="0" applyFont="1" applyBorder="1" applyAlignment="1" applyProtection="1">
      <alignment vertical="center"/>
      <protection locked="0"/>
    </xf>
    <xf numFmtId="0" fontId="13" fillId="0" borderId="9" xfId="0" applyFont="1" applyBorder="1" applyAlignment="1" applyProtection="1">
      <alignment vertical="center"/>
      <protection locked="0"/>
    </xf>
    <xf numFmtId="0" fontId="13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0" fillId="0" borderId="5" xfId="0" applyBorder="1" applyAlignment="1"/>
    <xf numFmtId="0" fontId="0" fillId="0" borderId="0" xfId="0" applyBorder="1" applyAlignment="1"/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12" xfId="0" applyFont="1" applyBorder="1" applyAlignment="1">
      <alignment horizontal="centerContinuous" vertical="center"/>
    </xf>
    <xf numFmtId="0" fontId="41" fillId="0" borderId="0" xfId="0" applyFont="1" applyBorder="1" applyAlignment="1">
      <alignment horizontal="centerContinuous" vertical="center" wrapText="1"/>
    </xf>
    <xf numFmtId="0" fontId="0" fillId="0" borderId="5" xfId="0" applyBorder="1" applyAlignment="1">
      <alignment vertical="top" wrapText="1"/>
    </xf>
    <xf numFmtId="0" fontId="27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3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0" fillId="0" borderId="8" xfId="0" applyBorder="1" applyAlignment="1"/>
    <xf numFmtId="0" fontId="0" fillId="0" borderId="11" xfId="0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3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3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3" fillId="0" borderId="12" xfId="0" applyFont="1" applyBorder="1" applyAlignment="1" applyProtection="1">
      <alignment vertical="top" wrapText="1"/>
      <protection locked="0"/>
    </xf>
    <xf numFmtId="0" fontId="13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43" fillId="0" borderId="0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8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3" fillId="0" borderId="3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3" fillId="0" borderId="5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3" fillId="0" borderId="9" xfId="0" applyNumberFormat="1" applyFont="1" applyBorder="1" applyAlignment="1" applyProtection="1">
      <alignment horizontal="left" vertical="center"/>
      <protection locked="0"/>
    </xf>
    <xf numFmtId="0" fontId="8" fillId="7" borderId="15" xfId="5" applyFont="1" applyBorder="1" applyAlignment="1">
      <alignment horizontal="left" vertical="center"/>
    </xf>
    <xf numFmtId="166" fontId="8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3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3" fillId="0" borderId="9" xfId="0" applyFont="1" applyBorder="1" applyAlignment="1" applyProtection="1">
      <alignment vertical="center"/>
    </xf>
    <xf numFmtId="0" fontId="13" fillId="0" borderId="7" xfId="0" applyFont="1" applyBorder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28" fillId="0" borderId="5" xfId="0" applyFont="1" applyBorder="1" applyAlignment="1" applyProtection="1">
      <alignment vertical="center"/>
      <protection locked="0"/>
    </xf>
    <xf numFmtId="166" fontId="48" fillId="0" borderId="19" xfId="0" applyNumberFormat="1" applyFont="1" applyBorder="1" applyAlignment="1" applyProtection="1">
      <alignment horizontal="center" vertical="center" wrapText="1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20" fontId="3" fillId="0" borderId="19" xfId="0" applyNumberFormat="1" applyFont="1" applyBorder="1" applyAlignment="1" applyProtection="1">
      <alignment horizontal="center" vertical="center" wrapText="1"/>
      <protection locked="0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13" fillId="8" borderId="22" xfId="6" applyFont="1" applyBorder="1" applyAlignment="1">
      <alignment horizontal="left" vertical="center"/>
    </xf>
    <xf numFmtId="0" fontId="19" fillId="5" borderId="24" xfId="0" applyFont="1" applyFill="1" applyBorder="1" applyAlignment="1">
      <alignment horizontal="left" vertical="center"/>
    </xf>
    <xf numFmtId="0" fontId="15" fillId="0" borderId="10" xfId="0" applyFont="1" applyBorder="1" applyAlignment="1">
      <alignment horizontal="right"/>
    </xf>
    <xf numFmtId="165" fontId="15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Continuous"/>
    </xf>
    <xf numFmtId="0" fontId="17" fillId="0" borderId="11" xfId="0" applyFont="1" applyBorder="1" applyAlignment="1">
      <alignment horizontal="right" vertical="top"/>
    </xf>
    <xf numFmtId="0" fontId="16" fillId="0" borderId="12" xfId="0" applyFont="1" applyBorder="1" applyAlignment="1">
      <alignment horizontal="centerContinuous" vertical="top"/>
    </xf>
    <xf numFmtId="0" fontId="14" fillId="0" borderId="0" xfId="0" applyFont="1" applyBorder="1" applyAlignment="1">
      <alignment horizontal="centerContinuous"/>
    </xf>
    <xf numFmtId="0" fontId="19" fillId="5" borderId="26" xfId="0" applyFont="1" applyFill="1" applyBorder="1" applyAlignment="1">
      <alignment horizontal="left" vertical="center"/>
    </xf>
    <xf numFmtId="0" fontId="51" fillId="9" borderId="21" xfId="7" applyFont="1" applyBorder="1" applyAlignment="1">
      <alignment horizontal="left" vertical="center"/>
    </xf>
    <xf numFmtId="14" fontId="50" fillId="9" borderId="28" xfId="7" applyNumberFormat="1" applyFont="1" applyBorder="1" applyAlignment="1" applyProtection="1">
      <alignment horizontal="right" vertical="center"/>
    </xf>
    <xf numFmtId="0" fontId="50" fillId="9" borderId="28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14" fontId="51" fillId="9" borderId="21" xfId="7" applyNumberFormat="1" applyFont="1" applyBorder="1" applyAlignment="1">
      <alignment horizontal="left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8" fillId="0" borderId="25" xfId="0" applyFont="1" applyBorder="1" applyAlignment="1">
      <alignment horizontal="justify" vertical="center" wrapText="1"/>
    </xf>
    <xf numFmtId="0" fontId="34" fillId="0" borderId="25" xfId="0" applyFont="1" applyBorder="1" applyAlignment="1" applyProtection="1">
      <alignment horizontal="justify" vertical="center" wrapText="1"/>
      <protection locked="0"/>
    </xf>
    <xf numFmtId="0" fontId="12" fillId="0" borderId="25" xfId="0" applyFont="1" applyBorder="1" applyAlignment="1" applyProtection="1">
      <alignment horizontal="center" vertical="center"/>
      <protection locked="0"/>
    </xf>
    <xf numFmtId="0" fontId="12" fillId="0" borderId="25" xfId="0" applyFont="1" applyFill="1" applyBorder="1" applyAlignment="1" applyProtection="1">
      <alignment horizontal="center" vertical="center"/>
      <protection locked="0"/>
    </xf>
    <xf numFmtId="0" fontId="8" fillId="0" borderId="25" xfId="0" applyNumberFormat="1" applyFont="1" applyFill="1" applyBorder="1" applyAlignment="1">
      <alignment horizontal="justify" vertical="center" wrapText="1"/>
    </xf>
    <xf numFmtId="0" fontId="34" fillId="0" borderId="25" xfId="0" applyFont="1" applyFill="1" applyBorder="1" applyAlignment="1" applyProtection="1">
      <alignment horizontal="justify" vertical="center" wrapText="1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3" fillId="0" borderId="25" xfId="0" applyNumberFormat="1" applyFont="1" applyFill="1" applyBorder="1" applyAlignment="1">
      <alignment horizontal="justify" vertical="center" wrapText="1"/>
    </xf>
    <xf numFmtId="0" fontId="24" fillId="0" borderId="25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49" fillId="9" borderId="27" xfId="7" applyBorder="1" applyAlignment="1" applyProtection="1">
      <alignment horizontal="left" vertical="center"/>
    </xf>
    <xf numFmtId="0" fontId="49" fillId="9" borderId="23" xfId="7" applyBorder="1" applyAlignment="1" applyProtection="1">
      <alignment horizontal="justify" vertical="justify" wrapText="1"/>
    </xf>
    <xf numFmtId="0" fontId="49" fillId="9" borderId="29" xfId="7" applyBorder="1" applyAlignment="1" applyProtection="1">
      <alignment horizontal="left" vertical="center"/>
    </xf>
    <xf numFmtId="0" fontId="49" fillId="9" borderId="21" xfId="7" applyBorder="1" applyAlignment="1" applyProtection="1">
      <alignment horizontal="justify" vertical="top" wrapText="1"/>
    </xf>
    <xf numFmtId="0" fontId="2" fillId="0" borderId="0" xfId="0" applyFont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49" fontId="0" fillId="0" borderId="0" xfId="0" applyNumberFormat="1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0" fontId="52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Font="1" applyBorder="1" applyAlignment="1" applyProtection="1">
      <alignment horizontal="justify" vertical="top" wrapText="1"/>
      <protection locked="0"/>
    </xf>
    <xf numFmtId="0" fontId="0" fillId="0" borderId="13" xfId="0" applyFont="1" applyBorder="1" applyAlignment="1" applyProtection="1">
      <alignment horizontal="justify" vertical="top" wrapText="1"/>
      <protection locked="0"/>
    </xf>
    <xf numFmtId="0" fontId="0" fillId="0" borderId="12" xfId="0" applyFont="1" applyBorder="1" applyAlignment="1" applyProtection="1">
      <alignment horizontal="justify" vertical="top" wrapText="1"/>
      <protection locked="0"/>
    </xf>
    <xf numFmtId="0" fontId="0" fillId="0" borderId="8" xfId="0" applyFont="1" applyBorder="1" applyAlignment="1" applyProtection="1">
      <alignment horizontal="justify" vertical="top" wrapText="1"/>
      <protection locked="0"/>
    </xf>
    <xf numFmtId="0" fontId="0" fillId="0" borderId="3" xfId="0" applyFont="1" applyBorder="1" applyAlignment="1" applyProtection="1">
      <alignment horizontal="justify" vertical="top" wrapText="1"/>
      <protection locked="0"/>
    </xf>
    <xf numFmtId="0" fontId="0" fillId="0" borderId="9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>
      <alignment horizontal="left" vertical="center" wrapText="1"/>
    </xf>
    <xf numFmtId="0" fontId="39" fillId="0" borderId="5" xfId="0" applyFont="1" applyBorder="1" applyAlignment="1">
      <alignment horizontal="left" vertical="center" wrapText="1"/>
    </xf>
    <xf numFmtId="0" fontId="0" fillId="0" borderId="12" xfId="0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3" xfId="0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3" xfId="0" applyFont="1" applyBorder="1" applyAlignment="1" applyProtection="1">
      <alignment horizontal="justify" vertical="top" wrapText="1"/>
      <protection locked="0"/>
    </xf>
    <xf numFmtId="0" fontId="14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3" fillId="0" borderId="0" xfId="0" applyFont="1" applyBorder="1" applyAlignment="1" applyProtection="1">
      <alignment horizontal="justify" vertical="top" wrapText="1"/>
      <protection locked="0"/>
    </xf>
    <xf numFmtId="0" fontId="13" fillId="0" borderId="13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8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border outline="0">
        <left style="thin">
          <color theme="9" tint="0.39997558519241921"/>
        </left>
        <top style="thin">
          <color theme="9" tint="0.39997558519241921"/>
        </top>
      </border>
    </dxf>
    <dxf>
      <protection locked="1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outline="0">
        <left style="hair">
          <color auto="1"/>
        </left>
      </border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outline="0">
        <right style="hair">
          <color auto="1"/>
        </right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336127</xdr:colOff>
      <xdr:row>0</xdr:row>
      <xdr:rowOff>186266</xdr:rowOff>
    </xdr:from>
    <xdr:to>
      <xdr:col>7</xdr:col>
      <xdr:colOff>1044845</xdr:colOff>
      <xdr:row>2</xdr:row>
      <xdr:rowOff>115992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9687" y="186266"/>
          <a:ext cx="708718" cy="310726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45721</xdr:colOff>
      <xdr:row>36</xdr:row>
      <xdr:rowOff>15240</xdr:rowOff>
    </xdr:from>
    <xdr:to>
      <xdr:col>1</xdr:col>
      <xdr:colOff>1436370</xdr:colOff>
      <xdr:row>47</xdr:row>
      <xdr:rowOff>144780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CFC1C072-AE27-470F-92F3-3B1AA7059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1" y="6896100"/>
          <a:ext cx="2621279" cy="2141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336127</xdr:colOff>
      <xdr:row>0</xdr:row>
      <xdr:rowOff>186266</xdr:rowOff>
    </xdr:from>
    <xdr:to>
      <xdr:col>7</xdr:col>
      <xdr:colOff>1044845</xdr:colOff>
      <xdr:row>2</xdr:row>
      <xdr:rowOff>115992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B438B9EF-3E96-4AE0-B4F4-8EBE75EEB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107" y="186266"/>
          <a:ext cx="708718" cy="310726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106681</xdr:colOff>
      <xdr:row>38</xdr:row>
      <xdr:rowOff>38100</xdr:rowOff>
    </xdr:from>
    <xdr:to>
      <xdr:col>1</xdr:col>
      <xdr:colOff>1436370</xdr:colOff>
      <xdr:row>49</xdr:row>
      <xdr:rowOff>114300</xdr:rowOff>
    </xdr:to>
    <xdr:pic>
      <xdr:nvPicPr>
        <xdr:cNvPr id="8" name="Рисунок 7">
          <a:extLst>
            <a:ext uri="{FF2B5EF4-FFF2-40B4-BE49-F238E27FC236}">
              <a16:creationId xmlns="" xmlns:a16="http://schemas.microsoft.com/office/drawing/2014/main" id="{F4ED8ED8-F651-4F87-A9DE-A752ED1FB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1" y="7277100"/>
          <a:ext cx="2560319" cy="21031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25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57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25" totalsRowShown="0">
  <tableColumns count="26">
    <tableColumn id="1" name="Индекс1" dataDxfId="26">
      <calculatedColumnFormula>IF(ISNUMBER(SEARCH('Карта учёта'!$B$12,Расходка[[#This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учёта'!$B$13,Расходка[[#This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учёта'!$B$14,Расходка[Наименование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учёта'!$B$15,Расходка[Наименование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учёта'!$B$16,Расходка[Наименование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учёта'!$B$17,Расходка[Наименование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учёта'!$B$18,Расходка[Наименование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учёта'!$B$19,Расходка[Наименование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учёта'!$B$20,Расходка[Наименование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учёта'!$B$21,Расходка[Наименование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учёта'!$B$22,Расходка[Наименование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учёта'!$B$23,Расходка[Наименование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учёта'!$B$24,Расходка[Наименование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8" totalsRowShown="0">
  <autoFilter ref="A17:B78"/>
  <sortState ref="A18:B78">
    <sortCondition ref="A18:A78"/>
    <sortCondition ref="B18:B78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1:D24" totalsRowShown="0" headerRowDxfId="52">
  <tableColumns count="4">
    <tableColumn id="1" name="Расходный материал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5" headerRowBorderDxfId="46" tableBorder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L20" sqref="L2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53" t="s">
        <v>217</v>
      </c>
      <c r="B1" s="54"/>
      <c r="C1" s="54"/>
      <c r="D1" s="54"/>
      <c r="E1" s="54"/>
      <c r="F1" s="54"/>
      <c r="G1" s="54"/>
      <c r="H1" s="55"/>
    </row>
    <row r="2" spans="1:8">
      <c r="A2" s="56" t="s">
        <v>218</v>
      </c>
      <c r="B2" s="57"/>
      <c r="C2" s="57"/>
      <c r="D2" s="57"/>
      <c r="E2" s="57"/>
      <c r="F2" s="57"/>
      <c r="G2" s="57"/>
      <c r="H2" s="58"/>
    </row>
    <row r="3" spans="1:8">
      <c r="A3" s="56" t="s">
        <v>219</v>
      </c>
      <c r="B3" s="57"/>
      <c r="C3" s="57"/>
      <c r="D3" s="57"/>
      <c r="E3" s="57"/>
      <c r="F3" s="57"/>
      <c r="G3" s="57"/>
      <c r="H3" s="58"/>
    </row>
    <row r="4" spans="1:8">
      <c r="A4" s="59" t="s">
        <v>220</v>
      </c>
      <c r="B4" s="60"/>
      <c r="C4" s="60"/>
      <c r="D4" s="60"/>
      <c r="E4" s="60"/>
      <c r="F4" s="60"/>
      <c r="G4" s="60"/>
      <c r="H4" s="61"/>
    </row>
    <row r="5" spans="1:8">
      <c r="A5" s="46"/>
      <c r="B5" s="18"/>
      <c r="C5" s="18"/>
      <c r="D5" s="18"/>
      <c r="E5" s="18"/>
      <c r="F5" s="18"/>
      <c r="G5" s="18"/>
      <c r="H5" s="47"/>
    </row>
    <row r="6" spans="1:8">
      <c r="A6" s="193" t="s">
        <v>297</v>
      </c>
      <c r="B6" s="194"/>
      <c r="C6" s="194"/>
      <c r="D6" s="194"/>
      <c r="E6" s="194"/>
      <c r="F6" s="194"/>
      <c r="G6" s="194"/>
      <c r="H6" s="195"/>
    </row>
    <row r="7" spans="1:8">
      <c r="A7" s="6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63"/>
      <c r="D7" s="64"/>
      <c r="E7" s="64"/>
      <c r="F7" s="64"/>
      <c r="G7" s="18"/>
      <c r="H7" s="47"/>
    </row>
    <row r="8" spans="1:8" ht="18.75">
      <c r="A8" s="19" t="s">
        <v>275</v>
      </c>
      <c r="B8" s="25">
        <v>44641</v>
      </c>
      <c r="C8" s="65"/>
      <c r="D8" s="21" t="s">
        <v>268</v>
      </c>
      <c r="E8" s="34"/>
      <c r="F8" s="34"/>
      <c r="G8" s="22"/>
      <c r="H8" s="23"/>
    </row>
    <row r="9" spans="1:8" ht="15.6" customHeight="1">
      <c r="A9" s="26" t="s">
        <v>277</v>
      </c>
      <c r="B9" s="27">
        <v>0.47916666666666669</v>
      </c>
      <c r="C9" s="65"/>
      <c r="D9" s="125" t="s">
        <v>254</v>
      </c>
      <c r="E9" s="121"/>
      <c r="F9" s="121"/>
      <c r="G9" s="28" t="s">
        <v>245</v>
      </c>
      <c r="H9" s="30"/>
    </row>
    <row r="10" spans="1:8" ht="15.6" customHeight="1" thickBot="1">
      <c r="A10" s="108" t="s">
        <v>278</v>
      </c>
      <c r="B10" s="109">
        <v>0.4861111111111111</v>
      </c>
      <c r="C10" s="66"/>
      <c r="D10" s="126" t="s">
        <v>255</v>
      </c>
      <c r="E10" s="122"/>
      <c r="F10" s="122"/>
      <c r="G10" s="29" t="s">
        <v>241</v>
      </c>
      <c r="H10" s="31"/>
    </row>
    <row r="11" spans="1:8" ht="18" thickTop="1" thickBot="1">
      <c r="A11" s="115" t="s">
        <v>276</v>
      </c>
      <c r="B11" s="116" t="s">
        <v>407</v>
      </c>
      <c r="C11" s="67"/>
      <c r="D11" s="126" t="s">
        <v>252</v>
      </c>
      <c r="E11" s="122"/>
      <c r="F11" s="122"/>
      <c r="G11" s="29" t="s">
        <v>258</v>
      </c>
      <c r="H11" s="31"/>
    </row>
    <row r="12" spans="1:8" ht="16.5" thickTop="1">
      <c r="A12" s="106" t="s">
        <v>8</v>
      </c>
      <c r="B12" s="107">
        <v>18820</v>
      </c>
      <c r="C12" s="68"/>
      <c r="D12" s="126" t="s">
        <v>406</v>
      </c>
      <c r="E12" s="122"/>
      <c r="F12" s="122"/>
      <c r="G12" s="29" t="s">
        <v>346</v>
      </c>
      <c r="H12" s="31"/>
    </row>
    <row r="13" spans="1:8" ht="15.75">
      <c r="A13" s="20" t="s">
        <v>10</v>
      </c>
      <c r="B13" s="35">
        <f>DATEDIF(B12,B8,"y")</f>
        <v>70</v>
      </c>
      <c r="C13" s="68"/>
      <c r="D13" s="126" t="s">
        <v>266</v>
      </c>
      <c r="E13" s="122"/>
      <c r="F13" s="122"/>
      <c r="G13" s="29" t="s">
        <v>233</v>
      </c>
      <c r="H13" s="31"/>
    </row>
    <row r="14" spans="1:8" ht="15.75">
      <c r="A14" s="20" t="s">
        <v>12</v>
      </c>
      <c r="B14" s="24">
        <v>4124</v>
      </c>
      <c r="C14" s="68"/>
      <c r="D14" s="42"/>
      <c r="E14" s="42"/>
      <c r="F14" s="42"/>
      <c r="G14" s="43"/>
      <c r="H14" s="69"/>
    </row>
    <row r="15" spans="1:8" ht="15.75">
      <c r="A15" s="20" t="s">
        <v>213</v>
      </c>
      <c r="B15" s="24">
        <v>35</v>
      </c>
      <c r="C15" s="18"/>
      <c r="D15" s="42"/>
      <c r="E15" s="42"/>
      <c r="F15" s="42"/>
      <c r="G15" s="123" t="s">
        <v>362</v>
      </c>
      <c r="H15" s="124" t="s">
        <v>366</v>
      </c>
    </row>
    <row r="16" spans="1:8" ht="15.6" customHeight="1">
      <c r="A16" s="20" t="s">
        <v>147</v>
      </c>
      <c r="B16" s="24" t="s">
        <v>374</v>
      </c>
      <c r="C16" s="18"/>
      <c r="D16" s="42"/>
      <c r="E16" s="42"/>
      <c r="F16" s="42"/>
      <c r="G16" s="128"/>
      <c r="H16" s="129"/>
    </row>
    <row r="17" spans="1:8" ht="14.45" customHeight="1">
      <c r="A17" s="48"/>
      <c r="B17" s="36"/>
      <c r="C17" s="36"/>
      <c r="D17" s="114"/>
      <c r="E17" s="114"/>
      <c r="F17" s="114"/>
      <c r="G17" s="36"/>
      <c r="H17" s="49"/>
    </row>
    <row r="18" spans="1:8" ht="14.45" customHeight="1">
      <c r="A18" s="70" t="s">
        <v>272</v>
      </c>
      <c r="B18" s="113" t="s">
        <v>314</v>
      </c>
      <c r="C18" s="18"/>
      <c r="D18" s="33" t="s">
        <v>294</v>
      </c>
      <c r="E18" s="33"/>
      <c r="F18" s="33"/>
      <c r="G18" s="110" t="s">
        <v>273</v>
      </c>
      <c r="H18" s="111" t="s">
        <v>315</v>
      </c>
    </row>
    <row r="19" spans="1:8" ht="14.45" customHeight="1">
      <c r="A19" s="48"/>
      <c r="B19" s="36"/>
      <c r="C19" s="36"/>
      <c r="D19" s="39"/>
      <c r="E19" s="39"/>
      <c r="F19" s="39"/>
      <c r="G19" s="36"/>
      <c r="H19" s="49"/>
    </row>
    <row r="20" spans="1:8" ht="14.45" customHeight="1">
      <c r="A20" s="70" t="s">
        <v>296</v>
      </c>
      <c r="B20" s="196" t="s">
        <v>410</v>
      </c>
      <c r="C20" s="196"/>
      <c r="D20" s="196"/>
      <c r="E20" s="196"/>
      <c r="F20" s="196"/>
      <c r="G20" s="196"/>
      <c r="H20" s="197"/>
    </row>
    <row r="21" spans="1:8">
      <c r="A21" s="71"/>
      <c r="B21" s="198"/>
      <c r="C21" s="198"/>
      <c r="D21" s="198"/>
      <c r="E21" s="198"/>
      <c r="F21" s="198"/>
      <c r="G21" s="198"/>
      <c r="H21" s="199"/>
    </row>
    <row r="22" spans="1:8" ht="15.6" customHeight="1">
      <c r="A22" s="72" t="s">
        <v>359</v>
      </c>
      <c r="B22" s="200" t="s">
        <v>409</v>
      </c>
      <c r="C22" s="200"/>
      <c r="D22" s="200"/>
      <c r="E22" s="200"/>
      <c r="F22" s="200"/>
      <c r="G22" s="200"/>
      <c r="H22" s="201"/>
    </row>
    <row r="23" spans="1:8" ht="14.45" customHeight="1">
      <c r="A23" s="46"/>
      <c r="B23" s="202"/>
      <c r="C23" s="202"/>
      <c r="D23" s="202"/>
      <c r="E23" s="202"/>
      <c r="F23" s="202"/>
      <c r="G23" s="202"/>
      <c r="H23" s="203"/>
    </row>
    <row r="24" spans="1:8" ht="14.45" customHeight="1">
      <c r="A24" s="73"/>
      <c r="B24" s="202"/>
      <c r="C24" s="202"/>
      <c r="D24" s="202"/>
      <c r="E24" s="202"/>
      <c r="F24" s="202"/>
      <c r="G24" s="202"/>
      <c r="H24" s="203"/>
    </row>
    <row r="25" spans="1:8" ht="14.45" customHeight="1">
      <c r="A25" s="46"/>
      <c r="B25" s="202"/>
      <c r="C25" s="202"/>
      <c r="D25" s="202"/>
      <c r="E25" s="202"/>
      <c r="F25" s="202"/>
      <c r="G25" s="202"/>
      <c r="H25" s="203"/>
    </row>
    <row r="26" spans="1:8" ht="14.45" customHeight="1">
      <c r="A26" s="48"/>
      <c r="B26" s="204"/>
      <c r="C26" s="204"/>
      <c r="D26" s="204"/>
      <c r="E26" s="204"/>
      <c r="F26" s="204"/>
      <c r="G26" s="204"/>
      <c r="H26" s="205"/>
    </row>
    <row r="27" spans="1:8" ht="14.45" customHeight="1">
      <c r="A27" s="72" t="s">
        <v>360</v>
      </c>
      <c r="B27" s="200" t="s">
        <v>408</v>
      </c>
      <c r="C27" s="200"/>
      <c r="D27" s="200"/>
      <c r="E27" s="200"/>
      <c r="F27" s="200"/>
      <c r="G27" s="200"/>
      <c r="H27" s="201"/>
    </row>
    <row r="28" spans="1:8" ht="15.6" customHeight="1">
      <c r="A28" s="46"/>
      <c r="B28" s="202"/>
      <c r="C28" s="202"/>
      <c r="D28" s="202"/>
      <c r="E28" s="202"/>
      <c r="F28" s="202"/>
      <c r="G28" s="202"/>
      <c r="H28" s="203"/>
    </row>
    <row r="29" spans="1:8" ht="14.45" customHeight="1">
      <c r="A29" s="46"/>
      <c r="B29" s="202"/>
      <c r="C29" s="202"/>
      <c r="D29" s="202"/>
      <c r="E29" s="202"/>
      <c r="F29" s="202"/>
      <c r="G29" s="202"/>
      <c r="H29" s="203"/>
    </row>
    <row r="30" spans="1:8" ht="14.45" customHeight="1">
      <c r="A30" s="37"/>
      <c r="B30" s="202"/>
      <c r="C30" s="202"/>
      <c r="D30" s="202"/>
      <c r="E30" s="202"/>
      <c r="F30" s="202"/>
      <c r="G30" s="202"/>
      <c r="H30" s="203"/>
    </row>
    <row r="31" spans="1:8" ht="14.45" customHeight="1">
      <c r="A31" s="38"/>
      <c r="B31" s="204"/>
      <c r="C31" s="204"/>
      <c r="D31" s="204"/>
      <c r="E31" s="204"/>
      <c r="F31" s="204"/>
      <c r="G31" s="204"/>
      <c r="H31" s="205"/>
    </row>
    <row r="32" spans="1:8" ht="14.45" customHeight="1">
      <c r="A32" s="72" t="s">
        <v>361</v>
      </c>
      <c r="B32" s="200" t="s">
        <v>411</v>
      </c>
      <c r="C32" s="200"/>
      <c r="D32" s="200"/>
      <c r="E32" s="200"/>
      <c r="F32" s="200"/>
      <c r="G32" s="200"/>
      <c r="H32" s="201"/>
    </row>
    <row r="33" spans="1:8" ht="14.45" customHeight="1">
      <c r="A33" s="46"/>
      <c r="B33" s="202"/>
      <c r="C33" s="202"/>
      <c r="D33" s="202"/>
      <c r="E33" s="202"/>
      <c r="F33" s="202"/>
      <c r="G33" s="202"/>
      <c r="H33" s="203"/>
    </row>
    <row r="34" spans="1:8" ht="15.6" customHeight="1">
      <c r="A34" s="46"/>
      <c r="B34" s="202"/>
      <c r="C34" s="202"/>
      <c r="D34" s="202"/>
      <c r="E34" s="202"/>
      <c r="F34" s="202"/>
      <c r="G34" s="202"/>
      <c r="H34" s="203"/>
    </row>
    <row r="35" spans="1:8" ht="14.45" customHeight="1">
      <c r="A35" s="46"/>
      <c r="B35" s="202"/>
      <c r="C35" s="202"/>
      <c r="D35" s="202"/>
      <c r="E35" s="202"/>
      <c r="F35" s="202"/>
      <c r="G35" s="202"/>
      <c r="H35" s="203"/>
    </row>
    <row r="36" spans="1:8" ht="15.6" customHeight="1">
      <c r="A36" s="74"/>
      <c r="B36" s="204"/>
      <c r="C36" s="204"/>
      <c r="D36" s="204"/>
      <c r="E36" s="204"/>
      <c r="F36" s="204"/>
      <c r="G36" s="204"/>
      <c r="H36" s="205"/>
    </row>
    <row r="37" spans="1:8" ht="14.45" customHeight="1">
      <c r="A37" s="32"/>
      <c r="B37" s="44"/>
      <c r="C37" s="188" t="str">
        <f>IF($A$6=Вмешательства!$D$3,Вмешательства!$N$2,"")</f>
        <v/>
      </c>
      <c r="D37" s="189"/>
      <c r="E37" s="52"/>
      <c r="F37" s="52"/>
      <c r="G37" s="52"/>
      <c r="H37" s="75"/>
    </row>
    <row r="38" spans="1:8" ht="14.45" customHeight="1">
      <c r="A38" s="46"/>
      <c r="B38" s="45"/>
      <c r="C38" s="190"/>
      <c r="D38" s="191"/>
      <c r="E38" s="191"/>
      <c r="F38" s="191"/>
      <c r="G38" s="191"/>
      <c r="H38" s="192"/>
    </row>
    <row r="39" spans="1:8" ht="14.45" customHeight="1">
      <c r="A39" s="40"/>
      <c r="B39" s="41"/>
      <c r="C39" s="190"/>
      <c r="D39" s="191"/>
      <c r="E39" s="191"/>
      <c r="F39" s="191"/>
      <c r="G39" s="191"/>
      <c r="H39" s="192"/>
    </row>
    <row r="40" spans="1:8" ht="14.45" customHeight="1">
      <c r="A40" s="40"/>
      <c r="B40" s="41"/>
      <c r="C40" s="190"/>
      <c r="D40" s="191"/>
      <c r="E40" s="191"/>
      <c r="F40" s="191"/>
      <c r="G40" s="191"/>
      <c r="H40" s="192"/>
    </row>
    <row r="41" spans="1:8" ht="14.45" customHeight="1">
      <c r="A41" s="40"/>
      <c r="B41" s="41"/>
      <c r="C41" s="190"/>
      <c r="D41" s="191"/>
      <c r="E41" s="191"/>
      <c r="F41" s="191"/>
      <c r="G41" s="191"/>
      <c r="H41" s="192"/>
    </row>
    <row r="42" spans="1:8" ht="14.45" customHeight="1">
      <c r="A42" s="40"/>
      <c r="B42" s="41"/>
      <c r="C42" s="50" t="s">
        <v>271</v>
      </c>
      <c r="D42" s="51"/>
      <c r="E42" s="51"/>
      <c r="F42" s="51"/>
      <c r="G42" s="51"/>
      <c r="H42" s="76"/>
    </row>
    <row r="43" spans="1:8" ht="14.45" customHeight="1">
      <c r="A43" s="40"/>
      <c r="B43" s="41"/>
      <c r="C43" s="181" t="s">
        <v>412</v>
      </c>
      <c r="D43" s="182"/>
      <c r="E43" s="182"/>
      <c r="F43" s="182"/>
      <c r="G43" s="182"/>
      <c r="H43" s="183"/>
    </row>
    <row r="44" spans="1:8" ht="14.45" customHeight="1">
      <c r="A44" s="40"/>
      <c r="B44" s="41"/>
      <c r="C44" s="184"/>
      <c r="D44" s="182"/>
      <c r="E44" s="182"/>
      <c r="F44" s="182"/>
      <c r="G44" s="182"/>
      <c r="H44" s="183"/>
    </row>
    <row r="45" spans="1:8" ht="14.45" customHeight="1">
      <c r="A45" s="40"/>
      <c r="B45" s="41"/>
      <c r="C45" s="184"/>
      <c r="D45" s="182"/>
      <c r="E45" s="182"/>
      <c r="F45" s="182"/>
      <c r="G45" s="182"/>
      <c r="H45" s="183"/>
    </row>
    <row r="46" spans="1:8">
      <c r="A46" s="40"/>
      <c r="B46" s="41"/>
      <c r="C46" s="184"/>
      <c r="D46" s="182"/>
      <c r="E46" s="182"/>
      <c r="F46" s="182"/>
      <c r="G46" s="182"/>
      <c r="H46" s="183"/>
    </row>
    <row r="47" spans="1:8">
      <c r="A47" s="46"/>
      <c r="B47" s="18"/>
      <c r="C47" s="184"/>
      <c r="D47" s="182"/>
      <c r="E47" s="182"/>
      <c r="F47" s="182"/>
      <c r="G47" s="182"/>
      <c r="H47" s="183"/>
    </row>
    <row r="48" spans="1:8">
      <c r="A48" s="48"/>
      <c r="B48" s="36"/>
      <c r="C48" s="185"/>
      <c r="D48" s="186"/>
      <c r="E48" s="186"/>
      <c r="F48" s="186"/>
      <c r="G48" s="186"/>
      <c r="H48" s="187"/>
    </row>
    <row r="49" spans="1:13">
      <c r="A49" s="46"/>
      <c r="B49" s="18"/>
      <c r="C49" s="18"/>
      <c r="D49" s="18"/>
      <c r="E49" s="18"/>
      <c r="F49" s="18"/>
      <c r="G49" s="18"/>
      <c r="H49" s="47"/>
    </row>
    <row r="50" spans="1:13">
      <c r="A50" s="46"/>
      <c r="B50" s="18"/>
      <c r="C50" s="18"/>
      <c r="D50" s="18"/>
      <c r="E50" s="18"/>
      <c r="F50" s="18"/>
      <c r="G50" s="18"/>
      <c r="H50" s="47"/>
      <c r="M50" t="s">
        <v>295</v>
      </c>
    </row>
    <row r="51" spans="1:13">
      <c r="A51" s="77" t="s">
        <v>283</v>
      </c>
      <c r="B51" s="78" t="s">
        <v>372</v>
      </c>
      <c r="C51" s="18"/>
      <c r="D51" s="18"/>
      <c r="E51" s="18"/>
      <c r="F51" s="18"/>
      <c r="G51" s="97" t="str">
        <f>$G$9</f>
        <v>Щербаков А.С.</v>
      </c>
      <c r="H51" s="79"/>
    </row>
    <row r="52" spans="1:13">
      <c r="A52" s="46"/>
      <c r="B52" s="18"/>
      <c r="C52" s="18"/>
      <c r="D52" s="18"/>
      <c r="E52" s="18"/>
      <c r="F52" s="18"/>
      <c r="G52" s="18"/>
      <c r="H52" s="47"/>
    </row>
    <row r="53" spans="1:13">
      <c r="A53" s="80" t="s">
        <v>290</v>
      </c>
      <c r="B53" s="81" t="s">
        <v>300</v>
      </c>
      <c r="C53" s="18"/>
      <c r="D53" s="18"/>
      <c r="E53" s="18"/>
      <c r="F53" s="18"/>
      <c r="G53" s="97" t="str">
        <f>IF(ISBLANK(H9),"",H9)</f>
        <v/>
      </c>
      <c r="H53" s="79"/>
    </row>
    <row r="54" spans="1:13">
      <c r="A54" s="48"/>
      <c r="B54" s="36"/>
      <c r="C54" s="36"/>
      <c r="D54" s="36"/>
      <c r="E54" s="36"/>
      <c r="F54" s="36"/>
      <c r="G54" s="36"/>
      <c r="H54" s="49"/>
    </row>
  </sheetData>
  <sheetProtection sheet="1" objects="1" scenarios="1" formatCells="0" formatColumns="0"/>
  <mergeCells count="8">
    <mergeCell ref="C43:H48"/>
    <mergeCell ref="C37:D37"/>
    <mergeCell ref="C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"Убран,Извлечён,М/О ушито Angio-Seal™"</formula1>
    </dataValidation>
    <dataValidation type="list" allowBlank="1" showInputMessage="1" showErrorMessage="1" sqref="H18">
      <formula1>"лучевой,бедренный,дистальный,"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information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L33" sqref="L3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53" t="s">
        <v>217</v>
      </c>
      <c r="B1" s="54"/>
      <c r="C1" s="54"/>
      <c r="D1" s="54"/>
      <c r="E1" s="54"/>
      <c r="F1" s="54"/>
      <c r="G1" s="54"/>
      <c r="H1" s="55"/>
    </row>
    <row r="2" spans="1:8">
      <c r="A2" s="56" t="s">
        <v>218</v>
      </c>
      <c r="B2" s="57"/>
      <c r="C2" s="57"/>
      <c r="D2" s="57"/>
      <c r="E2" s="57"/>
      <c r="F2" s="57"/>
      <c r="G2" s="57"/>
      <c r="H2" s="58"/>
    </row>
    <row r="3" spans="1:8">
      <c r="A3" s="56" t="s">
        <v>219</v>
      </c>
      <c r="B3" s="57"/>
      <c r="C3" s="57"/>
      <c r="D3" s="57"/>
      <c r="E3" s="57"/>
      <c r="F3" s="57"/>
      <c r="G3" s="57"/>
      <c r="H3" s="58"/>
    </row>
    <row r="4" spans="1:8">
      <c r="A4" s="59" t="s">
        <v>220</v>
      </c>
      <c r="B4" s="60"/>
      <c r="C4" s="60"/>
      <c r="D4" s="60"/>
      <c r="E4" s="60"/>
      <c r="F4" s="60"/>
      <c r="G4" s="60"/>
      <c r="H4" s="61"/>
    </row>
    <row r="5" spans="1:8">
      <c r="A5" s="46"/>
      <c r="B5" s="18"/>
      <c r="C5" s="18"/>
      <c r="D5" s="18"/>
      <c r="E5" s="18"/>
      <c r="F5" s="18"/>
      <c r="G5" s="18"/>
      <c r="H5" s="47"/>
    </row>
    <row r="6" spans="1:8" ht="15.6" customHeight="1">
      <c r="A6" s="212" t="s">
        <v>292</v>
      </c>
      <c r="B6" s="213"/>
      <c r="C6" s="213"/>
      <c r="D6" s="213"/>
      <c r="E6" s="213"/>
      <c r="F6" s="213"/>
      <c r="G6" s="213"/>
      <c r="H6" s="214"/>
    </row>
    <row r="7" spans="1:8" ht="21.6" customHeight="1">
      <c r="A7" s="212"/>
      <c r="B7" s="213"/>
      <c r="C7" s="213"/>
      <c r="D7" s="213"/>
      <c r="E7" s="213"/>
      <c r="F7" s="213"/>
      <c r="G7" s="213"/>
      <c r="H7" s="214"/>
    </row>
    <row r="8" spans="1:8">
      <c r="A8" s="6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1" t="s">
        <v>307</v>
      </c>
      <c r="D8" s="211"/>
      <c r="E8" s="211"/>
      <c r="F8" s="90">
        <v>2</v>
      </c>
      <c r="G8" s="101" t="s">
        <v>373</v>
      </c>
      <c r="H8" s="47"/>
    </row>
    <row r="9" spans="1:8">
      <c r="A9" s="62" t="str">
        <f>"Код модели:"&amp;" "&amp;IFERROR(IF(A6=Вмешательства!D4,INDEX(Модель_Метод[Код модели],MATCH(ЧКВ!B20,Модель_Метод[Модель],0)),""),"")</f>
        <v>Код модели: 21166</v>
      </c>
      <c r="B9" s="18"/>
      <c r="C9" s="211"/>
      <c r="D9" s="211"/>
      <c r="E9" s="211"/>
      <c r="F9" s="90"/>
      <c r="G9" s="101"/>
      <c r="H9" s="47"/>
    </row>
    <row r="10" spans="1:8">
      <c r="A10" s="62" t="str">
        <f>"Код метода:"&amp;" "&amp;IF(SUM(F8:F10)=1,47,IF(SUM(F8:F10)=2,46,IF(SUM(F8:F10)&gt;=3,45,"")))</f>
        <v>Код метода: 46</v>
      </c>
      <c r="B10" s="18"/>
      <c r="C10" s="211"/>
      <c r="D10" s="211"/>
      <c r="E10" s="211"/>
      <c r="F10" s="90"/>
      <c r="G10" s="101"/>
      <c r="H10" s="47"/>
    </row>
    <row r="11" spans="1:8">
      <c r="A11" s="46"/>
      <c r="B11" s="18"/>
      <c r="C11" s="67"/>
      <c r="D11" s="18"/>
      <c r="E11" s="18"/>
      <c r="F11" s="18"/>
      <c r="G11" s="18"/>
      <c r="H11" s="47"/>
    </row>
    <row r="12" spans="1:8" ht="18.75">
      <c r="A12" s="98" t="s">
        <v>275</v>
      </c>
      <c r="B12" s="25">
        <f>КАГ!B8</f>
        <v>44641</v>
      </c>
      <c r="C12" s="68"/>
      <c r="D12" s="21" t="s">
        <v>268</v>
      </c>
      <c r="E12" s="34"/>
      <c r="F12" s="34"/>
      <c r="G12" s="22"/>
      <c r="H12" s="23"/>
    </row>
    <row r="13" spans="1:8" ht="15.75">
      <c r="A13" s="99" t="s">
        <v>277</v>
      </c>
      <c r="B13" s="27">
        <v>0.4861111111111111</v>
      </c>
      <c r="C13" s="68"/>
      <c r="D13" s="121" t="s">
        <v>254</v>
      </c>
      <c r="E13" s="121"/>
      <c r="F13" s="121"/>
      <c r="G13" s="103" t="str">
        <f>КАГ!G9</f>
        <v>Щербаков А.С.</v>
      </c>
      <c r="H13" s="117" t="str">
        <f>IF(ISBLANK(КАГ!H9),"",КАГ!H9)</f>
        <v/>
      </c>
    </row>
    <row r="14" spans="1:8" ht="16.5" thickBot="1">
      <c r="A14" s="99" t="s">
        <v>278</v>
      </c>
      <c r="B14" s="27">
        <v>0.54166666666666663</v>
      </c>
      <c r="C14" s="68"/>
      <c r="D14" s="122" t="s">
        <v>255</v>
      </c>
      <c r="E14" s="122"/>
      <c r="F14" s="122"/>
      <c r="G14" s="104" t="str">
        <f>КАГ!G10</f>
        <v>Нефёдова А.А.</v>
      </c>
      <c r="H14" s="118" t="str">
        <f>IF(ISBLANK(КАГ!H10),"",КАГ!H10)</f>
        <v/>
      </c>
    </row>
    <row r="15" spans="1:8" ht="18" thickTop="1" thickBot="1">
      <c r="A15" s="115" t="s">
        <v>276</v>
      </c>
      <c r="B15" s="116" t="str">
        <f>КАГ!$B$11</f>
        <v>Мошков В.В.</v>
      </c>
      <c r="C15" s="18"/>
      <c r="D15" s="122" t="s">
        <v>252</v>
      </c>
      <c r="E15" s="122"/>
      <c r="F15" s="122"/>
      <c r="G15" s="104" t="str">
        <f>КАГ!G11</f>
        <v>Берина Е.В.</v>
      </c>
      <c r="H15" s="118" t="str">
        <f>IF(ISBLANK(КАГ!H11),"",КАГ!H11)</f>
        <v/>
      </c>
    </row>
    <row r="16" spans="1:8" ht="16.5" thickTop="1">
      <c r="A16" s="83" t="s">
        <v>8</v>
      </c>
      <c r="B16" s="82">
        <f>КАГ!B12</f>
        <v>18820</v>
      </c>
      <c r="C16" s="18"/>
      <c r="D16" s="122" t="s">
        <v>406</v>
      </c>
      <c r="E16" s="122"/>
      <c r="F16" s="122"/>
      <c r="G16" s="104" t="str">
        <f>КАГ!G12</f>
        <v>Капралова Е.А.</v>
      </c>
      <c r="H16" s="118" t="str">
        <f>IF(ISBLANK(КАГ!H12),"",КАГ!H12)</f>
        <v/>
      </c>
    </row>
    <row r="17" spans="1:8" ht="15.75">
      <c r="A17" s="83" t="s">
        <v>10</v>
      </c>
      <c r="B17" s="84">
        <f>КАГ!B13</f>
        <v>70</v>
      </c>
      <c r="C17" s="18"/>
      <c r="D17" s="127" t="s">
        <v>266</v>
      </c>
      <c r="E17" s="127"/>
      <c r="F17" s="127"/>
      <c r="G17" s="105" t="str">
        <f>IF(ISBLANK(КАГ!G13),"",КАГ!G13)</f>
        <v>Иванова С.Н.</v>
      </c>
      <c r="H17" s="119" t="str">
        <f>IF(ISBLANK(КАГ!H13),"",КАГ!H13)</f>
        <v/>
      </c>
    </row>
    <row r="18" spans="1:8" ht="15.75">
      <c r="A18" s="83" t="s">
        <v>12</v>
      </c>
      <c r="B18" s="85">
        <f>КАГ!B14</f>
        <v>4124</v>
      </c>
      <c r="C18" s="18"/>
      <c r="D18" s="18"/>
      <c r="E18" s="18"/>
      <c r="F18" s="18"/>
      <c r="G18" s="18"/>
      <c r="H18" s="47"/>
    </row>
    <row r="19" spans="1:8" ht="14.45" customHeight="1">
      <c r="A19" s="83" t="s">
        <v>213</v>
      </c>
      <c r="B19" s="85">
        <f>КАГ!B15</f>
        <v>35</v>
      </c>
      <c r="C19" s="87"/>
      <c r="D19" s="87"/>
      <c r="E19" s="87"/>
      <c r="F19" s="87"/>
      <c r="G19" s="112" t="s">
        <v>362</v>
      </c>
      <c r="H19" s="120" t="s">
        <v>363</v>
      </c>
    </row>
    <row r="20" spans="1:8" ht="14.45" customHeight="1">
      <c r="A20" s="83" t="s">
        <v>147</v>
      </c>
      <c r="B20" s="82" t="str">
        <f>КАГ!B16</f>
        <v>ОКС с ↑ ST</v>
      </c>
      <c r="C20" s="89"/>
      <c r="D20" s="89"/>
      <c r="E20" s="89"/>
      <c r="F20" s="89"/>
      <c r="G20" s="130">
        <v>0.92083333333333339</v>
      </c>
      <c r="H20" s="131">
        <v>1881.36</v>
      </c>
    </row>
    <row r="21" spans="1:8" ht="14.45" customHeight="1">
      <c r="A21" s="88"/>
      <c r="B21" s="89"/>
      <c r="C21" s="89"/>
      <c r="D21" s="18"/>
      <c r="E21" s="91"/>
      <c r="F21" s="91"/>
      <c r="G21" s="18"/>
      <c r="H21" s="47"/>
    </row>
    <row r="22" spans="1:8" ht="14.45" customHeight="1">
      <c r="A22" s="70" t="str">
        <f>КАГ!G18</f>
        <v>Доступ:</v>
      </c>
      <c r="B22" s="100" t="str">
        <f>КАГ!H18</f>
        <v>лучевой</v>
      </c>
      <c r="C22" s="89"/>
      <c r="D22" s="89"/>
      <c r="E22" s="89"/>
      <c r="F22" s="89"/>
      <c r="G22" s="93" t="str">
        <f>IF(B20=Вмешательства!I2,Вмешательства!N3,"")</f>
        <v>Реканализация:</v>
      </c>
      <c r="H22" s="92">
        <f>IFERROR(SUM(IF($B$20=Вмешательства!F11,SUM(КАГ!$B$9+0.01),"")),"")</f>
        <v>0.48916666666666669</v>
      </c>
    </row>
    <row r="23" spans="1:8" ht="14.45" customHeight="1">
      <c r="A23" s="206" t="s">
        <v>414</v>
      </c>
      <c r="B23" s="207"/>
      <c r="C23" s="207"/>
      <c r="D23" s="207"/>
      <c r="E23" s="207"/>
      <c r="F23" s="207"/>
      <c r="G23" s="207"/>
      <c r="H23" s="208"/>
    </row>
    <row r="24" spans="1:8" ht="14.45" customHeight="1">
      <c r="A24" s="206"/>
      <c r="B24" s="207"/>
      <c r="C24" s="207"/>
      <c r="D24" s="207"/>
      <c r="E24" s="207"/>
      <c r="F24" s="207"/>
      <c r="G24" s="207"/>
      <c r="H24" s="208"/>
    </row>
    <row r="25" spans="1:8" ht="14.45" customHeight="1">
      <c r="A25" s="206"/>
      <c r="B25" s="207"/>
      <c r="C25" s="207"/>
      <c r="D25" s="207"/>
      <c r="E25" s="207"/>
      <c r="F25" s="207"/>
      <c r="G25" s="207"/>
      <c r="H25" s="208"/>
    </row>
    <row r="26" spans="1:8" ht="14.45" customHeight="1">
      <c r="A26" s="206"/>
      <c r="B26" s="207"/>
      <c r="C26" s="207"/>
      <c r="D26" s="207"/>
      <c r="E26" s="207"/>
      <c r="F26" s="207"/>
      <c r="G26" s="207"/>
      <c r="H26" s="208"/>
    </row>
    <row r="27" spans="1:8" ht="14.45" customHeight="1">
      <c r="A27" s="206"/>
      <c r="B27" s="207"/>
      <c r="C27" s="207"/>
      <c r="D27" s="207"/>
      <c r="E27" s="207"/>
      <c r="F27" s="207"/>
      <c r="G27" s="207"/>
      <c r="H27" s="208"/>
    </row>
    <row r="28" spans="1:8" ht="14.45" customHeight="1">
      <c r="A28" s="206"/>
      <c r="B28" s="207"/>
      <c r="C28" s="207"/>
      <c r="D28" s="207"/>
      <c r="E28" s="207"/>
      <c r="F28" s="207"/>
      <c r="G28" s="207"/>
      <c r="H28" s="208"/>
    </row>
    <row r="29" spans="1:8" ht="14.45" customHeight="1">
      <c r="A29" s="206"/>
      <c r="B29" s="207"/>
      <c r="C29" s="207"/>
      <c r="D29" s="207"/>
      <c r="E29" s="207"/>
      <c r="F29" s="207"/>
      <c r="G29" s="207"/>
      <c r="H29" s="208"/>
    </row>
    <row r="30" spans="1:8" ht="14.45" customHeight="1">
      <c r="A30" s="206"/>
      <c r="B30" s="207"/>
      <c r="C30" s="207"/>
      <c r="D30" s="207"/>
      <c r="E30" s="207"/>
      <c r="F30" s="207"/>
      <c r="G30" s="207"/>
      <c r="H30" s="208"/>
    </row>
    <row r="31" spans="1:8" ht="14.45" customHeight="1">
      <c r="A31" s="206"/>
      <c r="B31" s="207"/>
      <c r="C31" s="207"/>
      <c r="D31" s="207"/>
      <c r="E31" s="207"/>
      <c r="F31" s="207"/>
      <c r="G31" s="207"/>
      <c r="H31" s="208"/>
    </row>
    <row r="32" spans="1:8" ht="14.45" customHeight="1">
      <c r="A32" s="206"/>
      <c r="B32" s="207"/>
      <c r="C32" s="207"/>
      <c r="D32" s="207"/>
      <c r="E32" s="207"/>
      <c r="F32" s="207"/>
      <c r="G32" s="207"/>
      <c r="H32" s="208"/>
    </row>
    <row r="33" spans="1:8" ht="14.45" customHeight="1">
      <c r="A33" s="206"/>
      <c r="B33" s="207"/>
      <c r="C33" s="207"/>
      <c r="D33" s="207"/>
      <c r="E33" s="207"/>
      <c r="F33" s="207"/>
      <c r="G33" s="207"/>
      <c r="H33" s="208"/>
    </row>
    <row r="34" spans="1:8" ht="14.45" customHeight="1">
      <c r="A34" s="206"/>
      <c r="B34" s="207"/>
      <c r="C34" s="207"/>
      <c r="D34" s="207"/>
      <c r="E34" s="207"/>
      <c r="F34" s="207"/>
      <c r="G34" s="207"/>
      <c r="H34" s="208"/>
    </row>
    <row r="35" spans="1:8" ht="14.45" customHeight="1">
      <c r="A35" s="206"/>
      <c r="B35" s="207"/>
      <c r="C35" s="207"/>
      <c r="D35" s="207"/>
      <c r="E35" s="207"/>
      <c r="F35" s="207"/>
      <c r="G35" s="207"/>
      <c r="H35" s="208"/>
    </row>
    <row r="36" spans="1:8" ht="14.45" customHeight="1">
      <c r="A36" s="206"/>
      <c r="B36" s="207"/>
      <c r="C36" s="207"/>
      <c r="D36" s="207"/>
      <c r="E36" s="207"/>
      <c r="F36" s="207"/>
      <c r="G36" s="207"/>
      <c r="H36" s="208"/>
    </row>
    <row r="37" spans="1:8" ht="14.45" customHeight="1">
      <c r="A37" s="206"/>
      <c r="B37" s="207"/>
      <c r="C37" s="207"/>
      <c r="D37" s="207"/>
      <c r="E37" s="207"/>
      <c r="F37" s="207"/>
      <c r="G37" s="207"/>
      <c r="H37" s="208"/>
    </row>
    <row r="38" spans="1:8" ht="14.45" customHeight="1">
      <c r="A38" s="206"/>
      <c r="B38" s="207"/>
      <c r="C38" s="207"/>
      <c r="D38" s="207"/>
      <c r="E38" s="207"/>
      <c r="F38" s="207"/>
      <c r="G38" s="207"/>
      <c r="H38" s="208"/>
    </row>
    <row r="39" spans="1:8" ht="15.75">
      <c r="A39" s="37"/>
      <c r="B39" s="33"/>
      <c r="C39" s="96" t="s">
        <v>271</v>
      </c>
      <c r="D39" s="94"/>
      <c r="E39" s="94"/>
      <c r="F39" s="94"/>
      <c r="G39" s="94"/>
      <c r="H39" s="95"/>
    </row>
    <row r="40" spans="1:8">
      <c r="A40" s="37"/>
      <c r="B40" s="33"/>
      <c r="C40" s="209" t="s">
        <v>367</v>
      </c>
      <c r="D40" s="209"/>
      <c r="E40" s="209"/>
      <c r="F40" s="209"/>
      <c r="G40" s="209"/>
      <c r="H40" s="210"/>
    </row>
    <row r="41" spans="1:8">
      <c r="A41" s="37"/>
      <c r="B41" s="33"/>
      <c r="C41" s="209"/>
      <c r="D41" s="209"/>
      <c r="E41" s="209"/>
      <c r="F41" s="209"/>
      <c r="G41" s="209"/>
      <c r="H41" s="210"/>
    </row>
    <row r="42" spans="1:8">
      <c r="A42" s="37"/>
      <c r="B42" s="33"/>
      <c r="C42" s="209"/>
      <c r="D42" s="209"/>
      <c r="E42" s="209"/>
      <c r="F42" s="209"/>
      <c r="G42" s="209"/>
      <c r="H42" s="210"/>
    </row>
    <row r="43" spans="1:8">
      <c r="A43" s="37"/>
      <c r="B43" s="33"/>
      <c r="C43" s="209"/>
      <c r="D43" s="209"/>
      <c r="E43" s="209"/>
      <c r="F43" s="209"/>
      <c r="G43" s="209"/>
      <c r="H43" s="210"/>
    </row>
    <row r="44" spans="1:8">
      <c r="A44" s="37"/>
      <c r="B44" s="33"/>
      <c r="C44" s="209"/>
      <c r="D44" s="209"/>
      <c r="E44" s="209"/>
      <c r="F44" s="209"/>
      <c r="G44" s="209"/>
      <c r="H44" s="210"/>
    </row>
    <row r="45" spans="1:8">
      <c r="A45" s="37"/>
      <c r="B45" s="33"/>
      <c r="C45" s="209"/>
      <c r="D45" s="209"/>
      <c r="E45" s="209"/>
      <c r="F45" s="209"/>
      <c r="G45" s="209"/>
      <c r="H45" s="210"/>
    </row>
    <row r="46" spans="1:8">
      <c r="A46" s="37"/>
      <c r="B46" s="33"/>
      <c r="C46" s="209"/>
      <c r="D46" s="209"/>
      <c r="E46" s="209"/>
      <c r="F46" s="209"/>
      <c r="G46" s="209"/>
      <c r="H46" s="210"/>
    </row>
    <row r="47" spans="1:8">
      <c r="A47" s="46"/>
      <c r="B47" s="18"/>
      <c r="C47" s="209"/>
      <c r="D47" s="209"/>
      <c r="E47" s="209"/>
      <c r="F47" s="209"/>
      <c r="G47" s="209"/>
      <c r="H47" s="210"/>
    </row>
    <row r="48" spans="1:8">
      <c r="A48" s="46"/>
      <c r="B48" s="18"/>
      <c r="C48" s="209"/>
      <c r="D48" s="209"/>
      <c r="E48" s="209"/>
      <c r="F48" s="209"/>
      <c r="G48" s="209"/>
      <c r="H48" s="210"/>
    </row>
    <row r="49" spans="1:8">
      <c r="A49" s="46"/>
      <c r="B49" s="18"/>
      <c r="C49" s="209"/>
      <c r="D49" s="209"/>
      <c r="E49" s="209"/>
      <c r="F49" s="209"/>
      <c r="G49" s="209"/>
      <c r="H49" s="210"/>
    </row>
    <row r="50" spans="1:8">
      <c r="A50" s="46"/>
      <c r="B50" s="18"/>
      <c r="C50" s="18"/>
      <c r="D50" s="18"/>
      <c r="E50" s="18"/>
      <c r="F50" s="18"/>
      <c r="G50" s="18"/>
      <c r="H50" s="47"/>
    </row>
    <row r="51" spans="1:8">
      <c r="A51" s="77" t="s">
        <v>283</v>
      </c>
      <c r="B51" s="78" t="s">
        <v>413</v>
      </c>
      <c r="C51" s="18"/>
      <c r="D51" s="18"/>
      <c r="E51" s="18"/>
      <c r="F51" s="18"/>
      <c r="G51" s="97" t="str">
        <f>$G$13</f>
        <v>Щербаков А.С.</v>
      </c>
      <c r="H51" s="79"/>
    </row>
    <row r="52" spans="1:8">
      <c r="A52" s="46"/>
      <c r="B52" s="18"/>
      <c r="C52" s="18"/>
      <c r="D52" s="18"/>
      <c r="E52" s="18"/>
      <c r="F52" s="18"/>
      <c r="G52" s="18"/>
      <c r="H52" s="47"/>
    </row>
    <row r="53" spans="1:8">
      <c r="A53" s="86" t="s">
        <v>290</v>
      </c>
      <c r="B53" s="81" t="s">
        <v>300</v>
      </c>
      <c r="C53" s="18"/>
      <c r="D53" s="18"/>
      <c r="E53" s="18"/>
      <c r="F53" s="18"/>
      <c r="G53" s="97" t="str">
        <f>IF(ISBLANK(H13),"",H13)</f>
        <v/>
      </c>
      <c r="H53" s="79"/>
    </row>
    <row r="54" spans="1:8">
      <c r="A54" s="48"/>
      <c r="B54" s="36"/>
      <c r="C54" s="36"/>
      <c r="D54" s="36"/>
      <c r="E54" s="36"/>
      <c r="F54" s="36"/>
      <c r="G54" s="36"/>
      <c r="H54" s="49"/>
    </row>
  </sheetData>
  <sheetProtection sheet="1" formatCells="0" formatColumns="0"/>
  <mergeCells count="6">
    <mergeCell ref="A23:H38"/>
    <mergeCell ref="C40:H49"/>
    <mergeCell ref="C8:E8"/>
    <mergeCell ref="A6:H7"/>
    <mergeCell ref="C9:E9"/>
    <mergeCell ref="C10:E10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"Убран,Извлечён,М/О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0" sqref="G10"/>
    </sheetView>
  </sheetViews>
  <sheetFormatPr defaultRowHeight="15"/>
  <cols>
    <col min="1" max="1" width="18" customWidth="1"/>
    <col min="2" max="2" width="46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66"/>
      <c r="C1" s="166"/>
      <c r="D1" s="167"/>
    </row>
    <row r="2" spans="1:4" ht="19.899999999999999" customHeight="1">
      <c r="A2" s="134" t="s">
        <v>139</v>
      </c>
      <c r="B2" s="135">
        <f>$D$10</f>
        <v>44641</v>
      </c>
      <c r="C2" s="136"/>
      <c r="D2" s="137" t="s">
        <v>140</v>
      </c>
    </row>
    <row r="3" spans="1:4" ht="20.45" customHeight="1" thickBot="1">
      <c r="A3" s="138" t="s">
        <v>138</v>
      </c>
      <c r="B3" s="139"/>
      <c r="C3" s="18"/>
      <c r="D3" s="47"/>
    </row>
    <row r="4" spans="1:4" ht="18" thickTop="1" thickBot="1">
      <c r="A4" s="140" t="s">
        <v>279</v>
      </c>
      <c r="B4" s="133" t="s">
        <v>146</v>
      </c>
      <c r="C4" s="132" t="s">
        <v>15</v>
      </c>
      <c r="D4" s="116" t="str">
        <f>КАГ!$B$11</f>
        <v>Мошков В.В.</v>
      </c>
    </row>
    <row r="5" spans="1:4" ht="15.75" thickTop="1">
      <c r="A5" s="16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9" t="str">
        <f>КАГ!A6</f>
        <v>КОРОНАРОГРАФИЯ</v>
      </c>
      <c r="C5" s="141" t="s">
        <v>8</v>
      </c>
      <c r="D5" s="142">
        <f>КАГ!$B$12</f>
        <v>18820</v>
      </c>
    </row>
    <row r="6" spans="1:4" ht="30">
      <c r="A6" s="170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71" t="str">
        <f>ЧКВ!A6</f>
        <v xml:space="preserve">Транслюминальная баллонная ангиопластика и стентирование коронарных артерий. </v>
      </c>
      <c r="C6" s="141" t="s">
        <v>10</v>
      </c>
      <c r="D6" s="143">
        <f>DATEDIF(D5,D10,"y")</f>
        <v>70</v>
      </c>
    </row>
    <row r="7" spans="1:4">
      <c r="A7" s="46"/>
      <c r="B7" s="18"/>
      <c r="C7" s="141" t="s">
        <v>12</v>
      </c>
      <c r="D7" s="143">
        <f>КАГ!$B$14</f>
        <v>4124</v>
      </c>
    </row>
    <row r="8" spans="1:4">
      <c r="A8" s="144" t="str">
        <f>ЧКВ!$A$9</f>
        <v>Код модели: 21166</v>
      </c>
      <c r="B8" s="145"/>
      <c r="C8" s="141" t="s">
        <v>213</v>
      </c>
      <c r="D8" s="143">
        <f>КАГ!$B$15</f>
        <v>35</v>
      </c>
    </row>
    <row r="9" spans="1:4">
      <c r="A9" s="144" t="str">
        <f>ЧКВ!$A$10</f>
        <v>Код метода: 46</v>
      </c>
      <c r="B9" s="18"/>
      <c r="C9" s="146" t="s">
        <v>147</v>
      </c>
      <c r="D9" s="143" t="str">
        <f>КАГ!$B$16</f>
        <v>ОКС с ↑ ST</v>
      </c>
    </row>
    <row r="10" spans="1:4">
      <c r="A10" s="46"/>
      <c r="B10" s="18"/>
      <c r="C10" s="147" t="s">
        <v>13</v>
      </c>
      <c r="D10" s="142">
        <f>КАГ!$B$8</f>
        <v>44641</v>
      </c>
    </row>
    <row r="11" spans="1:4">
      <c r="A11" s="148" t="s">
        <v>16</v>
      </c>
      <c r="B11" s="149" t="s">
        <v>0</v>
      </c>
      <c r="C11" s="149" t="s">
        <v>14</v>
      </c>
      <c r="D11" s="150" t="s">
        <v>141</v>
      </c>
    </row>
    <row r="12" spans="1:4" ht="27.6" customHeight="1">
      <c r="A12" s="15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2" s="157" t="s">
        <v>379</v>
      </c>
      <c r="C12" s="158" t="s">
        <v>178</v>
      </c>
      <c r="D12" s="158">
        <v>1</v>
      </c>
    </row>
    <row r="13" spans="1:4" ht="27.6" customHeight="1">
      <c r="A13" s="15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3" s="157" t="s">
        <v>379</v>
      </c>
      <c r="C13" s="158" t="s">
        <v>175</v>
      </c>
      <c r="D13" s="158">
        <v>1</v>
      </c>
    </row>
    <row r="14" spans="1:4" ht="27.6" customHeight="1">
      <c r="A14" s="15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4" s="157" t="s">
        <v>379</v>
      </c>
      <c r="C14" s="158" t="s">
        <v>187</v>
      </c>
      <c r="D14" s="158">
        <v>1</v>
      </c>
    </row>
    <row r="15" spans="1:4" ht="27.6" customHeight="1">
      <c r="A15" s="15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7" t="s">
        <v>128</v>
      </c>
      <c r="C15" s="158"/>
      <c r="D15" s="158">
        <v>1</v>
      </c>
    </row>
    <row r="16" spans="1:4" ht="27.6" customHeight="1">
      <c r="A16" s="15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7" t="s">
        <v>371</v>
      </c>
      <c r="C16" s="158"/>
      <c r="D16" s="158">
        <v>1</v>
      </c>
    </row>
    <row r="17" spans="1:4" ht="27.6" customHeight="1">
      <c r="A17" s="15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7" t="s">
        <v>131</v>
      </c>
      <c r="C17" s="158" t="s">
        <v>107</v>
      </c>
      <c r="D17" s="158">
        <v>1</v>
      </c>
    </row>
    <row r="18" spans="1:4" ht="27.6" customHeight="1">
      <c r="A18" s="15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7"/>
      <c r="C18" s="158"/>
      <c r="D18" s="158"/>
    </row>
    <row r="19" spans="1:4" ht="27.6" customHeight="1">
      <c r="A19" s="15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7"/>
      <c r="C19" s="158"/>
      <c r="D19" s="158"/>
    </row>
    <row r="20" spans="1:4" ht="27.6" customHeight="1">
      <c r="A20" s="15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7"/>
      <c r="C20" s="158"/>
      <c r="D20" s="159"/>
    </row>
    <row r="21" spans="1:4" ht="27.6" customHeight="1">
      <c r="A21" s="16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61"/>
      <c r="C21" s="158"/>
      <c r="D21" s="162"/>
    </row>
    <row r="22" spans="1:4" ht="27.6" customHeight="1">
      <c r="A22" s="16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61"/>
      <c r="C22" s="158"/>
      <c r="D22" s="162"/>
    </row>
    <row r="23" spans="1:4" ht="27.6" customHeight="1">
      <c r="A23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61"/>
      <c r="C23" s="164"/>
      <c r="D23" s="164"/>
    </row>
    <row r="24" spans="1:4" ht="27.6" customHeight="1">
      <c r="A24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61"/>
      <c r="C24" s="164"/>
      <c r="D24" s="164"/>
    </row>
    <row r="25" spans="1:4" ht="14.45" customHeight="1">
      <c r="A25" s="15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3"/>
      <c r="C25" s="154"/>
      <c r="D25" s="152"/>
    </row>
    <row r="26" spans="1:4" ht="14.45" customHeight="1">
      <c r="A26" s="15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53"/>
      <c r="C26" s="154"/>
      <c r="D26" s="152"/>
    </row>
    <row r="27" spans="1:4" ht="14.45" customHeight="1">
      <c r="A27" s="15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53"/>
      <c r="C27" s="154"/>
      <c r="D27" s="152"/>
    </row>
    <row r="28" spans="1:4" ht="14.45" customHeight="1">
      <c r="A28" s="46" t="s">
        <v>11</v>
      </c>
      <c r="B28" s="18" t="s">
        <v>11</v>
      </c>
      <c r="C28" s="18"/>
      <c r="D28" s="47"/>
    </row>
    <row r="29" spans="1:4" ht="14.45" customHeight="1">
      <c r="A29" s="46" t="s">
        <v>11</v>
      </c>
      <c r="B29" s="18" t="s">
        <v>11</v>
      </c>
      <c r="C29" s="18"/>
      <c r="D29" s="47"/>
    </row>
    <row r="30" spans="1:4" ht="14.45" customHeight="1">
      <c r="A30" s="46" t="s">
        <v>11</v>
      </c>
      <c r="B30" s="18" t="s">
        <v>11</v>
      </c>
      <c r="C30" s="18"/>
      <c r="D30" s="47"/>
    </row>
    <row r="31" spans="1:4" ht="14.45" customHeight="1">
      <c r="A31" s="46" t="s">
        <v>11</v>
      </c>
      <c r="B31" s="18" t="s">
        <v>11</v>
      </c>
      <c r="C31" s="18"/>
      <c r="D31" s="47"/>
    </row>
    <row r="32" spans="1:4" ht="14.45" customHeight="1">
      <c r="A32" s="46" t="s">
        <v>11</v>
      </c>
      <c r="B32" s="18"/>
      <c r="C32" s="18"/>
      <c r="D32" s="47"/>
    </row>
    <row r="33" spans="1:4" ht="14.45" customHeight="1">
      <c r="A33" s="46"/>
      <c r="B33" s="18"/>
      <c r="C33" s="18"/>
      <c r="D33" s="47"/>
    </row>
    <row r="34" spans="1:4" ht="14.45" customHeight="1">
      <c r="A34" s="46"/>
      <c r="B34" s="18"/>
      <c r="C34" s="18"/>
      <c r="D34" s="47"/>
    </row>
    <row r="35" spans="1:4" ht="19.899999999999999" customHeight="1">
      <c r="A35" s="46"/>
      <c r="B35" s="155" t="s">
        <v>404</v>
      </c>
      <c r="C35" s="17"/>
      <c r="D35" s="47"/>
    </row>
    <row r="36" spans="1:4" ht="19.899999999999999" customHeight="1">
      <c r="A36" s="46"/>
      <c r="C36" s="18"/>
      <c r="D36" s="47"/>
    </row>
    <row r="37" spans="1:4" ht="19.899999999999999" customHeight="1">
      <c r="A37" s="46"/>
      <c r="B37" s="179" t="str">
        <f>"Оператор:"&amp;" "&amp;ЧКВ!$G$13</f>
        <v>Оператор: Щербаков А.С.</v>
      </c>
      <c r="C37" s="17"/>
      <c r="D37" s="47"/>
    </row>
    <row r="38" spans="1:4" ht="19.899999999999999" customHeight="1">
      <c r="A38" s="46"/>
      <c r="C38" s="18"/>
      <c r="D38" s="47"/>
    </row>
    <row r="39" spans="1:4" ht="19.899999999999999" customHeight="1">
      <c r="A39" s="46"/>
      <c r="B39" s="165" t="s">
        <v>369</v>
      </c>
      <c r="C39" s="173"/>
      <c r="D39" s="47"/>
    </row>
    <row r="40" spans="1:4" ht="19.899999999999999" customHeight="1">
      <c r="A40" s="48"/>
      <c r="B40" s="36"/>
      <c r="C40" s="36"/>
      <c r="D40" s="49"/>
    </row>
    <row r="41" spans="1:4" ht="14.45" customHeight="1">
      <c r="C41" s="15"/>
    </row>
  </sheetData>
  <sheetProtection sheet="1" formatCells="0" formatColumns="0" sort="0" autoFilter="0"/>
  <phoneticPr fontId="11" type="noConversion"/>
  <dataValidations count="16">
    <dataValidation allowBlank="1" showInputMessage="1" sqref="B5:B6"/>
    <dataValidation type="list" allowBlank="1" showInputMessage="1" showErrorMessage="1" sqref="C12:C24">
      <formula1>Размеры_стентов_балонов</formula1>
    </dataValidation>
    <dataValidation type="list" allowBlank="1" showInputMessage="1" sqref="B12">
      <formula1>ВЫП.Список_Расходка_1</formula1>
    </dataValidation>
    <dataValidation type="list" allowBlank="1" showInputMessage="1" sqref="B13">
      <formula1>ВЫП.Список_Расходка_2</formula1>
    </dataValidation>
    <dataValidation type="list" allowBlank="1" showInputMessage="1" sqref="B14">
      <formula1>ВЫП.Список_Расходка_3</formula1>
    </dataValidation>
    <dataValidation type="list" allowBlank="1" showInputMessage="1" sqref="B15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6">
      <formula1>ВЫП.Список_Расходка_5</formula1>
    </dataValidation>
    <dataValidation type="list" allowBlank="1" showInputMessage="1" sqref="B17">
      <formula1>ВЫП.Список_Расходка_6</formula1>
    </dataValidation>
    <dataValidation type="list" allowBlank="1" showInputMessage="1" sqref="B18">
      <formula1>ВЫП.Список_Расходка_7</formula1>
    </dataValidation>
    <dataValidation type="list" allowBlank="1" showInputMessage="1" sqref="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1">
      <formula1>ВЫП.Список_Расходка_10</formula1>
    </dataValidation>
    <dataValidation type="list" allowBlank="1" showInputMessage="1" sqref="B22">
      <formula1>ВЫП.Список_Расходка_11</formula1>
    </dataValidation>
    <dataValidation type="list" allowBlank="1" showInputMessage="1" sqref="B23">
      <formula1>ВЫП.Список_Расходка_12</formula1>
    </dataValidation>
    <dataValidation type="list" allowBlank="1" showInputMessage="1" sqref="B24">
      <formula1>ВЫП.Список_Расходка_13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материал'!$C$2:$C$38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27" sqref="D27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17</v>
      </c>
      <c r="D1" s="11" t="s">
        <v>18</v>
      </c>
      <c r="F1" s="3" t="s">
        <v>90</v>
      </c>
      <c r="G1" s="3" t="s">
        <v>91</v>
      </c>
      <c r="I1" s="2" t="s">
        <v>206</v>
      </c>
      <c r="J1" s="2" t="s">
        <v>209</v>
      </c>
      <c r="K1" s="2" t="s">
        <v>207</v>
      </c>
      <c r="L1" s="2" t="s">
        <v>210</v>
      </c>
    </row>
    <row r="2" spans="1:15">
      <c r="A2" s="10">
        <v>1</v>
      </c>
      <c r="B2" s="2" t="s">
        <v>9</v>
      </c>
      <c r="C2" s="10" t="s">
        <v>316</v>
      </c>
      <c r="D2" s="5" t="s">
        <v>297</v>
      </c>
      <c r="F2" t="s">
        <v>92</v>
      </c>
      <c r="G2">
        <v>155800</v>
      </c>
      <c r="I2" t="s">
        <v>99</v>
      </c>
      <c r="J2" s="2">
        <v>21166</v>
      </c>
      <c r="K2" t="s">
        <v>102</v>
      </c>
      <c r="L2" s="2">
        <v>47</v>
      </c>
      <c r="M2" s="12"/>
      <c r="N2" t="s">
        <v>299</v>
      </c>
    </row>
    <row r="3" spans="1:15">
      <c r="A3" s="10">
        <v>2</v>
      </c>
      <c r="B3" s="2" t="s">
        <v>19</v>
      </c>
      <c r="C3" s="10" t="s">
        <v>86</v>
      </c>
      <c r="D3" s="5" t="s">
        <v>298</v>
      </c>
      <c r="F3" t="s">
        <v>93</v>
      </c>
      <c r="G3">
        <v>218190</v>
      </c>
      <c r="I3" t="s">
        <v>100</v>
      </c>
      <c r="J3" s="2">
        <v>21167</v>
      </c>
      <c r="K3" t="s">
        <v>103</v>
      </c>
      <c r="L3" s="2">
        <v>46</v>
      </c>
      <c r="N3" t="s">
        <v>291</v>
      </c>
    </row>
    <row r="4" spans="1:15" ht="30">
      <c r="A4" s="10">
        <v>5</v>
      </c>
      <c r="B4" s="2" t="s">
        <v>39</v>
      </c>
      <c r="C4" s="10" t="s">
        <v>40</v>
      </c>
      <c r="D4" s="5" t="s">
        <v>292</v>
      </c>
      <c r="F4" t="s">
        <v>94</v>
      </c>
      <c r="G4">
        <v>218140</v>
      </c>
      <c r="I4" t="s">
        <v>208</v>
      </c>
      <c r="J4" s="2">
        <v>21168</v>
      </c>
      <c r="K4" t="s">
        <v>104</v>
      </c>
      <c r="L4" s="2">
        <v>45</v>
      </c>
    </row>
    <row r="5" spans="1:15" ht="30">
      <c r="A5" s="10">
        <v>6</v>
      </c>
      <c r="B5" s="2" t="s">
        <v>37</v>
      </c>
      <c r="C5" s="10" t="s">
        <v>38</v>
      </c>
      <c r="D5" s="5" t="s">
        <v>269</v>
      </c>
      <c r="F5" t="s">
        <v>95</v>
      </c>
      <c r="G5">
        <v>218160</v>
      </c>
    </row>
    <row r="6" spans="1:15" ht="30">
      <c r="A6" s="10">
        <v>7</v>
      </c>
      <c r="B6" s="9"/>
      <c r="C6" s="10" t="s">
        <v>101</v>
      </c>
      <c r="D6" s="5" t="s">
        <v>270</v>
      </c>
      <c r="F6" t="s">
        <v>96</v>
      </c>
      <c r="G6">
        <v>194510</v>
      </c>
    </row>
    <row r="7" spans="1:15" ht="30">
      <c r="A7" s="10">
        <v>9</v>
      </c>
      <c r="B7" s="2"/>
      <c r="C7" s="10" t="s">
        <v>317</v>
      </c>
      <c r="D7" s="5" t="s">
        <v>211</v>
      </c>
      <c r="F7" t="s">
        <v>97</v>
      </c>
      <c r="G7">
        <v>323500</v>
      </c>
      <c r="I7" t="s">
        <v>313</v>
      </c>
    </row>
    <row r="8" spans="1:15">
      <c r="A8" s="10">
        <v>10.6</v>
      </c>
      <c r="B8" s="9"/>
      <c r="C8" s="10" t="s">
        <v>81</v>
      </c>
      <c r="D8" s="5" t="s">
        <v>335</v>
      </c>
      <c r="F8" t="s">
        <v>98</v>
      </c>
      <c r="G8">
        <v>323510</v>
      </c>
      <c r="I8" t="s">
        <v>303</v>
      </c>
    </row>
    <row r="9" spans="1:15">
      <c r="A9" s="10">
        <v>12.2</v>
      </c>
      <c r="B9" s="2" t="s">
        <v>36</v>
      </c>
      <c r="C9" s="10" t="s">
        <v>87</v>
      </c>
      <c r="D9" s="5" t="s">
        <v>88</v>
      </c>
      <c r="I9" t="s">
        <v>304</v>
      </c>
    </row>
    <row r="10" spans="1:15">
      <c r="A10" s="10">
        <v>13.8</v>
      </c>
      <c r="B10" s="2"/>
      <c r="C10" s="10" t="s">
        <v>318</v>
      </c>
      <c r="D10" s="5" t="s">
        <v>221</v>
      </c>
      <c r="F10" t="s">
        <v>147</v>
      </c>
      <c r="I10" t="s">
        <v>305</v>
      </c>
    </row>
    <row r="11" spans="1:15">
      <c r="A11" s="10">
        <v>15.4</v>
      </c>
      <c r="B11" s="2" t="s">
        <v>26</v>
      </c>
      <c r="C11" s="10" t="s">
        <v>319</v>
      </c>
      <c r="D11" s="5" t="s">
        <v>27</v>
      </c>
      <c r="F11" s="16" t="s">
        <v>99</v>
      </c>
      <c r="G11" s="16"/>
      <c r="H11" s="16"/>
      <c r="I11" t="s">
        <v>306</v>
      </c>
    </row>
    <row r="12" spans="1:15">
      <c r="A12" s="10">
        <v>17</v>
      </c>
      <c r="B12" s="2" t="s">
        <v>20</v>
      </c>
      <c r="C12" s="10" t="s">
        <v>320</v>
      </c>
      <c r="D12" s="5" t="s">
        <v>21</v>
      </c>
      <c r="F12" s="16" t="s">
        <v>100</v>
      </c>
      <c r="G12" s="16"/>
      <c r="H12" s="16"/>
      <c r="I12" t="s">
        <v>307</v>
      </c>
      <c r="O12" s="10"/>
    </row>
    <row r="13" spans="1:15">
      <c r="A13" s="10">
        <v>18.600000000000001</v>
      </c>
      <c r="B13" s="2" t="s">
        <v>22</v>
      </c>
      <c r="C13" s="10" t="s">
        <v>321</v>
      </c>
      <c r="D13" s="5" t="s">
        <v>23</v>
      </c>
      <c r="F13" s="16" t="s">
        <v>208</v>
      </c>
      <c r="G13" s="16"/>
      <c r="H13" s="16"/>
      <c r="I13" t="s">
        <v>308</v>
      </c>
      <c r="N13" s="12"/>
      <c r="O13" s="12"/>
    </row>
    <row r="14" spans="1:15">
      <c r="A14" s="10">
        <v>20.2</v>
      </c>
      <c r="B14" s="2" t="s">
        <v>24</v>
      </c>
      <c r="C14" s="10" t="s">
        <v>322</v>
      </c>
      <c r="D14" s="5" t="s">
        <v>25</v>
      </c>
      <c r="F14" s="16" t="s">
        <v>167</v>
      </c>
      <c r="G14" s="16"/>
      <c r="H14" s="16"/>
      <c r="I14" t="s">
        <v>309</v>
      </c>
    </row>
    <row r="15" spans="1:15">
      <c r="A15" s="10">
        <v>21.8</v>
      </c>
      <c r="B15" s="2" t="s">
        <v>28</v>
      </c>
      <c r="C15" s="10" t="s">
        <v>323</v>
      </c>
      <c r="D15" s="5" t="s">
        <v>29</v>
      </c>
      <c r="F15" s="16" t="s">
        <v>169</v>
      </c>
      <c r="G15" s="16"/>
      <c r="H15" s="16"/>
      <c r="I15" t="s">
        <v>293</v>
      </c>
    </row>
    <row r="16" spans="1:15">
      <c r="A16" s="10">
        <v>23.4</v>
      </c>
      <c r="B16" s="2" t="s">
        <v>30</v>
      </c>
      <c r="C16" s="10" t="s">
        <v>324</v>
      </c>
      <c r="D16" s="5" t="s">
        <v>31</v>
      </c>
      <c r="F16" s="16" t="s">
        <v>168</v>
      </c>
      <c r="G16" s="16"/>
      <c r="H16" s="16"/>
      <c r="I16" t="s">
        <v>310</v>
      </c>
    </row>
    <row r="17" spans="1:9">
      <c r="A17" s="10">
        <v>25</v>
      </c>
      <c r="B17" s="2" t="s">
        <v>32</v>
      </c>
      <c r="C17" s="10" t="s">
        <v>325</v>
      </c>
      <c r="D17" s="5" t="s">
        <v>33</v>
      </c>
      <c r="F17" s="16" t="s">
        <v>171</v>
      </c>
      <c r="I17" t="s">
        <v>302</v>
      </c>
    </row>
    <row r="18" spans="1:9">
      <c r="A18" s="10">
        <v>26.6</v>
      </c>
      <c r="B18" s="2" t="s">
        <v>34</v>
      </c>
      <c r="C18" s="10" t="s">
        <v>326</v>
      </c>
      <c r="D18" s="5" t="s">
        <v>35</v>
      </c>
      <c r="F18" s="16"/>
      <c r="I18" t="s">
        <v>311</v>
      </c>
    </row>
    <row r="19" spans="1:9" ht="30">
      <c r="A19" s="10">
        <v>28.2</v>
      </c>
      <c r="B19" s="2" t="s">
        <v>41</v>
      </c>
      <c r="C19" s="10" t="s">
        <v>42</v>
      </c>
      <c r="D19" s="5" t="s">
        <v>43</v>
      </c>
      <c r="I19" t="s">
        <v>312</v>
      </c>
    </row>
    <row r="20" spans="1:9" ht="30">
      <c r="A20" s="10">
        <v>29.8</v>
      </c>
      <c r="B20" s="2" t="s">
        <v>44</v>
      </c>
      <c r="C20" s="10" t="s">
        <v>45</v>
      </c>
      <c r="D20" s="5" t="s">
        <v>46</v>
      </c>
    </row>
    <row r="21" spans="1:9" ht="30">
      <c r="A21" s="10">
        <v>31.4</v>
      </c>
      <c r="B21" s="2" t="s">
        <v>47</v>
      </c>
      <c r="C21" s="10" t="s">
        <v>48</v>
      </c>
      <c r="D21" s="5" t="s">
        <v>49</v>
      </c>
      <c r="F21" s="13"/>
      <c r="G21" s="13"/>
      <c r="H21" s="13"/>
      <c r="I21" s="13"/>
    </row>
    <row r="22" spans="1:9" ht="30">
      <c r="A22" s="10">
        <v>33</v>
      </c>
      <c r="B22" s="2" t="s">
        <v>50</v>
      </c>
      <c r="C22" s="10" t="s">
        <v>51</v>
      </c>
      <c r="D22" s="5" t="s">
        <v>52</v>
      </c>
      <c r="F22" s="13"/>
      <c r="G22" s="13"/>
      <c r="H22" s="13"/>
      <c r="I22" s="13"/>
    </row>
    <row r="23" spans="1:9" ht="30">
      <c r="A23" s="10">
        <v>34.6</v>
      </c>
      <c r="B23" s="2" t="s">
        <v>53</v>
      </c>
      <c r="C23" s="10" t="s">
        <v>54</v>
      </c>
      <c r="D23" s="5" t="s">
        <v>55</v>
      </c>
      <c r="F23" s="13"/>
      <c r="G23" s="13"/>
      <c r="H23" s="13"/>
      <c r="I23" s="13"/>
    </row>
    <row r="24" spans="1:9">
      <c r="A24" s="10">
        <v>36.200000000000003</v>
      </c>
      <c r="B24" s="2" t="s">
        <v>56</v>
      </c>
      <c r="C24" s="10" t="s">
        <v>57</v>
      </c>
      <c r="D24" s="5" t="s">
        <v>58</v>
      </c>
      <c r="F24" s="13"/>
      <c r="G24" s="13"/>
      <c r="H24" s="13"/>
      <c r="I24" s="13"/>
    </row>
    <row r="25" spans="1:9">
      <c r="A25" s="10">
        <v>37.799999999999997</v>
      </c>
      <c r="B25" s="2" t="s">
        <v>59</v>
      </c>
      <c r="C25" s="10" t="s">
        <v>60</v>
      </c>
      <c r="D25" s="5" t="s">
        <v>61</v>
      </c>
      <c r="F25" s="13"/>
      <c r="G25" s="13"/>
      <c r="H25" s="13"/>
      <c r="I25" s="13"/>
    </row>
    <row r="26" spans="1:9" ht="30">
      <c r="A26" s="10">
        <v>39.4</v>
      </c>
      <c r="B26" s="2" t="s">
        <v>62</v>
      </c>
      <c r="C26" s="10" t="s">
        <v>63</v>
      </c>
      <c r="D26" s="5" t="s">
        <v>64</v>
      </c>
      <c r="F26" s="13"/>
      <c r="G26" s="13"/>
      <c r="H26" s="13"/>
      <c r="I26" s="13"/>
    </row>
    <row r="27" spans="1:9" ht="45">
      <c r="A27" s="10">
        <v>41</v>
      </c>
      <c r="B27" s="2" t="s">
        <v>65</v>
      </c>
      <c r="C27" s="10" t="s">
        <v>66</v>
      </c>
      <c r="D27" s="5" t="s">
        <v>67</v>
      </c>
      <c r="F27" s="13"/>
      <c r="G27" s="13"/>
      <c r="H27" s="13"/>
      <c r="I27" s="13"/>
    </row>
    <row r="28" spans="1:9">
      <c r="A28" s="10">
        <v>42.6</v>
      </c>
      <c r="B28" s="2" t="s">
        <v>68</v>
      </c>
      <c r="C28" s="102" t="s">
        <v>332</v>
      </c>
      <c r="D28" s="5" t="s">
        <v>333</v>
      </c>
      <c r="F28" s="13"/>
      <c r="G28" s="13"/>
      <c r="H28" s="13"/>
      <c r="I28" s="13"/>
    </row>
    <row r="29" spans="1:9" ht="45">
      <c r="A29" s="10">
        <v>44.2</v>
      </c>
      <c r="B29" s="2" t="s">
        <v>69</v>
      </c>
      <c r="C29" s="102" t="s">
        <v>70</v>
      </c>
      <c r="D29" s="5" t="s">
        <v>71</v>
      </c>
      <c r="F29" s="13"/>
      <c r="G29" s="13"/>
      <c r="H29" s="13"/>
      <c r="I29" s="13"/>
    </row>
    <row r="30" spans="1:9" ht="30">
      <c r="A30" s="10">
        <v>45.8</v>
      </c>
      <c r="B30" s="2" t="s">
        <v>72</v>
      </c>
      <c r="C30" s="102" t="s">
        <v>73</v>
      </c>
      <c r="D30" s="5" t="s">
        <v>74</v>
      </c>
      <c r="F30" s="13"/>
      <c r="G30" s="13"/>
      <c r="H30" s="13"/>
      <c r="I30" s="13"/>
    </row>
    <row r="31" spans="1:9">
      <c r="A31" s="10">
        <v>47.4</v>
      </c>
      <c r="B31" s="2" t="s">
        <v>75</v>
      </c>
      <c r="C31" s="102" t="s">
        <v>328</v>
      </c>
      <c r="D31" s="5" t="s">
        <v>76</v>
      </c>
      <c r="F31" s="13"/>
      <c r="G31" s="13"/>
      <c r="H31" s="13"/>
      <c r="I31" s="13"/>
    </row>
    <row r="32" spans="1:9">
      <c r="A32" s="10">
        <v>49</v>
      </c>
      <c r="B32" s="2" t="s">
        <v>77</v>
      </c>
      <c r="C32" s="102" t="s">
        <v>327</v>
      </c>
      <c r="D32" s="5" t="s">
        <v>78</v>
      </c>
      <c r="F32" s="13"/>
      <c r="G32" s="13"/>
      <c r="H32" s="13"/>
      <c r="I32" s="13"/>
    </row>
    <row r="33" spans="1:9">
      <c r="A33" s="10">
        <v>50.6</v>
      </c>
      <c r="B33" s="2" t="s">
        <v>79</v>
      </c>
      <c r="C33" s="102" t="s">
        <v>329</v>
      </c>
      <c r="D33" s="5" t="s">
        <v>80</v>
      </c>
      <c r="F33" s="13"/>
      <c r="G33" s="13"/>
      <c r="H33" s="13"/>
      <c r="I33" s="13"/>
    </row>
    <row r="34" spans="1:9">
      <c r="A34" s="10">
        <v>52.2</v>
      </c>
      <c r="B34" s="2" t="s">
        <v>82</v>
      </c>
      <c r="C34" s="102" t="s">
        <v>83</v>
      </c>
      <c r="D34" s="5" t="s">
        <v>330</v>
      </c>
      <c r="F34" s="13"/>
      <c r="G34" s="13"/>
      <c r="H34" s="13"/>
      <c r="I34" s="13"/>
    </row>
    <row r="35" spans="1:9">
      <c r="A35" s="10">
        <v>53.8</v>
      </c>
      <c r="B35" s="2" t="s">
        <v>84</v>
      </c>
      <c r="C35" s="102" t="s">
        <v>85</v>
      </c>
      <c r="D35" s="5" t="s">
        <v>331</v>
      </c>
      <c r="F35" s="13"/>
      <c r="G35" s="13"/>
      <c r="H35" s="13"/>
      <c r="I35" s="13"/>
    </row>
    <row r="36" spans="1:9">
      <c r="A36" s="10">
        <v>55.4</v>
      </c>
      <c r="B36" s="9"/>
      <c r="C36" s="102" t="s">
        <v>334</v>
      </c>
      <c r="D36" s="6" t="s">
        <v>89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phoneticPr fontId="1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B25" zoomScaleNormal="100" workbookViewId="0">
      <selection activeCell="AG42" sqref="AG42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74" hidden="1" customWidth="1" outlineLevel="1"/>
    <col min="11" max="17" width="4.42578125" style="175" hidden="1" customWidth="1" outlineLevel="1"/>
    <col min="18" max="30" width="4.42578125" style="174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74" t="s">
        <v>142</v>
      </c>
      <c r="F1" s="174" t="s">
        <v>143</v>
      </c>
      <c r="G1" s="174" t="s">
        <v>381</v>
      </c>
      <c r="H1" s="174" t="s">
        <v>382</v>
      </c>
      <c r="I1" s="174" t="s">
        <v>383</v>
      </c>
      <c r="J1" s="174" t="s">
        <v>384</v>
      </c>
      <c r="K1" s="175" t="s">
        <v>385</v>
      </c>
      <c r="L1" s="175" t="s">
        <v>386</v>
      </c>
      <c r="M1" s="175" t="s">
        <v>387</v>
      </c>
      <c r="N1" s="175" t="s">
        <v>388</v>
      </c>
      <c r="O1" s="175" t="s">
        <v>389</v>
      </c>
      <c r="P1" s="175" t="s">
        <v>390</v>
      </c>
      <c r="Q1" s="175" t="s">
        <v>391</v>
      </c>
      <c r="R1" s="174" t="s">
        <v>144</v>
      </c>
      <c r="S1" s="174" t="s">
        <v>145</v>
      </c>
      <c r="T1" s="174" t="s">
        <v>392</v>
      </c>
      <c r="U1" s="174" t="s">
        <v>393</v>
      </c>
      <c r="V1" s="174" t="s">
        <v>394</v>
      </c>
      <c r="W1" s="174" t="s">
        <v>395</v>
      </c>
      <c r="X1" s="174" t="s">
        <v>396</v>
      </c>
      <c r="Y1" s="174" t="s">
        <v>397</v>
      </c>
      <c r="Z1" s="174" t="s">
        <v>398</v>
      </c>
      <c r="AA1" s="174" t="s">
        <v>399</v>
      </c>
      <c r="AB1" s="174" t="s">
        <v>400</v>
      </c>
      <c r="AC1" s="174" t="s">
        <v>401</v>
      </c>
      <c r="AD1" s="174" t="s">
        <v>402</v>
      </c>
      <c r="AF1" s="2" t="s">
        <v>173</v>
      </c>
      <c r="AG1" s="2" t="s">
        <v>205</v>
      </c>
      <c r="AI1" t="s">
        <v>280</v>
      </c>
      <c r="AJ1" t="s">
        <v>281</v>
      </c>
      <c r="AK1" t="s">
        <v>282</v>
      </c>
    </row>
    <row r="2" spans="1:37">
      <c r="A2">
        <v>1</v>
      </c>
      <c r="B2" t="s">
        <v>125</v>
      </c>
      <c r="C2" s="1" t="s">
        <v>126</v>
      </c>
      <c r="D2" s="1"/>
      <c r="E2" s="175">
        <f>IF(ISNUMBER(SEARCH('Карта учёта'!$B$12,Расходка[[#This Row],[Наименование расходного материала]])),MAX($E$1:E1)+1,0)</f>
        <v>0</v>
      </c>
      <c r="F2" s="175">
        <f>IF(ISNUMBER(SEARCH('Карта учёта'!$B$13,Расходка[[#This Row],[Наименование расходного материала]])),MAX($F$1:F1)+1,0)</f>
        <v>0</v>
      </c>
      <c r="G2" s="175">
        <f>IF(ISNUMBER(SEARCH('Карта учёта'!$B$14,Расходка[Наименование расходного материала])),MAX($G$1:G1)+1,0)</f>
        <v>0</v>
      </c>
      <c r="H2" s="175">
        <f>IF(ISNUMBER(SEARCH('Карта учёта'!$B$15,Расходка[Наименование расходного материала])),MAX($H$1:H1)+1,0)</f>
        <v>0</v>
      </c>
      <c r="I2" s="175">
        <f>IF(ISNUMBER(SEARCH('Карта учёта'!$B$16,Расходка[Наименование расходного материала])),MAX($I$1:I1)+1,0)</f>
        <v>0</v>
      </c>
      <c r="J2" s="175">
        <f>IF(ISNUMBER(SEARCH('Карта учёта'!$B$17,Расходка[Наименование расходного материала])),MAX($J$1:J1)+1,0)</f>
        <v>0</v>
      </c>
      <c r="K2" s="175">
        <f>IF(ISNUMBER(SEARCH('Карта учёта'!$B$18,Расходка[Наименование расходного материала])),MAX($K$1:K1)+1,0)</f>
        <v>1</v>
      </c>
      <c r="L2" s="175">
        <f>IF(ISNUMBER(SEARCH('Карта учёта'!$B$19,Расходка[Наименование расходного материала])),MAX($L$1:L1)+1,0)</f>
        <v>1</v>
      </c>
      <c r="M2" s="175">
        <f>IF(ISNUMBER(SEARCH('Карта учёта'!$B$20,Расходка[Наименование расходного материала])),MAX($M$1:M1)+1,0)</f>
        <v>1</v>
      </c>
      <c r="N2" s="177">
        <f>IF(ISNUMBER(SEARCH('Карта учёта'!$B$21,Расходка[Наименование расходного материала])),MAX($N$1:N1)+1,0)</f>
        <v>1</v>
      </c>
      <c r="O2" s="175">
        <f>IF(ISNUMBER(SEARCH('Карта учёта'!$B$22,Расходка[Наименование расходного материала])),MAX($O$1:O1)+1,0)</f>
        <v>1</v>
      </c>
      <c r="P2" s="175">
        <f>IF(ISNUMBER(SEARCH('Карта учёта'!$B$23,Расходка[Наименование расходного материала])),MAX($P$1:P1)+1,0)</f>
        <v>1</v>
      </c>
      <c r="Q2" s="175">
        <f>IF(ISNUMBER(SEARCH('Карта учёта'!$B$24,Расходка[Наименование расходного материала])),MAX($Q$1:Q1)+1,0)</f>
        <v>1</v>
      </c>
      <c r="R2" s="174" t="str">
        <f>IFERROR(INDEX(Расходка[Наименование расходного материала],MATCH(Расходка[№],Поиск_расходки[Индекс1],0)),"")</f>
        <v xml:space="preserve">DES, Resolute Integtity, Medtronic </v>
      </c>
      <c r="S2" s="174" t="str">
        <f>IFERROR(INDEX(Расходка[Наименование расходного материала],MATCH(Расходка[№],Поиск_расходки[Индекс2],0)),"")</f>
        <v xml:space="preserve">DES, Resolute Integtity, Medtronic </v>
      </c>
      <c r="T2" s="174" t="str">
        <f>IFERROR(INDEX(Расходка[Наименование расходного материала],MATCH(Расходка[№],Поиск_расходки[Индекс3],0)),"")</f>
        <v xml:space="preserve">DES, Resolute Integtity, Medtronic </v>
      </c>
      <c r="U2" s="174" t="str">
        <f>IFERROR(INDEX(Расходка[Наименование расходного материала],MATCH(Расходка[№],Поиск_расходки[Индекс4],0)),"")</f>
        <v>Launcher 6F EBU 3.5, Medtronic</v>
      </c>
      <c r="V2" s="174" t="str">
        <f>IFERROR(INDEX(Расходка[Наименование расходного материала],MATCH(Расходка[№],Поиск_расходки[Индекс5],0)),"")</f>
        <v>Sion, Asahi</v>
      </c>
      <c r="W2" s="174" t="str">
        <f>IFERROR(INDEX(Расходка[Наименование расходного материала],MATCH(Расходка[№],Поиск_расходки[Индекс6],0)),"")</f>
        <v xml:space="preserve">Sprinter Legend, Medtronic </v>
      </c>
      <c r="X2" s="174" t="str">
        <f>IFERROR(INDEX(Расходка[Наименование расходного материала],MATCH(Расходка[№],Поиск_расходки[Индекс7],0)),"")</f>
        <v>Hunter® 6F, Iberhospitex S.A.</v>
      </c>
      <c r="Y2" s="174" t="str">
        <f>IFERROR(INDEX(Расходка[Наименование расходного материала],MATCH(Расходка[№],Поиск_расходки[Индекс8],0)),"")</f>
        <v>Hunter® 6F, Iberhospitex S.A.</v>
      </c>
      <c r="Z2" s="174" t="str">
        <f>IFERROR(INDEX(Расходка[Наименование расходного материала],MATCH(Расходка[№],Поиск_расходки[Индекс9],0)),"")</f>
        <v>Hunter® 6F, Iberhospitex S.A.</v>
      </c>
      <c r="AA2" s="174" t="str">
        <f>IFERROR(INDEX(Расходка[Наименование расходного материала],MATCH(Расходка[№],Поиск_расходки[Индекс10],0)),"")</f>
        <v>Hunter® 6F, Iberhospitex S.A.</v>
      </c>
      <c r="AB2" s="174" t="str">
        <f>IFERROR(INDEX(Расходка[Наименование расходного материала],MATCH(Расходка[№],Поиск_расходки[Индекс11],0)),"")</f>
        <v>Hunter® 6F, Iberhospitex S.A.</v>
      </c>
      <c r="AC2" s="174" t="str">
        <f>IFERROR(INDEX(Расходка[Наименование расходного материала],MATCH(Расходка[№],Поиск_расходки[Индекс12],0)),"")</f>
        <v>Hunter® 6F, Iberhospitex S.A.</v>
      </c>
      <c r="AD2" s="174" t="str">
        <f>IFERROR(INDEX(Расходка[Наименование расходного материала],MATCH(Расходка[№],Поиск_расходки[Индекс13],0)),"")</f>
        <v>Hunter® 6F, Iberhospitex S.A.</v>
      </c>
      <c r="AF2" s="4" t="s">
        <v>5</v>
      </c>
      <c r="AG2" s="4" t="s">
        <v>105</v>
      </c>
      <c r="AI2" t="s">
        <v>274</v>
      </c>
      <c r="AJ2" t="s">
        <v>283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212</v>
      </c>
      <c r="E3" s="175">
        <f>IF(ISNUMBER(SEARCH('Карта учёта'!$B$12,Расходка[[#This Row],[Наименование расходного материала]])),MAX($E$1:E2)+1,0)</f>
        <v>0</v>
      </c>
      <c r="F3" s="175">
        <f>IF(ISNUMBER(SEARCH('Карта учёта'!$B$13,Расходка[[#This Row],[Наименование расходного материала]])),MAX($F$1:F2)+1,0)</f>
        <v>0</v>
      </c>
      <c r="G3" s="175">
        <f>IF(ISNUMBER(SEARCH('Карта учёта'!$B$14,Расходка[Наименование расходного материала])),MAX($G$1:G2)+1,0)</f>
        <v>0</v>
      </c>
      <c r="H3" s="175">
        <f>IF(ISNUMBER(SEARCH('Карта учёта'!$B$15,Расходка[Наименование расходного материала])),MAX($H$1:H2)+1,0)</f>
        <v>0</v>
      </c>
      <c r="I3" s="175">
        <f>IF(ISNUMBER(SEARCH('Карта учёта'!$B$16,Расходка[Наименование расходного материала])),MAX($I$1:I2)+1,0)</f>
        <v>0</v>
      </c>
      <c r="J3" s="175">
        <f>IF(ISNUMBER(SEARCH('Карта учёта'!$B$17,Расходка[Наименование расходного материала])),MAX($J$1:J2)+1,0)</f>
        <v>0</v>
      </c>
      <c r="K3" s="175">
        <f>IF(ISNUMBER(SEARCH('Карта учёта'!$B$18,Расходка[Наименование расходного материала])),MAX($K$1:K2)+1,0)</f>
        <v>2</v>
      </c>
      <c r="L3" s="175">
        <f>IF(ISNUMBER(SEARCH('Карта учёта'!$B$19,Расходка[Наименование расходного материала])),MAX($L$1:L2)+1,0)</f>
        <v>2</v>
      </c>
      <c r="M3" s="175">
        <f>IF(ISNUMBER(SEARCH('Карта учёта'!$B$20,Расходка[Наименование расходного материала])),MAX($M$1:M2)+1,0)</f>
        <v>2</v>
      </c>
      <c r="N3" s="178">
        <f>IF(ISNUMBER(SEARCH('Карта учёта'!$B$21,Расходка[Наименование расходного материала])),MAX($N$1:N2)+1,0)</f>
        <v>2</v>
      </c>
      <c r="O3" s="175">
        <f>IF(ISNUMBER(SEARCH('Карта учёта'!$B$22,Расходка[Наименование расходного материала])),MAX($O$1:O2)+1,0)</f>
        <v>2</v>
      </c>
      <c r="P3" s="175">
        <f>IF(ISNUMBER(SEARCH('Карта учёта'!$B$23,Расходка[Наименование расходного материала])),MAX($P$1:P2)+1,0)</f>
        <v>2</v>
      </c>
      <c r="Q3" s="175">
        <f>IF(ISNUMBER(SEARCH('Карта учёта'!$B$24,Расходка[Наименование расходного материала])),MAX($Q$1:Q2)+1,0)</f>
        <v>2</v>
      </c>
      <c r="R3" s="174" t="str">
        <f>IFERROR(INDEX(Расходка[Наименование расходного материала],MATCH(Расходка[№],Поиск_расходки[Индекс1],0)),"")</f>
        <v/>
      </c>
      <c r="S3" s="174" t="str">
        <f>IFERROR(INDEX(Расходка[Наименование расходного материала],MATCH(Расходка[№],Поиск_расходки[Индекс2],0)),"")</f>
        <v/>
      </c>
      <c r="T3" s="174" t="str">
        <f>IFERROR(INDEX(Расходка[Наименование расходного материала],MATCH(Расходка[№],Поиск_расходки[Индекс3],0)),"")</f>
        <v/>
      </c>
      <c r="U3" s="174" t="str">
        <f>IFERROR(INDEX(Расходка[Наименование расходного материала],MATCH(Расходка[№],Поиск_расходки[Индекс4],0)),"")</f>
        <v/>
      </c>
      <c r="V3" s="174" t="str">
        <f>IFERROR(INDEX(Расходка[Наименование расходного материала],MATCH(Расходка[№],Поиск_расходки[Индекс5],0)),"")</f>
        <v/>
      </c>
      <c r="W3" s="174" t="str">
        <f>IFERROR(INDEX(Расходка[Наименование расходного материала],MATCH(Расходка[№],Поиск_расходки[Индекс6],0)),"")</f>
        <v/>
      </c>
      <c r="X3" s="174" t="str">
        <f>IFERROR(INDEX(Расходка[Наименование расходного материала],MATCH(Расходка[№],Поиск_расходки[Индекс7],0)),"")</f>
        <v>NC Accuforce, Terumo</v>
      </c>
      <c r="Y3" s="174" t="str">
        <f>IFERROR(INDEX(Расходка[Наименование расходного материала],MATCH(Расходка[№],Поиск_расходки[Индекс8],0)),"")</f>
        <v>NC Accuforce, Terumo</v>
      </c>
      <c r="Z3" s="174" t="str">
        <f>IFERROR(INDEX(Расходка[Наименование расходного материала],MATCH(Расходка[№],Поиск_расходки[Индекс9],0)),"")</f>
        <v>NC Accuforce, Terumo</v>
      </c>
      <c r="AA3" s="174" t="str">
        <f>IFERROR(INDEX(Расходка[Наименование расходного материала],MATCH(Расходка[№],Поиск_расходки[Индекс10],0)),"")</f>
        <v>NC Accuforce, Terumo</v>
      </c>
      <c r="AB3" s="174" t="str">
        <f>IFERROR(INDEX(Расходка[Наименование расходного материала],MATCH(Расходка[№],Поиск_расходки[Индекс11],0)),"")</f>
        <v>NC Accuforce, Terumo</v>
      </c>
      <c r="AC3" s="174" t="str">
        <f>IFERROR(INDEX(Расходка[Наименование расходного материала],MATCH(Расходка[№],Поиск_расходки[Индекс12],0)),"")</f>
        <v>NC Accuforce, Terumo</v>
      </c>
      <c r="AD3" s="174" t="str">
        <f>IFERROR(INDEX(Расходка[Наименование расходного материала],MATCH(Расходка[№],Поиск_расходки[Индекс13],0)),"")</f>
        <v>NC Accuforce, Terumo</v>
      </c>
      <c r="AF3" s="4" t="s">
        <v>5</v>
      </c>
      <c r="AG3" s="4" t="s">
        <v>106</v>
      </c>
      <c r="AI3" t="s">
        <v>274</v>
      </c>
      <c r="AJ3" t="s">
        <v>284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131</v>
      </c>
      <c r="E4" s="175">
        <f>IF(ISNUMBER(SEARCH('Карта учёта'!$B$12,Расходка[[#This Row],[Наименование расходного материала]])),MAX($E$1:E3)+1,0)</f>
        <v>0</v>
      </c>
      <c r="F4" s="175">
        <f>IF(ISNUMBER(SEARCH('Карта учёта'!$B$13,Расходка[[#This Row],[Наименование расходного материала]])),MAX($F$1:F3)+1,0)</f>
        <v>0</v>
      </c>
      <c r="G4" s="175">
        <f>IF(ISNUMBER(SEARCH('Карта учёта'!$B$14,Расходка[Наименование расходного материала])),MAX($G$1:G3)+1,0)</f>
        <v>0</v>
      </c>
      <c r="H4" s="175">
        <f>IF(ISNUMBER(SEARCH('Карта учёта'!$B$15,Расходка[Наименование расходного материала])),MAX($H$1:H3)+1,0)</f>
        <v>0</v>
      </c>
      <c r="I4" s="175">
        <f>IF(ISNUMBER(SEARCH('Карта учёта'!$B$16,Расходка[Наименование расходного материала])),MAX($I$1:I3)+1,0)</f>
        <v>0</v>
      </c>
      <c r="J4" s="175">
        <f>IF(ISNUMBER(SEARCH('Карта учёта'!$B$17,Расходка[Наименование расходного материала])),MAX($J$1:J3)+1,0)</f>
        <v>1</v>
      </c>
      <c r="K4" s="175">
        <f>IF(ISNUMBER(SEARCH('Карта учёта'!$B$18,Расходка[Наименование расходного материала])),MAX($K$1:K3)+1,0)</f>
        <v>3</v>
      </c>
      <c r="L4" s="175">
        <f>IF(ISNUMBER(SEARCH('Карта учёта'!$B$19,Расходка[Наименование расходного материала])),MAX($L$1:L3)+1,0)</f>
        <v>3</v>
      </c>
      <c r="M4" s="175">
        <f>IF(ISNUMBER(SEARCH('Карта учёта'!$B$20,Расходка[Наименование расходного материала])),MAX($M$1:M3)+1,0)</f>
        <v>3</v>
      </c>
      <c r="N4" s="178">
        <f>IF(ISNUMBER(SEARCH('Карта учёта'!$B$21,Расходка[Наименование расходного материала])),MAX($N$1:N3)+1,0)</f>
        <v>3</v>
      </c>
      <c r="O4" s="175">
        <f>IF(ISNUMBER(SEARCH('Карта учёта'!$B$22,Расходка[Наименование расходного материала])),MAX($O$1:O3)+1,0)</f>
        <v>3</v>
      </c>
      <c r="P4" s="175">
        <f>IF(ISNUMBER(SEARCH('Карта учёта'!$B$23,Расходка[Наименование расходного материала])),MAX($P$1:P3)+1,0)</f>
        <v>3</v>
      </c>
      <c r="Q4" s="175">
        <f>IF(ISNUMBER(SEARCH('Карта учёта'!$B$24,Расходка[Наименование расходного материала])),MAX($Q$1:Q3)+1,0)</f>
        <v>3</v>
      </c>
      <c r="R4" s="174" t="str">
        <f>IFERROR(INDEX(Расходка[Наименование расходного материала],MATCH(Расходка[№],Поиск_расходки[Индекс1],0)),"")</f>
        <v/>
      </c>
      <c r="S4" s="174" t="str">
        <f>IFERROR(INDEX(Расходка[Наименование расходного материала],MATCH(Расходка[№],Поиск_расходки[Индекс2],0)),"")</f>
        <v/>
      </c>
      <c r="T4" s="174" t="str">
        <f>IFERROR(INDEX(Расходка[Наименование расходного материала],MATCH(Расходка[№],Поиск_расходки[Индекс3],0)),"")</f>
        <v/>
      </c>
      <c r="U4" s="174" t="str">
        <f>IFERROR(INDEX(Расходка[Наименование расходного материала],MATCH(Расходка[№],Поиск_расходки[Индекс4],0)),"")</f>
        <v/>
      </c>
      <c r="V4" s="174" t="str">
        <f>IFERROR(INDEX(Расходка[Наименование расходного материала],MATCH(Расходка[№],Поиск_расходки[Индекс5],0)),"")</f>
        <v/>
      </c>
      <c r="W4" s="174" t="str">
        <f>IFERROR(INDEX(Расходка[Наименование расходного материала],MATCH(Расходка[№],Поиск_расходки[Индекс6],0)),"")</f>
        <v/>
      </c>
      <c r="X4" s="174" t="str">
        <f>IFERROR(INDEX(Расходка[Наименование расходного материала],MATCH(Расходка[№],Поиск_расходки[Индекс7],0)),"")</f>
        <v xml:space="preserve">Sprinter Legend, Medtronic </v>
      </c>
      <c r="Y4" s="174" t="str">
        <f>IFERROR(INDEX(Расходка[Наименование расходного материала],MATCH(Расходка[№],Поиск_расходки[Индекс8],0)),"")</f>
        <v xml:space="preserve">Sprinter Legend, Medtronic </v>
      </c>
      <c r="Z4" s="174" t="str">
        <f>IFERROR(INDEX(Расходка[Наименование расходного материала],MATCH(Расходка[№],Поиск_расходки[Индекс9],0)),"")</f>
        <v xml:space="preserve">Sprinter Legend, Medtronic </v>
      </c>
      <c r="AA4" s="174" t="str">
        <f>IFERROR(INDEX(Расходка[Наименование расходного материала],MATCH(Расходка[№],Поиск_расходки[Индекс10],0)),"")</f>
        <v xml:space="preserve">Sprinter Legend, Medtronic </v>
      </c>
      <c r="AB4" s="174" t="str">
        <f>IFERROR(INDEX(Расходка[Наименование расходного материала],MATCH(Расходка[№],Поиск_расходки[Индекс11],0)),"")</f>
        <v xml:space="preserve">Sprinter Legend, Medtronic </v>
      </c>
      <c r="AC4" s="174" t="str">
        <f>IFERROR(INDEX(Расходка[Наименование расходного материала],MATCH(Расходка[№],Поиск_расходки[Индекс12],0)),"")</f>
        <v xml:space="preserve">Sprinter Legend, Medtronic </v>
      </c>
      <c r="AD4" s="174" t="str">
        <f>IFERROR(INDEX(Расходка[Наименование расходного материала],MATCH(Расходка[№],Поиск_расходки[Индекс13],0)),"")</f>
        <v xml:space="preserve">Sprinter Legend, Medtronic </v>
      </c>
      <c r="AF4" s="4" t="s">
        <v>5</v>
      </c>
      <c r="AG4" s="4" t="s">
        <v>172</v>
      </c>
      <c r="AI4" t="s">
        <v>274</v>
      </c>
      <c r="AJ4" t="s">
        <v>285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376</v>
      </c>
      <c r="E5" s="175">
        <f>IF(ISNUMBER(SEARCH('Карта учёта'!$B$12,Расходка[[#This Row],[Наименование расходного материала]])),MAX($E$1:E4)+1,0)</f>
        <v>0</v>
      </c>
      <c r="F5" s="175">
        <f>IF(ISNUMBER(SEARCH('Карта учёта'!$B$13,Расходка[[#This Row],[Наименование расходного материала]])),MAX($F$1:F4)+1,0)</f>
        <v>0</v>
      </c>
      <c r="G5" s="175">
        <f>IF(ISNUMBER(SEARCH('Карта учёта'!$B$14,Расходка[Наименование расходного материала])),MAX($G$1:G4)+1,0)</f>
        <v>0</v>
      </c>
      <c r="H5" s="175">
        <f>IF(ISNUMBER(SEARCH('Карта учёта'!$B$15,Расходка[Наименование расходного материала])),MAX($H$1:H4)+1,0)</f>
        <v>0</v>
      </c>
      <c r="I5" s="175">
        <f>IF(ISNUMBER(SEARCH('Карта учёта'!$B$16,Расходка[Наименование расходного материала])),MAX($I$1:I4)+1,0)</f>
        <v>0</v>
      </c>
      <c r="J5" s="175">
        <f>IF(ISNUMBER(SEARCH('Карта учёта'!$B$17,Расходка[Наименование расходного материала])),MAX($J$1:J4)+1,0)</f>
        <v>0</v>
      </c>
      <c r="K5" s="175">
        <f>IF(ISNUMBER(SEARCH('Карта учёта'!$B$18,Расходка[Наименование расходного материала])),MAX($K$1:K4)+1,0)</f>
        <v>4</v>
      </c>
      <c r="L5" s="175">
        <f>IF(ISNUMBER(SEARCH('Карта учёта'!$B$19,Расходка[Наименование расходного материала])),MAX($L$1:L4)+1,0)</f>
        <v>4</v>
      </c>
      <c r="M5" s="175">
        <f>IF(ISNUMBER(SEARCH('Карта учёта'!$B$20,Расходка[Наименование расходного материала])),MAX($M$1:M4)+1,0)</f>
        <v>4</v>
      </c>
      <c r="N5" s="178">
        <f>IF(ISNUMBER(SEARCH('Карта учёта'!$B$21,Расходка[Наименование расходного материала])),MAX($N$1:N4)+1,0)</f>
        <v>4</v>
      </c>
      <c r="O5" s="175">
        <f>IF(ISNUMBER(SEARCH('Карта учёта'!$B$22,Расходка[Наименование расходного материала])),MAX($O$1:O4)+1,0)</f>
        <v>4</v>
      </c>
      <c r="P5" s="175">
        <f>IF(ISNUMBER(SEARCH('Карта учёта'!$B$23,Расходка[Наименование расходного материала])),MAX($P$1:P4)+1,0)</f>
        <v>4</v>
      </c>
      <c r="Q5" s="175">
        <f>IF(ISNUMBER(SEARCH('Карта учёта'!$B$24,Расходка[Наименование расходного материала])),MAX($Q$1:Q4)+1,0)</f>
        <v>4</v>
      </c>
      <c r="R5" s="174" t="str">
        <f>IFERROR(INDEX(Расходка[Наименование расходного материала],MATCH(Расходка[№],Поиск_расходки[Индекс1],0)),"")</f>
        <v/>
      </c>
      <c r="S5" s="174" t="str">
        <f>IFERROR(INDEX(Расходка[Наименование расходного материала],MATCH(Расходка[№],Поиск_расходки[Индекс2],0)),"")</f>
        <v/>
      </c>
      <c r="T5" s="174" t="str">
        <f>IFERROR(INDEX(Расходка[Наименование расходного материала],MATCH(Расходка[№],Поиск_расходки[Индекс3],0)),"")</f>
        <v/>
      </c>
      <c r="U5" s="174" t="str">
        <f>IFERROR(INDEX(Расходка[Наименование расходного материала],MATCH(Расходка[№],Поиск_расходки[Индекс4],0)),"")</f>
        <v/>
      </c>
      <c r="V5" s="174" t="str">
        <f>IFERROR(INDEX(Расходка[Наименование расходного материала],MATCH(Расходка[№],Поиск_расходки[Индекс5],0)),"")</f>
        <v/>
      </c>
      <c r="W5" s="174" t="str">
        <f>IFERROR(INDEX(Расходка[Наименование расходного материала],MATCH(Расходка[№],Поиск_расходки[Индекс6],0)),"")</f>
        <v/>
      </c>
      <c r="X5" s="174" t="str">
        <f>IFERROR(INDEX(Расходка[Наименование расходного материала],MATCH(Расходка[№],Поиск_расходки[Индекс7],0)),"")</f>
        <v>Sapphire</v>
      </c>
      <c r="Y5" s="174" t="str">
        <f>IFERROR(INDEX(Расходка[Наименование расходного материала],MATCH(Расходка[№],Поиск_расходки[Индекс8],0)),"")</f>
        <v>Sapphire</v>
      </c>
      <c r="Z5" s="174" t="str">
        <f>IFERROR(INDEX(Расходка[Наименование расходного материала],MATCH(Расходка[№],Поиск_расходки[Индекс9],0)),"")</f>
        <v>Sapphire</v>
      </c>
      <c r="AA5" s="174" t="str">
        <f>IFERROR(INDEX(Расходка[Наименование расходного материала],MATCH(Расходка[№],Поиск_расходки[Индекс10],0)),"")</f>
        <v>Sapphire</v>
      </c>
      <c r="AB5" s="174" t="str">
        <f>IFERROR(INDEX(Расходка[Наименование расходного материала],MATCH(Расходка[№],Поиск_расходки[Индекс11],0)),"")</f>
        <v>Sapphire</v>
      </c>
      <c r="AC5" s="174" t="str">
        <f>IFERROR(INDEX(Расходка[Наименование расходного материала],MATCH(Расходка[№],Поиск_расходки[Индекс12],0)),"")</f>
        <v>Sapphire</v>
      </c>
      <c r="AD5" s="174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107</v>
      </c>
      <c r="AI5" t="s">
        <v>274</v>
      </c>
      <c r="AJ5" t="s">
        <v>286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377</v>
      </c>
      <c r="E6" s="175">
        <f>IF(ISNUMBER(SEARCH('Карта учёта'!$B$12,Расходка[[#This Row],[Наименование расходного материала]])),MAX($E$1:E5)+1,0)</f>
        <v>0</v>
      </c>
      <c r="F6" s="175">
        <f>IF(ISNUMBER(SEARCH('Карта учёта'!$B$13,Расходка[[#This Row],[Наименование расходного материала]])),MAX($F$1:F5)+1,0)</f>
        <v>0</v>
      </c>
      <c r="G6" s="175">
        <f>IF(ISNUMBER(SEARCH('Карта учёта'!$B$14,Расходка[Наименование расходного материала])),MAX($G$1:G5)+1,0)</f>
        <v>0</v>
      </c>
      <c r="H6" s="175">
        <f>IF(ISNUMBER(SEARCH('Карта учёта'!$B$15,Расходка[Наименование расходного материала])),MAX($H$1:H5)+1,0)</f>
        <v>0</v>
      </c>
      <c r="I6" s="175">
        <f>IF(ISNUMBER(SEARCH('Карта учёта'!$B$16,Расходка[Наименование расходного материала])),MAX($I$1:I5)+1,0)</f>
        <v>0</v>
      </c>
      <c r="J6" s="175">
        <f>IF(ISNUMBER(SEARCH('Карта учёта'!$B$17,Расходка[Наименование расходного материала])),MAX($J$1:J5)+1,0)</f>
        <v>0</v>
      </c>
      <c r="K6" s="175">
        <f>IF(ISNUMBER(SEARCH('Карта учёта'!$B$18,Расходка[Наименование расходного материала])),MAX($K$1:K5)+1,0)</f>
        <v>5</v>
      </c>
      <c r="L6" s="175">
        <f>IF(ISNUMBER(SEARCH('Карта учёта'!$B$19,Расходка[Наименование расходного материала])),MAX($L$1:L5)+1,0)</f>
        <v>5</v>
      </c>
      <c r="M6" s="175">
        <f>IF(ISNUMBER(SEARCH('Карта учёта'!$B$20,Расходка[Наименование расходного материала])),MAX($M$1:M5)+1,0)</f>
        <v>5</v>
      </c>
      <c r="N6" s="178">
        <f>IF(ISNUMBER(SEARCH('Карта учёта'!$B$21,Расходка[Наименование расходного материала])),MAX($N$1:N5)+1,0)</f>
        <v>5</v>
      </c>
      <c r="O6" s="175">
        <f>IF(ISNUMBER(SEARCH('Карта учёта'!$B$22,Расходка[Наименование расходного материала])),MAX($O$1:O5)+1,0)</f>
        <v>5</v>
      </c>
      <c r="P6" s="175">
        <f>IF(ISNUMBER(SEARCH('Карта учёта'!$B$23,Расходка[Наименование расходного материала])),MAX($P$1:P5)+1,0)</f>
        <v>5</v>
      </c>
      <c r="Q6" s="175">
        <f>IF(ISNUMBER(SEARCH('Карта учёта'!$B$24,Расходка[Наименование расходного материала])),MAX($Q$1:Q5)+1,0)</f>
        <v>5</v>
      </c>
      <c r="R6" s="174" t="str">
        <f>IFERROR(INDEX(Расходка[Наименование расходного материала],MATCH(Расходка[№],Поиск_расходки[Индекс1],0)),"")</f>
        <v/>
      </c>
      <c r="S6" s="174" t="str">
        <f>IFERROR(INDEX(Расходка[Наименование расходного материала],MATCH(Расходка[№],Поиск_расходки[Индекс2],0)),"")</f>
        <v/>
      </c>
      <c r="T6" s="174" t="str">
        <f>IFERROR(INDEX(Расходка[Наименование расходного материала],MATCH(Расходка[№],Поиск_расходки[Индекс3],0)),"")</f>
        <v/>
      </c>
      <c r="U6" s="174" t="str">
        <f>IFERROR(INDEX(Расходка[Наименование расходного материала],MATCH(Расходка[№],Поиск_расходки[Индекс4],0)),"")</f>
        <v/>
      </c>
      <c r="V6" s="174" t="str">
        <f>IFERROR(INDEX(Расходка[Наименование расходного материала],MATCH(Расходка[№],Поиск_расходки[Индекс5],0)),"")</f>
        <v/>
      </c>
      <c r="W6" s="174" t="str">
        <f>IFERROR(INDEX(Расходка[Наименование расходного материала],MATCH(Расходка[№],Поиск_расходки[Индекс6],0)),"")</f>
        <v/>
      </c>
      <c r="X6" s="174" t="str">
        <f>IFERROR(INDEX(Расходка[Наименование расходного материала],MATCH(Расходка[№],Поиск_расходки[Индекс7],0)),"")</f>
        <v>Euphora</v>
      </c>
      <c r="Y6" s="174" t="str">
        <f>IFERROR(INDEX(Расходка[Наименование расходного материала],MATCH(Расходка[№],Поиск_расходки[Индекс8],0)),"")</f>
        <v>Euphora</v>
      </c>
      <c r="Z6" s="174" t="str">
        <f>IFERROR(INDEX(Расходка[Наименование расходного материала],MATCH(Расходка[№],Поиск_расходки[Индекс9],0)),"")</f>
        <v>Euphora</v>
      </c>
      <c r="AA6" s="174" t="str">
        <f>IFERROR(INDEX(Расходка[Наименование расходного материала],MATCH(Расходка[№],Поиск_расходки[Индекс10],0)),"")</f>
        <v>Euphora</v>
      </c>
      <c r="AB6" s="174" t="str">
        <f>IFERROR(INDEX(Расходка[Наименование расходного материала],MATCH(Расходка[№],Поиск_расходки[Индекс11],0)),"")</f>
        <v>Euphora</v>
      </c>
      <c r="AC6" s="174" t="str">
        <f>IFERROR(INDEX(Расходка[Наименование расходного материала],MATCH(Расходка[№],Поиск_расходки[Индекс12],0)),"")</f>
        <v>Euphora</v>
      </c>
      <c r="AD6" s="174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115</v>
      </c>
      <c r="AI6" t="s">
        <v>274</v>
      </c>
      <c r="AJ6" t="s">
        <v>287</v>
      </c>
      <c r="AK6" t="str">
        <f t="shared" si="0"/>
        <v>Контраст: Сканлюкс 370</v>
      </c>
    </row>
    <row r="7" spans="1:37">
      <c r="A7">
        <v>6</v>
      </c>
      <c r="B7" t="s">
        <v>170</v>
      </c>
      <c r="C7" t="s">
        <v>370</v>
      </c>
      <c r="E7" s="175">
        <f>IF(ISNUMBER(SEARCH('Карта учёта'!$B$12,Расходка[[#This Row],[Наименование расходного материала]])),MAX($E$1:E6)+1,0)</f>
        <v>0</v>
      </c>
      <c r="F7" s="175">
        <f>IF(ISNUMBER(SEARCH('Карта учёта'!$B$13,Расходка[[#This Row],[Наименование расходного материала]])),MAX($F$1:F6)+1,0)</f>
        <v>0</v>
      </c>
      <c r="G7" s="175">
        <f>IF(ISNUMBER(SEARCH('Карта учёта'!$B$14,Расходка[Наименование расходного материала])),MAX($G$1:G6)+1,0)</f>
        <v>0</v>
      </c>
      <c r="H7" s="175">
        <f>IF(ISNUMBER(SEARCH('Карта учёта'!$B$15,Расходка[Наименование расходного материала])),MAX($H$1:H6)+1,0)</f>
        <v>0</v>
      </c>
      <c r="I7" s="175">
        <f>IF(ISNUMBER(SEARCH('Карта учёта'!$B$16,Расходка[Наименование расходного материала])),MAX($I$1:I6)+1,0)</f>
        <v>0</v>
      </c>
      <c r="J7" s="175">
        <f>IF(ISNUMBER(SEARCH('Карта учёта'!$B$17,Расходка[Наименование расходного материала])),MAX($J$1:J6)+1,0)</f>
        <v>0</v>
      </c>
      <c r="K7" s="175">
        <f>IF(ISNUMBER(SEARCH('Карта учёта'!$B$18,Расходка[Наименование расходного материала])),MAX($K$1:K6)+1,0)</f>
        <v>6</v>
      </c>
      <c r="L7" s="175">
        <f>IF(ISNUMBER(SEARCH('Карта учёта'!$B$19,Расходка[Наименование расходного материала])),MAX($L$1:L6)+1,0)</f>
        <v>6</v>
      </c>
      <c r="M7" s="175">
        <f>IF(ISNUMBER(SEARCH('Карта учёта'!$B$20,Расходка[Наименование расходного материала])),MAX($M$1:M6)+1,0)</f>
        <v>6</v>
      </c>
      <c r="N7" s="178">
        <f>IF(ISNUMBER(SEARCH('Карта учёта'!$B$21,Расходка[Наименование расходного материала])),MAX($N$1:N6)+1,0)</f>
        <v>6</v>
      </c>
      <c r="O7" s="175">
        <f>IF(ISNUMBER(SEARCH('Карта учёта'!$B$22,Расходка[Наименование расходного материала])),MAX($O$1:O6)+1,0)</f>
        <v>6</v>
      </c>
      <c r="P7" s="175">
        <f>IF(ISNUMBER(SEARCH('Карта учёта'!$B$23,Расходка[Наименование расходного материала])),MAX($P$1:P6)+1,0)</f>
        <v>6</v>
      </c>
      <c r="Q7" s="175">
        <f>IF(ISNUMBER(SEARCH('Карта учёта'!$B$24,Расходка[Наименование расходного материала])),MAX($Q$1:Q6)+1,0)</f>
        <v>6</v>
      </c>
      <c r="R7" s="174" t="str">
        <f>IFERROR(INDEX(Расходка[Наименование расходного материала],MATCH(Расходка[№],Поиск_расходки[Индекс1],0)),"")</f>
        <v/>
      </c>
      <c r="S7" s="174" t="str">
        <f>IFERROR(INDEX(Расходка[Наименование расходного материала],MATCH(Расходка[№],Поиск_расходки[Индекс2],0)),"")</f>
        <v/>
      </c>
      <c r="T7" s="174" t="str">
        <f>IFERROR(INDEX(Расходка[Наименование расходного материала],MATCH(Расходка[№],Поиск_расходки[Индекс3],0)),"")</f>
        <v/>
      </c>
      <c r="U7" s="174" t="str">
        <f>IFERROR(INDEX(Расходка[Наименование расходного материала],MATCH(Расходка[№],Поиск_расходки[Индекс4],0)),"")</f>
        <v/>
      </c>
      <c r="V7" s="174" t="str">
        <f>IFERROR(INDEX(Расходка[Наименование расходного материала],MATCH(Расходка[№],Поиск_расходки[Индекс5],0)),"")</f>
        <v/>
      </c>
      <c r="W7" s="174" t="str">
        <f>IFERROR(INDEX(Расходка[Наименование расходного материала],MATCH(Расходка[№],Поиск_расходки[Индекс6],0)),"")</f>
        <v/>
      </c>
      <c r="X7" s="174" t="str">
        <f>IFERROR(INDEX(Расходка[Наименование расходного материала],MATCH(Расходка[№],Поиск_расходки[Индекс7],0)),"")</f>
        <v>Fielder, Asahi</v>
      </c>
      <c r="Y7" s="174" t="str">
        <f>IFERROR(INDEX(Расходка[Наименование расходного материала],MATCH(Расходка[№],Поиск_расходки[Индекс8],0)),"")</f>
        <v>Fielder, Asahi</v>
      </c>
      <c r="Z7" s="174" t="str">
        <f>IFERROR(INDEX(Расходка[Наименование расходного материала],MATCH(Расходка[№],Поиск_расходки[Индекс9],0)),"")</f>
        <v>Fielder, Asahi</v>
      </c>
      <c r="AA7" s="174" t="str">
        <f>IFERROR(INDEX(Расходка[Наименование расходного материала],MATCH(Расходка[№],Поиск_расходки[Индекс10],0)),"")</f>
        <v>Fielder, Asahi</v>
      </c>
      <c r="AB7" s="174" t="str">
        <f>IFERROR(INDEX(Расходка[Наименование расходного материала],MATCH(Расходка[№],Поиск_расходки[Индекс11],0)),"")</f>
        <v>Fielder, Asahi</v>
      </c>
      <c r="AC7" s="174" t="str">
        <f>IFERROR(INDEX(Расходка[Наименование расходного материала],MATCH(Расходка[№],Поиск_расходки[Индекс12],0)),"")</f>
        <v>Fielder, Asahi</v>
      </c>
      <c r="AD7" s="174" t="str">
        <f>IFERROR(INDEX(Расходка[Наименование расходного материала],MATCH(Расходка[№],Поиск_расходки[Индекс13],0)),"")</f>
        <v>Fielder, Asahi</v>
      </c>
      <c r="AF7" s="4" t="s">
        <v>5</v>
      </c>
      <c r="AG7" s="4" t="s">
        <v>110</v>
      </c>
      <c r="AI7" t="s">
        <v>274</v>
      </c>
      <c r="AJ7" t="s">
        <v>288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3</v>
      </c>
      <c r="C8" t="s">
        <v>371</v>
      </c>
      <c r="E8" s="175">
        <f>IF(ISNUMBER(SEARCH('Карта учёта'!$B$12,Расходка[[#This Row],[Наименование расходного материала]])),MAX($E$1:E7)+1,0)</f>
        <v>0</v>
      </c>
      <c r="F8" s="175">
        <f>IF(ISNUMBER(SEARCH('Карта учёта'!$B$13,Расходка[[#This Row],[Наименование расходного материала]])),MAX($F$1:F7)+1,0)</f>
        <v>0</v>
      </c>
      <c r="G8" s="175">
        <f>IF(ISNUMBER(SEARCH('Карта учёта'!$B$14,Расходка[Наименование расходного материала])),MAX($G$1:G7)+1,0)</f>
        <v>0</v>
      </c>
      <c r="H8" s="175">
        <f>IF(ISNUMBER(SEARCH('Карта учёта'!$B$15,Расходка[Наименование расходного материала])),MAX($H$1:H7)+1,0)</f>
        <v>0</v>
      </c>
      <c r="I8" s="175">
        <f>IF(ISNUMBER(SEARCH('Карта учёта'!$B$16,Расходка[Наименование расходного материала])),MAX($I$1:I7)+1,0)</f>
        <v>1</v>
      </c>
      <c r="J8" s="175">
        <f>IF(ISNUMBER(SEARCH('Карта учёта'!$B$17,Расходка[Наименование расходного материала])),MAX($J$1:J7)+1,0)</f>
        <v>0</v>
      </c>
      <c r="K8" s="175">
        <f>IF(ISNUMBER(SEARCH('Карта учёта'!$B$18,Расходка[Наименование расходного материала])),MAX($K$1:K7)+1,0)</f>
        <v>7</v>
      </c>
      <c r="L8" s="175">
        <f>IF(ISNUMBER(SEARCH('Карта учёта'!$B$19,Расходка[Наименование расходного материала])),MAX($L$1:L7)+1,0)</f>
        <v>7</v>
      </c>
      <c r="M8" s="175">
        <f>IF(ISNUMBER(SEARCH('Карта учёта'!$B$20,Расходка[Наименование расходного материала])),MAX($M$1:M7)+1,0)</f>
        <v>7</v>
      </c>
      <c r="N8" s="178">
        <f>IF(ISNUMBER(SEARCH('Карта учёта'!$B$21,Расходка[Наименование расходного материала])),MAX($N$1:N7)+1,0)</f>
        <v>7</v>
      </c>
      <c r="O8" s="175">
        <f>IF(ISNUMBER(SEARCH('Карта учёта'!$B$22,Расходка[Наименование расходного материала])),MAX($O$1:O7)+1,0)</f>
        <v>7</v>
      </c>
      <c r="P8" s="175">
        <f>IF(ISNUMBER(SEARCH('Карта учёта'!$B$23,Расходка[Наименование расходного материала])),MAX($P$1:P7)+1,0)</f>
        <v>7</v>
      </c>
      <c r="Q8" s="175">
        <f>IF(ISNUMBER(SEARCH('Карта учёта'!$B$24,Расходка[Наименование расходного материала])),MAX($Q$1:Q7)+1,0)</f>
        <v>7</v>
      </c>
      <c r="R8" s="174" t="str">
        <f>IFERROR(INDEX(Расходка[Наименование расходного материала],MATCH(Расходка[№],Поиск_расходки[Индекс1],0)),"")</f>
        <v/>
      </c>
      <c r="S8" s="174" t="str">
        <f>IFERROR(INDEX(Расходка[Наименование расходного материала],MATCH(Расходка[№],Поиск_расходки[Индекс2],0)),"")</f>
        <v/>
      </c>
      <c r="T8" s="174" t="str">
        <f>IFERROR(INDEX(Расходка[Наименование расходного материала],MATCH(Расходка[№],Поиск_расходки[Индекс3],0)),"")</f>
        <v/>
      </c>
      <c r="U8" s="174" t="str">
        <f>IFERROR(INDEX(Расходка[Наименование расходного материала],MATCH(Расходка[№],Поиск_расходки[Индекс4],0)),"")</f>
        <v/>
      </c>
      <c r="V8" s="174" t="str">
        <f>IFERROR(INDEX(Расходка[Наименование расходного материала],MATCH(Расходка[№],Поиск_расходки[Индекс5],0)),"")</f>
        <v/>
      </c>
      <c r="W8" s="174" t="str">
        <f>IFERROR(INDEX(Расходка[Наименование расходного материала],MATCH(Расходка[№],Поиск_расходки[Индекс6],0)),"")</f>
        <v/>
      </c>
      <c r="X8" s="174" t="str">
        <f>IFERROR(INDEX(Расходка[Наименование расходного материала],MATCH(Расходка[№],Поиск_расходки[Индекс7],0)),"")</f>
        <v>Sion, Asahi</v>
      </c>
      <c r="Y8" s="174" t="str">
        <f>IFERROR(INDEX(Расходка[Наименование расходного материала],MATCH(Расходка[№],Поиск_расходки[Индекс8],0)),"")</f>
        <v>Sion, Asahi</v>
      </c>
      <c r="Z8" s="174" t="str">
        <f>IFERROR(INDEX(Расходка[Наименование расходного материала],MATCH(Расходка[№],Поиск_расходки[Индекс9],0)),"")</f>
        <v>Sion, Asahi</v>
      </c>
      <c r="AA8" s="174" t="str">
        <f>IFERROR(INDEX(Расходка[Наименование расходного материала],MATCH(Расходка[№],Поиск_расходки[Индекс10],0)),"")</f>
        <v>Sion, Asahi</v>
      </c>
      <c r="AB8" s="174" t="str">
        <f>IFERROR(INDEX(Расходка[Наименование расходного материала],MATCH(Расходка[№],Поиск_расходки[Индекс11],0)),"")</f>
        <v>Sion, Asahi</v>
      </c>
      <c r="AC8" s="174" t="str">
        <f>IFERROR(INDEX(Расходка[Наименование расходного материала],MATCH(Расходка[№],Поиск_расходки[Индекс12],0)),"")</f>
        <v>Sion, Asahi</v>
      </c>
      <c r="AD8" s="174" t="str">
        <f>IFERROR(INDEX(Расходка[Наименование расходного материала],MATCH(Расходка[№],Поиск_расходки[Индекс13],0)),"")</f>
        <v>Sion, Asahi</v>
      </c>
      <c r="AF8" s="4" t="s">
        <v>5</v>
      </c>
      <c r="AG8" s="4" t="s">
        <v>190</v>
      </c>
      <c r="AI8" t="s">
        <v>274</v>
      </c>
      <c r="AJ8" t="s">
        <v>289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127</v>
      </c>
      <c r="E9" s="175">
        <f>IF(ISNUMBER(SEARCH('Карта учёта'!$B$12,Расходка[[#This Row],[Наименование расходного материала]])),MAX($E$1:E8)+1,0)</f>
        <v>0</v>
      </c>
      <c r="F9" s="175">
        <f>IF(ISNUMBER(SEARCH('Карта учёта'!$B$13,Расходка[[#This Row],[Наименование расходного материала]])),MAX($F$1:F8)+1,0)</f>
        <v>0</v>
      </c>
      <c r="G9" s="175">
        <f>IF(ISNUMBER(SEARCH('Карта учёта'!$B$14,Расходка[Наименование расходного материала])),MAX($G$1:G8)+1,0)</f>
        <v>0</v>
      </c>
      <c r="H9" s="175">
        <f>IF(ISNUMBER(SEARCH('Карта учёта'!$B$15,Расходка[Наименование расходного материала])),MAX($H$1:H8)+1,0)</f>
        <v>0</v>
      </c>
      <c r="I9" s="175">
        <f>IF(ISNUMBER(SEARCH('Карта учёта'!$B$16,Расходка[Наименование расходного материала])),MAX($I$1:I8)+1,0)</f>
        <v>0</v>
      </c>
      <c r="J9" s="175">
        <f>IF(ISNUMBER(SEARCH('Карта учёта'!$B$17,Расходка[Наименование расходного материала])),MAX($J$1:J8)+1,0)</f>
        <v>0</v>
      </c>
      <c r="K9" s="175">
        <f>IF(ISNUMBER(SEARCH('Карта учёта'!$B$18,Расходка[Наименование расходного материала])),MAX($K$1:K8)+1,0)</f>
        <v>8</v>
      </c>
      <c r="L9" s="175">
        <f>IF(ISNUMBER(SEARCH('Карта учёта'!$B$19,Расходка[Наименование расходного материала])),MAX($L$1:L8)+1,0)</f>
        <v>8</v>
      </c>
      <c r="M9" s="175">
        <f>IF(ISNUMBER(SEARCH('Карта учёта'!$B$20,Расходка[Наименование расходного материала])),MAX($M$1:M8)+1,0)</f>
        <v>8</v>
      </c>
      <c r="N9" s="178">
        <f>IF(ISNUMBER(SEARCH('Карта учёта'!$B$21,Расходка[Наименование расходного материала])),MAX($N$1:N8)+1,0)</f>
        <v>8</v>
      </c>
      <c r="O9" s="175">
        <f>IF(ISNUMBER(SEARCH('Карта учёта'!$B$22,Расходка[Наименование расходного материала])),MAX($O$1:O8)+1,0)</f>
        <v>8</v>
      </c>
      <c r="P9" s="175">
        <f>IF(ISNUMBER(SEARCH('Карта учёта'!$B$23,Расходка[Наименование расходного материала])),MAX($P$1:P8)+1,0)</f>
        <v>8</v>
      </c>
      <c r="Q9" s="175">
        <f>IF(ISNUMBER(SEARCH('Карта учёта'!$B$24,Расходка[Наименование расходного материала])),MAX($Q$1:Q8)+1,0)</f>
        <v>8</v>
      </c>
      <c r="R9" s="174" t="str">
        <f>IFERROR(INDEX(Расходка[Наименование расходного материала],MATCH(Расходка[№],Поиск_расходки[Индекс1],0)),"")</f>
        <v/>
      </c>
      <c r="S9" s="174" t="str">
        <f>IFERROR(INDEX(Расходка[Наименование расходного материала],MATCH(Расходка[№],Поиск_расходки[Индекс2],0)),"")</f>
        <v/>
      </c>
      <c r="T9" s="174" t="str">
        <f>IFERROR(INDEX(Расходка[Наименование расходного материала],MATCH(Расходка[№],Поиск_расходки[Индекс3],0)),"")</f>
        <v/>
      </c>
      <c r="U9" s="174" t="str">
        <f>IFERROR(INDEX(Расходка[Наименование расходного материала],MATCH(Расходка[№],Поиск_расходки[Индекс4],0)),"")</f>
        <v/>
      </c>
      <c r="V9" s="174" t="str">
        <f>IFERROR(INDEX(Расходка[Наименование расходного материала],MATCH(Расходка[№],Поиск_расходки[Индекс5],0)),"")</f>
        <v/>
      </c>
      <c r="W9" s="174" t="str">
        <f>IFERROR(INDEX(Расходка[Наименование расходного материала],MATCH(Расходка[№],Поиск_расходки[Индекс6],0)),"")</f>
        <v/>
      </c>
      <c r="X9" s="174" t="str">
        <f>IFERROR(INDEX(Расходка[Наименование расходного материала],MATCH(Расходка[№],Поиск_расходки[Индекс7],0)),"")</f>
        <v>Rinato, Asahi</v>
      </c>
      <c r="Y9" s="174" t="str">
        <f>IFERROR(INDEX(Расходка[Наименование расходного материала],MATCH(Расходка[№],Поиск_расходки[Индекс8],0)),"")</f>
        <v>Rinato, Asahi</v>
      </c>
      <c r="Z9" s="174" t="str">
        <f>IFERROR(INDEX(Расходка[Наименование расходного материала],MATCH(Расходка[№],Поиск_расходки[Индекс9],0)),"")</f>
        <v>Rinato, Asahi</v>
      </c>
      <c r="AA9" s="174" t="str">
        <f>IFERROR(INDEX(Расходка[Наименование расходного материала],MATCH(Расходка[№],Поиск_расходки[Индекс10],0)),"")</f>
        <v>Rinato, Asahi</v>
      </c>
      <c r="AB9" s="174" t="str">
        <f>IFERROR(INDEX(Расходка[Наименование расходного материала],MATCH(Расходка[№],Поиск_расходки[Индекс11],0)),"")</f>
        <v>Rinato, Asahi</v>
      </c>
      <c r="AC9" s="174" t="str">
        <f>IFERROR(INDEX(Расходка[Наименование расходного материала],MATCH(Расходка[№],Поиск_расходки[Индекс12],0)),"")</f>
        <v>Rinato, Asahi</v>
      </c>
      <c r="AD9" s="174" t="str">
        <f>IFERROR(INDEX(Расходка[Наименование расходного материала],MATCH(Расходка[№],Поиск_расходки[Индекс13],0)),"")</f>
        <v>Rinato, Asahi</v>
      </c>
      <c r="AF9" s="4" t="s">
        <v>5</v>
      </c>
      <c r="AG9" s="4" t="s">
        <v>108</v>
      </c>
    </row>
    <row r="10" spans="1:37">
      <c r="A10">
        <v>9</v>
      </c>
      <c r="B10" t="s">
        <v>3</v>
      </c>
      <c r="C10" t="s">
        <v>301</v>
      </c>
      <c r="E10" s="175">
        <f>IF(ISNUMBER(SEARCH('Карта учёта'!$B$12,Расходка[[#This Row],[Наименование расходного материала]])),MAX($E$1:E9)+1,0)</f>
        <v>0</v>
      </c>
      <c r="F10" s="175">
        <f>IF(ISNUMBER(SEARCH('Карта учёта'!$B$13,Расходка[[#This Row],[Наименование расходного материала]])),MAX($F$1:F9)+1,0)</f>
        <v>0</v>
      </c>
      <c r="G10" s="175">
        <f>IF(ISNUMBER(SEARCH('Карта учёта'!$B$14,Расходка[Наименование расходного материала])),MAX($G$1:G9)+1,0)</f>
        <v>0</v>
      </c>
      <c r="H10" s="175">
        <f>IF(ISNUMBER(SEARCH('Карта учёта'!$B$15,Расходка[Наименование расходного материала])),MAX($H$1:H9)+1,0)</f>
        <v>0</v>
      </c>
      <c r="I10" s="175">
        <f>IF(ISNUMBER(SEARCH('Карта учёта'!$B$16,Расходка[Наименование расходного материала])),MAX($I$1:I9)+1,0)</f>
        <v>0</v>
      </c>
      <c r="J10" s="175">
        <f>IF(ISNUMBER(SEARCH('Карта учёта'!$B$17,Расходка[Наименование расходного материала])),MAX($J$1:J9)+1,0)</f>
        <v>0</v>
      </c>
      <c r="K10" s="175">
        <f>IF(ISNUMBER(SEARCH('Карта учёта'!$B$18,Расходка[Наименование расходного материала])),MAX($K$1:K9)+1,0)</f>
        <v>9</v>
      </c>
      <c r="L10" s="175">
        <f>IF(ISNUMBER(SEARCH('Карта учёта'!$B$19,Расходка[Наименование расходного материала])),MAX($L$1:L9)+1,0)</f>
        <v>9</v>
      </c>
      <c r="M10" s="175">
        <f>IF(ISNUMBER(SEARCH('Карта учёта'!$B$20,Расходка[Наименование расходного материала])),MAX($M$1:M9)+1,0)</f>
        <v>9</v>
      </c>
      <c r="N10" s="178">
        <f>IF(ISNUMBER(SEARCH('Карта учёта'!$B$21,Расходка[Наименование расходного материала])),MAX($N$1:N9)+1,0)</f>
        <v>9</v>
      </c>
      <c r="O10" s="175">
        <f>IF(ISNUMBER(SEARCH('Карта учёта'!$B$22,Расходка[Наименование расходного материала])),MAX($O$1:O9)+1,0)</f>
        <v>9</v>
      </c>
      <c r="P10" s="175">
        <f>IF(ISNUMBER(SEARCH('Карта учёта'!$B$23,Расходка[Наименование расходного материала])),MAX($P$1:P9)+1,0)</f>
        <v>9</v>
      </c>
      <c r="Q10" s="175">
        <f>IF(ISNUMBER(SEARCH('Карта учёта'!$B$24,Расходка[Наименование расходного материала])),MAX($Q$1:Q9)+1,0)</f>
        <v>9</v>
      </c>
      <c r="R10" s="174" t="str">
        <f>IFERROR(INDEX(Расходка[Наименование расходного материала],MATCH(Расходка[№],Поиск_расходки[Индекс1],0)),"")</f>
        <v/>
      </c>
      <c r="S10" s="174" t="str">
        <f>IFERROR(INDEX(Расходка[Наименование расходного материала],MATCH(Расходка[№],Поиск_расходки[Индекс2],0)),"")</f>
        <v/>
      </c>
      <c r="T10" s="174" t="str">
        <f>IFERROR(INDEX(Расходка[Наименование расходного материала],MATCH(Расходка[№],Поиск_расходки[Индекс3],0)),"")</f>
        <v/>
      </c>
      <c r="U10" s="174" t="str">
        <f>IFERROR(INDEX(Расходка[Наименование расходного материала],MATCH(Расходка[№],Поиск_расходки[Индекс4],0)),"")</f>
        <v/>
      </c>
      <c r="V10" s="174" t="str">
        <f>IFERROR(INDEX(Расходка[Наименование расходного материала],MATCH(Расходка[№],Поиск_расходки[Индекс5],0)),"")</f>
        <v/>
      </c>
      <c r="W10" s="174" t="str">
        <f>IFERROR(INDEX(Расходка[Наименование расходного материала],MATCH(Расходка[№],Поиск_расходки[Индекс6],0)),"")</f>
        <v/>
      </c>
      <c r="X10" s="174" t="str">
        <f>IFERROR(INDEX(Расходка[Наименование расходного материала],MATCH(Расходка[№],Поиск_расходки[Индекс7],0)),"")</f>
        <v>Thunder, Medtronic</v>
      </c>
      <c r="Y10" s="174" t="str">
        <f>IFERROR(INDEX(Расходка[Наименование расходного материала],MATCH(Расходка[№],Поиск_расходки[Индекс8],0)),"")</f>
        <v>Thunder, Medtronic</v>
      </c>
      <c r="Z10" s="174" t="str">
        <f>IFERROR(INDEX(Расходка[Наименование расходного материала],MATCH(Расходка[№],Поиск_расходки[Индекс9],0)),"")</f>
        <v>Thunder, Medtronic</v>
      </c>
      <c r="AA10" s="174" t="str">
        <f>IFERROR(INDEX(Расходка[Наименование расходного материала],MATCH(Расходка[№],Поиск_расходки[Индекс10],0)),"")</f>
        <v>Thunder, Medtronic</v>
      </c>
      <c r="AB10" s="174" t="str">
        <f>IFERROR(INDEX(Расходка[Наименование расходного материала],MATCH(Расходка[№],Поиск_расходки[Индекс11],0)),"")</f>
        <v>Thunder, Medtronic</v>
      </c>
      <c r="AC10" s="174" t="str">
        <f>IFERROR(INDEX(Расходка[Наименование расходного материала],MATCH(Расходка[№],Поиск_расходки[Индекс12],0)),"")</f>
        <v>Thunder, Medtronic</v>
      </c>
      <c r="AD10" s="174" t="str">
        <f>IFERROR(INDEX(Расходка[Наименование расходного материала],MATCH(Расходка[№],Поиск_расходки[Индекс13],0)),"")</f>
        <v>Thunder, Medtronic</v>
      </c>
      <c r="AF10" s="4" t="s">
        <v>5</v>
      </c>
      <c r="AG10" s="4" t="s">
        <v>109</v>
      </c>
    </row>
    <row r="11" spans="1:37">
      <c r="A11">
        <v>10</v>
      </c>
      <c r="B11" t="s">
        <v>3</v>
      </c>
      <c r="C11" t="s">
        <v>136</v>
      </c>
      <c r="E11" s="175">
        <f>IF(ISNUMBER(SEARCH('Карта учёта'!$B$12,Расходка[[#This Row],[Наименование расходного материала]])),MAX($E$1:E10)+1,0)</f>
        <v>0</v>
      </c>
      <c r="F11" s="175">
        <f>IF(ISNUMBER(SEARCH('Карта учёта'!$B$13,Расходка[[#This Row],[Наименование расходного материала]])),MAX($F$1:F10)+1,0)</f>
        <v>0</v>
      </c>
      <c r="G11" s="175">
        <f>IF(ISNUMBER(SEARCH('Карта учёта'!$B$14,Расходка[Наименование расходного материала])),MAX($G$1:G10)+1,0)</f>
        <v>0</v>
      </c>
      <c r="H11" s="175">
        <f>IF(ISNUMBER(SEARCH('Карта учёта'!$B$15,Расходка[Наименование расходного материала])),MAX($H$1:H10)+1,0)</f>
        <v>0</v>
      </c>
      <c r="I11" s="175">
        <f>IF(ISNUMBER(SEARCH('Карта учёта'!$B$16,Расходка[Наименование расходного материала])),MAX($I$1:I10)+1,0)</f>
        <v>0</v>
      </c>
      <c r="J11" s="175">
        <f>IF(ISNUMBER(SEARCH('Карта учёта'!$B$17,Расходка[Наименование расходного материала])),MAX($J$1:J10)+1,0)</f>
        <v>0</v>
      </c>
      <c r="K11" s="175">
        <f>IF(ISNUMBER(SEARCH('Карта учёта'!$B$18,Расходка[Наименование расходного материала])),MAX($K$1:K10)+1,0)</f>
        <v>10</v>
      </c>
      <c r="L11" s="175">
        <f>IF(ISNUMBER(SEARCH('Карта учёта'!$B$19,Расходка[Наименование расходного материала])),MAX($L$1:L10)+1,0)</f>
        <v>10</v>
      </c>
      <c r="M11" s="175">
        <f>IF(ISNUMBER(SEARCH('Карта учёта'!$B$20,Расходка[Наименование расходного материала])),MAX($M$1:M10)+1,0)</f>
        <v>10</v>
      </c>
      <c r="N11" s="178">
        <f>IF(ISNUMBER(SEARCH('Карта учёта'!$B$21,Расходка[Наименование расходного материала])),MAX($N$1:N10)+1,0)</f>
        <v>10</v>
      </c>
      <c r="O11" s="175">
        <f>IF(ISNUMBER(SEARCH('Карта учёта'!$B$22,Расходка[Наименование расходного материала])),MAX($O$1:O10)+1,0)</f>
        <v>10</v>
      </c>
      <c r="P11" s="175">
        <f>IF(ISNUMBER(SEARCH('Карта учёта'!$B$23,Расходка[Наименование расходного материала])),MAX($P$1:P10)+1,0)</f>
        <v>10</v>
      </c>
      <c r="Q11" s="175">
        <f>IF(ISNUMBER(SEARCH('Карта учёта'!$B$24,Расходка[Наименование расходного материала])),MAX($Q$1:Q10)+1,0)</f>
        <v>10</v>
      </c>
      <c r="R11" s="174" t="str">
        <f>IFERROR(INDEX(Расходка[Наименование расходного материала],MATCH(Расходка[№],Поиск_расходки[Индекс1],0)),"")</f>
        <v/>
      </c>
      <c r="S11" s="174" t="str">
        <f>IFERROR(INDEX(Расходка[Наименование расходного материала],MATCH(Расходка[№],Поиск_расходки[Индекс2],0)),"")</f>
        <v/>
      </c>
      <c r="T11" s="174" t="str">
        <f>IFERROR(INDEX(Расходка[Наименование расходного материала],MATCH(Расходка[№],Поиск_расходки[Индекс3],0)),"")</f>
        <v/>
      </c>
      <c r="U11" s="174" t="str">
        <f>IFERROR(INDEX(Расходка[Наименование расходного материала],MATCH(Расходка[№],Поиск_расходки[Индекс4],0)),"")</f>
        <v/>
      </c>
      <c r="V11" s="174" t="str">
        <f>IFERROR(INDEX(Расходка[Наименование расходного материала],MATCH(Расходка[№],Поиск_расходки[Индекс5],0)),"")</f>
        <v/>
      </c>
      <c r="W11" s="174" t="str">
        <f>IFERROR(INDEX(Расходка[Наименование расходного материала],MATCH(Расходка[№],Поиск_расходки[Индекс6],0)),"")</f>
        <v/>
      </c>
      <c r="X11" s="174" t="str">
        <f>IFERROR(INDEX(Расходка[Наименование расходного материала],MATCH(Расходка[№],Поиск_расходки[Индекс7],0)),"")</f>
        <v>ProVia 3 Hydro-Track®, Medtronic</v>
      </c>
      <c r="Y11" s="174" t="str">
        <f>IFERROR(INDEX(Расходка[Наименование расходного материала],MATCH(Расходка[№],Поиск_расходки[Индекс8],0)),"")</f>
        <v>ProVia 3 Hydro-Track®, Medtronic</v>
      </c>
      <c r="Z11" s="174" t="str">
        <f>IFERROR(INDEX(Расходка[Наименование расходного материала],MATCH(Расходка[№],Поиск_расходки[Индекс9],0)),"")</f>
        <v>ProVia 3 Hydro-Track®, Medtronic</v>
      </c>
      <c r="AA11" s="174" t="str">
        <f>IFERROR(INDEX(Расходка[Наименование расходного материала],MATCH(Расходка[№],Поиск_расходки[Индекс10],0)),"")</f>
        <v>ProVia 3 Hydro-Track®, Medtronic</v>
      </c>
      <c r="AB11" s="174" t="str">
        <f>IFERROR(INDEX(Расходка[Наименование расходного материала],MATCH(Расходка[№],Поиск_расходки[Индекс11],0)),"")</f>
        <v>ProVia 3 Hydro-Track®, Medtronic</v>
      </c>
      <c r="AC11" s="174" t="str">
        <f>IFERROR(INDEX(Расходка[Наименование расходного материала],MATCH(Расходка[№],Поиск_расходки[Индекс12],0)),"")</f>
        <v>ProVia 3 Hydro-Track®, Medtronic</v>
      </c>
      <c r="AD11" s="174" t="str">
        <f>IFERROR(INDEX(Расходка[Наименование расходного материала],MATCH(Расходка[№],Поиск_расходки[Индекс13],0)),"")</f>
        <v>ProVia 3 Hydro-Track®, Medtronic</v>
      </c>
      <c r="AF11" s="4" t="s">
        <v>5</v>
      </c>
      <c r="AG11" s="4" t="s">
        <v>113</v>
      </c>
    </row>
    <row r="12" spans="1:37">
      <c r="A12">
        <v>11</v>
      </c>
      <c r="B12" t="s">
        <v>3</v>
      </c>
      <c r="C12" t="s">
        <v>368</v>
      </c>
      <c r="E12" s="175">
        <f>IF(ISNUMBER(SEARCH('Карта учёта'!$B$12,Расходка[[#This Row],[Наименование расходного материала]])),MAX($E$1:E11)+1,0)</f>
        <v>0</v>
      </c>
      <c r="F12" s="175">
        <f>IF(ISNUMBER(SEARCH('Карта учёта'!$B$13,Расходка[[#This Row],[Наименование расходного материала]])),MAX($F$1:F11)+1,0)</f>
        <v>0</v>
      </c>
      <c r="G12" s="175">
        <f>IF(ISNUMBER(SEARCH('Карта учёта'!$B$14,Расходка[Наименование расходного материала])),MAX($G$1:G11)+1,0)</f>
        <v>0</v>
      </c>
      <c r="H12" s="175">
        <f>IF(ISNUMBER(SEARCH('Карта учёта'!$B$15,Расходка[Наименование расходного материала])),MAX($H$1:H11)+1,0)</f>
        <v>0</v>
      </c>
      <c r="I12" s="175">
        <f>IF(ISNUMBER(SEARCH('Карта учёта'!$B$16,Расходка[Наименование расходного материала])),MAX($I$1:I11)+1,0)</f>
        <v>0</v>
      </c>
      <c r="J12" s="175">
        <f>IF(ISNUMBER(SEARCH('Карта учёта'!$B$17,Расходка[Наименование расходного материала])),MAX($J$1:J11)+1,0)</f>
        <v>0</v>
      </c>
      <c r="K12" s="175">
        <f>IF(ISNUMBER(SEARCH('Карта учёта'!$B$18,Расходка[Наименование расходного материала])),MAX($K$1:K11)+1,0)</f>
        <v>11</v>
      </c>
      <c r="L12" s="175">
        <f>IF(ISNUMBER(SEARCH('Карта учёта'!$B$19,Расходка[Наименование расходного материала])),MAX($L$1:L11)+1,0)</f>
        <v>11</v>
      </c>
      <c r="M12" s="175">
        <f>IF(ISNUMBER(SEARCH('Карта учёта'!$B$20,Расходка[Наименование расходного материала])),MAX($M$1:M11)+1,0)</f>
        <v>11</v>
      </c>
      <c r="N12" s="178">
        <f>IF(ISNUMBER(SEARCH('Карта учёта'!$B$21,Расходка[Наименование расходного материала])),MAX($N$1:N11)+1,0)</f>
        <v>11</v>
      </c>
      <c r="O12" s="175">
        <f>IF(ISNUMBER(SEARCH('Карта учёта'!$B$22,Расходка[Наименование расходного материала])),MAX($O$1:O11)+1,0)</f>
        <v>11</v>
      </c>
      <c r="P12" s="175">
        <f>IF(ISNUMBER(SEARCH('Карта учёта'!$B$23,Расходка[Наименование расходного материала])),MAX($P$1:P11)+1,0)</f>
        <v>11</v>
      </c>
      <c r="Q12" s="175">
        <f>IF(ISNUMBER(SEARCH('Карта учёта'!$B$24,Расходка[Наименование расходного материала])),MAX($Q$1:Q11)+1,0)</f>
        <v>11</v>
      </c>
      <c r="R12" s="174" t="str">
        <f>IFERROR(INDEX(Расходка[Наименование расходного материала],MATCH(Расходка[№],Поиск_расходки[Индекс1],0)),"")</f>
        <v/>
      </c>
      <c r="S12" s="174" t="str">
        <f>IFERROR(INDEX(Расходка[Наименование расходного материала],MATCH(Расходка[№],Поиск_расходки[Индекс2],0)),"")</f>
        <v/>
      </c>
      <c r="T12" s="174" t="str">
        <f>IFERROR(INDEX(Расходка[Наименование расходного материала],MATCH(Расходка[№],Поиск_расходки[Индекс3],0)),"")</f>
        <v/>
      </c>
      <c r="U12" s="174" t="str">
        <f>IFERROR(INDEX(Расходка[Наименование расходного материала],MATCH(Расходка[№],Поиск_расходки[Индекс4],0)),"")</f>
        <v/>
      </c>
      <c r="V12" s="174" t="str">
        <f>IFERROR(INDEX(Расходка[Наименование расходного материала],MATCH(Расходка[№],Поиск_расходки[Индекс5],0)),"")</f>
        <v/>
      </c>
      <c r="W12" s="174" t="str">
        <f>IFERROR(INDEX(Расходка[Наименование расходного материала],MATCH(Расходка[№],Поиск_расходки[Индекс6],0)),"")</f>
        <v/>
      </c>
      <c r="X12" s="174" t="str">
        <f>IFERROR(INDEX(Расходка[Наименование расходного материала],MATCH(Расходка[№],Поиск_расходки[Индекс7],0)),"")</f>
        <v>ProVia 6 Hydro-Track®, Medtronic</v>
      </c>
      <c r="Y12" s="174" t="str">
        <f>IFERROR(INDEX(Расходка[Наименование расходного материала],MATCH(Расходка[№],Поиск_расходки[Индекс8],0)),"")</f>
        <v>ProVia 6 Hydro-Track®, Medtronic</v>
      </c>
      <c r="Z12" s="174" t="str">
        <f>IFERROR(INDEX(Расходка[Наименование расходного материала],MATCH(Расходка[№],Поиск_расходки[Индекс9],0)),"")</f>
        <v>ProVia 6 Hydro-Track®, Medtronic</v>
      </c>
      <c r="AA12" s="174" t="str">
        <f>IFERROR(INDEX(Расходка[Наименование расходного материала],MATCH(Расходка[№],Поиск_расходки[Индекс10],0)),"")</f>
        <v>ProVia 6 Hydro-Track®, Medtronic</v>
      </c>
      <c r="AB12" s="174" t="str">
        <f>IFERROR(INDEX(Расходка[Наименование расходного материала],MATCH(Расходка[№],Поиск_расходки[Индекс11],0)),"")</f>
        <v>ProVia 6 Hydro-Track®, Medtronic</v>
      </c>
      <c r="AC12" s="174" t="str">
        <f>IFERROR(INDEX(Расходка[Наименование расходного материала],MATCH(Расходка[№],Поиск_расходки[Индекс12],0)),"")</f>
        <v>ProVia 6 Hydro-Track®, Medtronic</v>
      </c>
      <c r="AD12" s="174" t="str">
        <f>IFERROR(INDEX(Расходка[Наименование расходного материала],MATCH(Расходка[№],Поиск_расходки[Индекс13],0)),"")</f>
        <v>ProVia 6 Hydro-Track®, Medtronic</v>
      </c>
      <c r="AF12" s="4" t="s">
        <v>5</v>
      </c>
      <c r="AG12" s="4" t="s">
        <v>114</v>
      </c>
    </row>
    <row r="13" spans="1:37">
      <c r="A13">
        <v>12</v>
      </c>
      <c r="B13" t="s">
        <v>3</v>
      </c>
      <c r="C13" t="s">
        <v>135</v>
      </c>
      <c r="D13" s="1"/>
      <c r="E13" s="175">
        <f>IF(ISNUMBER(SEARCH('Карта учёта'!$B$12,Расходка[[#This Row],[Наименование расходного материала]])),MAX($E$1:E12)+1,0)</f>
        <v>0</v>
      </c>
      <c r="F13" s="175">
        <f>IF(ISNUMBER(SEARCH('Карта учёта'!$B$13,Расходка[[#This Row],[Наименование расходного материала]])),MAX($F$1:F12)+1,0)</f>
        <v>0</v>
      </c>
      <c r="G13" s="175">
        <f>IF(ISNUMBER(SEARCH('Карта учёта'!$B$14,Расходка[Наименование расходного материала])),MAX($G$1:G12)+1,0)</f>
        <v>0</v>
      </c>
      <c r="H13" s="175">
        <f>IF(ISNUMBER(SEARCH('Карта учёта'!$B$15,Расходка[Наименование расходного материала])),MAX($H$1:H12)+1,0)</f>
        <v>0</v>
      </c>
      <c r="I13" s="175">
        <f>IF(ISNUMBER(SEARCH('Карта учёта'!$B$16,Расходка[Наименование расходного материала])),MAX($I$1:I12)+1,0)</f>
        <v>0</v>
      </c>
      <c r="J13" s="175">
        <f>IF(ISNUMBER(SEARCH('Карта учёта'!$B$17,Расходка[Наименование расходного материала])),MAX($J$1:J12)+1,0)</f>
        <v>0</v>
      </c>
      <c r="K13" s="175">
        <f>IF(ISNUMBER(SEARCH('Карта учёта'!$B$18,Расходка[Наименование расходного материала])),MAX($K$1:K12)+1,0)</f>
        <v>12</v>
      </c>
      <c r="L13" s="175">
        <f>IF(ISNUMBER(SEARCH('Карта учёта'!$B$19,Расходка[Наименование расходного материала])),MAX($L$1:L12)+1,0)</f>
        <v>12</v>
      </c>
      <c r="M13" s="175">
        <f>IF(ISNUMBER(SEARCH('Карта учёта'!$B$20,Расходка[Наименование расходного материала])),MAX($M$1:M12)+1,0)</f>
        <v>12</v>
      </c>
      <c r="N13" s="178">
        <f>IF(ISNUMBER(SEARCH('Карта учёта'!$B$21,Расходка[Наименование расходного материала])),MAX($N$1:N12)+1,0)</f>
        <v>12</v>
      </c>
      <c r="O13" s="175">
        <f>IF(ISNUMBER(SEARCH('Карта учёта'!$B$22,Расходка[Наименование расходного материала])),MAX($O$1:O12)+1,0)</f>
        <v>12</v>
      </c>
      <c r="P13" s="175">
        <f>IF(ISNUMBER(SEARCH('Карта учёта'!$B$23,Расходка[Наименование расходного материала])),MAX($P$1:P12)+1,0)</f>
        <v>12</v>
      </c>
      <c r="Q13" s="175">
        <f>IF(ISNUMBER(SEARCH('Карта учёта'!$B$24,Расходка[Наименование расходного материала])),MAX($Q$1:Q12)+1,0)</f>
        <v>12</v>
      </c>
      <c r="R13" s="174" t="str">
        <f>IFERROR(INDEX(Расходка[Наименование расходного материала],MATCH(Расходка[№],Поиск_расходки[Индекс1],0)),"")</f>
        <v/>
      </c>
      <c r="S13" s="174" t="str">
        <f>IFERROR(INDEX(Расходка[Наименование расходного материала],MATCH(Расходка[№],Поиск_расходки[Индекс2],0)),"")</f>
        <v/>
      </c>
      <c r="T13" s="174" t="str">
        <f>IFERROR(INDEX(Расходка[Наименование расходного материала],MATCH(Расходка[№],Поиск_расходки[Индекс3],0)),"")</f>
        <v/>
      </c>
      <c r="U13" s="174" t="str">
        <f>IFERROR(INDEX(Расходка[Наименование расходного материала],MATCH(Расходка[№],Поиск_расходки[Индекс4],0)),"")</f>
        <v/>
      </c>
      <c r="V13" s="174" t="str">
        <f>IFERROR(INDEX(Расходка[Наименование расходного материала],MATCH(Расходка[№],Поиск_расходки[Индекс5],0)),"")</f>
        <v/>
      </c>
      <c r="W13" s="174" t="str">
        <f>IFERROR(INDEX(Расходка[Наименование расходного материала],MATCH(Расходка[№],Поиск_расходки[Индекс6],0)),"")</f>
        <v/>
      </c>
      <c r="X13" s="174" t="str">
        <f>IFERROR(INDEX(Расходка[Наименование расходного материала],MATCH(Расходка[№],Поиск_расходки[Индекс7],0)),"")</f>
        <v>ProVia 9 Hydro-Track®, Medtronic</v>
      </c>
      <c r="Y13" s="174" t="str">
        <f>IFERROR(INDEX(Расходка[Наименование расходного материала],MATCH(Расходка[№],Поиск_расходки[Индекс8],0)),"")</f>
        <v>ProVia 9 Hydro-Track®, Medtronic</v>
      </c>
      <c r="Z13" s="174" t="str">
        <f>IFERROR(INDEX(Расходка[Наименование расходного материала],MATCH(Расходка[№],Поиск_расходки[Индекс9],0)),"")</f>
        <v>ProVia 9 Hydro-Track®, Medtronic</v>
      </c>
      <c r="AA13" s="174" t="str">
        <f>IFERROR(INDEX(Расходка[Наименование расходного материала],MATCH(Расходка[№],Поиск_расходки[Индекс10],0)),"")</f>
        <v>ProVia 9 Hydro-Track®, Medtronic</v>
      </c>
      <c r="AB13" s="174" t="str">
        <f>IFERROR(INDEX(Расходка[Наименование расходного материала],MATCH(Расходка[№],Поиск_расходки[Индекс11],0)),"")</f>
        <v>ProVia 9 Hydro-Track®, Medtronic</v>
      </c>
      <c r="AC13" s="174" t="str">
        <f>IFERROR(INDEX(Расходка[Наименование расходного материала],MATCH(Расходка[№],Поиск_расходки[Индекс12],0)),"")</f>
        <v>ProVia 9 Hydro-Track®, Medtronic</v>
      </c>
      <c r="AD13" s="174" t="str">
        <f>IFERROR(INDEX(Расходка[Наименование расходного материала],MATCH(Расходка[№],Поиск_расходки[Индекс13],0)),"")</f>
        <v>ProVia 9 Hydro-Track®, Medtronic</v>
      </c>
      <c r="AF13" s="4" t="s">
        <v>5</v>
      </c>
      <c r="AG13" s="4" t="s">
        <v>111</v>
      </c>
    </row>
    <row r="14" spans="1:37">
      <c r="A14">
        <v>13</v>
      </c>
      <c r="B14" t="s">
        <v>3</v>
      </c>
      <c r="C14" t="s">
        <v>137</v>
      </c>
      <c r="E14" s="175">
        <f>IF(ISNUMBER(SEARCH('Карта учёта'!$B$12,Расходка[[#This Row],[Наименование расходного материала]])),MAX($E$1:E13)+1,0)</f>
        <v>0</v>
      </c>
      <c r="F14" s="175">
        <f>IF(ISNUMBER(SEARCH('Карта учёта'!$B$13,Расходка[[#This Row],[Наименование расходного материала]])),MAX($F$1:F13)+1,0)</f>
        <v>0</v>
      </c>
      <c r="G14" s="175">
        <f>IF(ISNUMBER(SEARCH('Карта учёта'!$B$14,Расходка[Наименование расходного материала])),MAX($G$1:G13)+1,0)</f>
        <v>0</v>
      </c>
      <c r="H14" s="175">
        <f>IF(ISNUMBER(SEARCH('Карта учёта'!$B$15,Расходка[Наименование расходного материала])),MAX($H$1:H13)+1,0)</f>
        <v>0</v>
      </c>
      <c r="I14" s="175">
        <f>IF(ISNUMBER(SEARCH('Карта учёта'!$B$16,Расходка[Наименование расходного материала])),MAX($I$1:I13)+1,0)</f>
        <v>0</v>
      </c>
      <c r="J14" s="175">
        <f>IF(ISNUMBER(SEARCH('Карта учёта'!$B$17,Расходка[Наименование расходного материала])),MAX($J$1:J13)+1,0)</f>
        <v>0</v>
      </c>
      <c r="K14" s="175">
        <f>IF(ISNUMBER(SEARCH('Карта учёта'!$B$18,Расходка[Наименование расходного материала])),MAX($K$1:K13)+1,0)</f>
        <v>13</v>
      </c>
      <c r="L14" s="175">
        <f>IF(ISNUMBER(SEARCH('Карта учёта'!$B$19,Расходка[Наименование расходного материала])),MAX($L$1:L13)+1,0)</f>
        <v>13</v>
      </c>
      <c r="M14" s="175">
        <f>IF(ISNUMBER(SEARCH('Карта учёта'!$B$20,Расходка[Наименование расходного материала])),MAX($M$1:M13)+1,0)</f>
        <v>13</v>
      </c>
      <c r="N14" s="178">
        <f>IF(ISNUMBER(SEARCH('Карта учёта'!$B$21,Расходка[Наименование расходного материала])),MAX($N$1:N13)+1,0)</f>
        <v>13</v>
      </c>
      <c r="O14" s="175">
        <f>IF(ISNUMBER(SEARCH('Карта учёта'!$B$22,Расходка[Наименование расходного материала])),MAX($O$1:O13)+1,0)</f>
        <v>13</v>
      </c>
      <c r="P14" s="175">
        <f>IF(ISNUMBER(SEARCH('Карта учёта'!$B$23,Расходка[Наименование расходного материала])),MAX($P$1:P13)+1,0)</f>
        <v>13</v>
      </c>
      <c r="Q14" s="175">
        <f>IF(ISNUMBER(SEARCH('Карта учёта'!$B$24,Расходка[Наименование расходного материала])),MAX($Q$1:Q13)+1,0)</f>
        <v>13</v>
      </c>
      <c r="R14" s="174" t="str">
        <f>IFERROR(INDEX(Расходка[Наименование расходного материала],MATCH(Расходка[№],Поиск_расходки[Индекс1],0)),"")</f>
        <v/>
      </c>
      <c r="S14" s="174" t="str">
        <f>IFERROR(INDEX(Расходка[Наименование расходного материала],MATCH(Расходка[№],Поиск_расходки[Индекс2],0)),"")</f>
        <v/>
      </c>
      <c r="T14" s="174" t="str">
        <f>IFERROR(INDEX(Расходка[Наименование расходного материала],MATCH(Расходка[№],Поиск_расходки[Индекс3],0)),"")</f>
        <v/>
      </c>
      <c r="U14" s="174" t="str">
        <f>IFERROR(INDEX(Расходка[Наименование расходного материала],MATCH(Расходка[№],Поиск_расходки[Индекс4],0)),"")</f>
        <v/>
      </c>
      <c r="V14" s="174" t="str">
        <f>IFERROR(INDEX(Расходка[Наименование расходного материала],MATCH(Расходка[№],Поиск_расходки[Индекс5],0)),"")</f>
        <v/>
      </c>
      <c r="W14" s="174" t="str">
        <f>IFERROR(INDEX(Расходка[Наименование расходного материала],MATCH(Расходка[№],Поиск_расходки[Индекс6],0)),"")</f>
        <v/>
      </c>
      <c r="X14" s="17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4" s="17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4" s="17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4" s="17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4" s="17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4" s="17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4" s="17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4" s="4" t="s">
        <v>5</v>
      </c>
      <c r="AG14" s="4" t="s">
        <v>112</v>
      </c>
    </row>
    <row r="15" spans="1:37">
      <c r="A15">
        <v>14</v>
      </c>
      <c r="B15" t="s">
        <v>3</v>
      </c>
      <c r="C15" t="s">
        <v>375</v>
      </c>
      <c r="E15" s="175">
        <f>IF(ISNUMBER(SEARCH('Карта учёта'!$B$12,Расходка[[#This Row],[Наименование расходного материала]])),MAX($E$1:E14)+1,0)</f>
        <v>0</v>
      </c>
      <c r="F15" s="175">
        <f>IF(ISNUMBER(SEARCH('Карта учёта'!$B$13,Расходка[[#This Row],[Наименование расходного материала]])),MAX($F$1:F14)+1,0)</f>
        <v>0</v>
      </c>
      <c r="G15" s="175">
        <f>IF(ISNUMBER(SEARCH('Карта учёта'!$B$14,Расходка[Наименование расходного материала])),MAX($G$1:G14)+1,0)</f>
        <v>0</v>
      </c>
      <c r="H15" s="175">
        <f>IF(ISNUMBER(SEARCH('Карта учёта'!$B$15,Расходка[Наименование расходного материала])),MAX($H$1:H14)+1,0)</f>
        <v>0</v>
      </c>
      <c r="I15" s="175">
        <f>IF(ISNUMBER(SEARCH('Карта учёта'!$B$16,Расходка[Наименование расходного материала])),MAX($I$1:I14)+1,0)</f>
        <v>0</v>
      </c>
      <c r="J15" s="175">
        <f>IF(ISNUMBER(SEARCH('Карта учёта'!$B$17,Расходка[Наименование расходного материала])),MAX($J$1:J14)+1,0)</f>
        <v>0</v>
      </c>
      <c r="K15" s="175">
        <f>IF(ISNUMBER(SEARCH('Карта учёта'!$B$18,Расходка[Наименование расходного материала])),MAX($K$1:K14)+1,0)</f>
        <v>14</v>
      </c>
      <c r="L15" s="175">
        <f>IF(ISNUMBER(SEARCH('Карта учёта'!$B$19,Расходка[Наименование расходного материала])),MAX($L$1:L14)+1,0)</f>
        <v>14</v>
      </c>
      <c r="M15" s="175">
        <f>IF(ISNUMBER(SEARCH('Карта учёта'!$B$20,Расходка[Наименование расходного материала])),MAX($M$1:M14)+1,0)</f>
        <v>14</v>
      </c>
      <c r="N15" s="178">
        <f>IF(ISNUMBER(SEARCH('Карта учёта'!$B$21,Расходка[Наименование расходного материала])),MAX($N$1:N14)+1,0)</f>
        <v>14</v>
      </c>
      <c r="O15" s="175">
        <f>IF(ISNUMBER(SEARCH('Карта учёта'!$B$22,Расходка[Наименование расходного материала])),MAX($O$1:O14)+1,0)</f>
        <v>14</v>
      </c>
      <c r="P15" s="175">
        <f>IF(ISNUMBER(SEARCH('Карта учёта'!$B$23,Расходка[Наименование расходного материала])),MAX($P$1:P14)+1,0)</f>
        <v>14</v>
      </c>
      <c r="Q15" s="175">
        <f>IF(ISNUMBER(SEARCH('Карта учёта'!$B$24,Расходка[Наименование расходного материала])),MAX($Q$1:Q14)+1,0)</f>
        <v>14</v>
      </c>
      <c r="R15" s="174" t="str">
        <f>IFERROR(INDEX(Расходка[Наименование расходного материала],MATCH(Расходка[№],Поиск_расходки[Индекс1],0)),"")</f>
        <v/>
      </c>
      <c r="S15" s="174" t="str">
        <f>IFERROR(INDEX(Расходка[Наименование расходного материала],MATCH(Расходка[№],Поиск_расходки[Индекс2],0)),"")</f>
        <v/>
      </c>
      <c r="T15" s="174" t="str">
        <f>IFERROR(INDEX(Расходка[Наименование расходного материала],MATCH(Расходка[№],Поиск_расходки[Индекс3],0)),"")</f>
        <v/>
      </c>
      <c r="U15" s="174" t="str">
        <f>IFERROR(INDEX(Расходка[Наименование расходного материала],MATCH(Расходка[№],Поиск_расходки[Индекс4],0)),"")</f>
        <v/>
      </c>
      <c r="V15" s="174" t="str">
        <f>IFERROR(INDEX(Расходка[Наименование расходного материала],MATCH(Расходка[№],Поиск_расходки[Индекс5],0)),"")</f>
        <v/>
      </c>
      <c r="W15" s="174" t="str">
        <f>IFERROR(INDEX(Расходка[Наименование расходного материала],MATCH(Расходка[№],Поиск_расходки[Индекс6],0)),"")</f>
        <v/>
      </c>
      <c r="X15" s="174" t="str">
        <f>IFERROR(INDEX(Расходка[Наименование расходного материала],MATCH(Расходка[№],Поиск_расходки[Индекс7],0)),"")</f>
        <v>Cougar LS Hydro-Track®, Medtronic</v>
      </c>
      <c r="Y15" s="174" t="str">
        <f>IFERROR(INDEX(Расходка[Наименование расходного материала],MATCH(Расходка[№],Поиск_расходки[Индекс8],0)),"")</f>
        <v>Cougar LS Hydro-Track®, Medtronic</v>
      </c>
      <c r="Z15" s="174" t="str">
        <f>IFERROR(INDEX(Расходка[Наименование расходного материала],MATCH(Расходка[№],Поиск_расходки[Индекс9],0)),"")</f>
        <v>Cougar LS Hydro-Track®, Medtronic</v>
      </c>
      <c r="AA15" s="174" t="str">
        <f>IFERROR(INDEX(Расходка[Наименование расходного материала],MATCH(Расходка[№],Поиск_расходки[Индекс10],0)),"")</f>
        <v>Cougar LS Hydro-Track®, Medtronic</v>
      </c>
      <c r="AB15" s="174" t="str">
        <f>IFERROR(INDEX(Расходка[Наименование расходного материала],MATCH(Расходка[№],Поиск_расходки[Индекс11],0)),"")</f>
        <v>Cougar LS Hydro-Track®, Medtronic</v>
      </c>
      <c r="AC15" s="174" t="str">
        <f>IFERROR(INDEX(Расходка[Наименование расходного материала],MATCH(Расходка[№],Поиск_расходки[Индекс12],0)),"")</f>
        <v>Cougar LS Hydro-Track®, Medtronic</v>
      </c>
      <c r="AD15" s="174" t="str">
        <f>IFERROR(INDEX(Расходка[Наименование расходного материала],MATCH(Расходка[№],Поиск_расходки[Индекс13],0)),"")</f>
        <v>Cougar LS Hydro-Track®, Medtronic</v>
      </c>
      <c r="AF15" s="4" t="s">
        <v>5</v>
      </c>
      <c r="AG15" s="4" t="s">
        <v>118</v>
      </c>
    </row>
    <row r="16" spans="1:37">
      <c r="A16">
        <v>15</v>
      </c>
      <c r="B16" t="s">
        <v>3</v>
      </c>
      <c r="C16" s="1" t="s">
        <v>378</v>
      </c>
      <c r="E16" s="175">
        <f>IF(ISNUMBER(SEARCH('Карта учёта'!$B$12,Расходка[[#This Row],[Наименование расходного материала]])),MAX($E$1:E15)+1,0)</f>
        <v>0</v>
      </c>
      <c r="F16" s="175">
        <f>IF(ISNUMBER(SEARCH('Карта учёта'!$B$13,Расходка[[#This Row],[Наименование расходного материала]])),MAX($F$1:F15)+1,0)</f>
        <v>0</v>
      </c>
      <c r="G16" s="175">
        <f>IF(ISNUMBER(SEARCH('Карта учёта'!$B$14,Расходка[Наименование расходного материала])),MAX($G$1:G15)+1,0)</f>
        <v>0</v>
      </c>
      <c r="H16" s="175">
        <f>IF(ISNUMBER(SEARCH('Карта учёта'!$B$15,Расходка[Наименование расходного материала])),MAX($H$1:H15)+1,0)</f>
        <v>0</v>
      </c>
      <c r="I16" s="175">
        <f>IF(ISNUMBER(SEARCH('Карта учёта'!$B$16,Расходка[Наименование расходного материала])),MAX($I$1:I15)+1,0)</f>
        <v>0</v>
      </c>
      <c r="J16" s="175">
        <f>IF(ISNUMBER(SEARCH('Карта учёта'!$B$17,Расходка[Наименование расходного материала])),MAX($J$1:J15)+1,0)</f>
        <v>0</v>
      </c>
      <c r="K16" s="175">
        <f>IF(ISNUMBER(SEARCH('Карта учёта'!$B$18,Расходка[Наименование расходного материала])),MAX($K$1:K15)+1,0)</f>
        <v>15</v>
      </c>
      <c r="L16" s="175">
        <f>IF(ISNUMBER(SEARCH('Карта учёта'!$B$19,Расходка[Наименование расходного материала])),MAX($L$1:L15)+1,0)</f>
        <v>15</v>
      </c>
      <c r="M16" s="175">
        <f>IF(ISNUMBER(SEARCH('Карта учёта'!$B$20,Расходка[Наименование расходного материала])),MAX($M$1:M15)+1,0)</f>
        <v>15</v>
      </c>
      <c r="N16" s="178">
        <f>IF(ISNUMBER(SEARCH('Карта учёта'!$B$21,Расходка[Наименование расходного материала])),MAX($N$1:N15)+1,0)</f>
        <v>15</v>
      </c>
      <c r="O16" s="175">
        <f>IF(ISNUMBER(SEARCH('Карта учёта'!$B$22,Расходка[Наименование расходного материала])),MAX($O$1:O15)+1,0)</f>
        <v>15</v>
      </c>
      <c r="P16" s="175">
        <f>IF(ISNUMBER(SEARCH('Карта учёта'!$B$23,Расходка[Наименование расходного материала])),MAX($P$1:P15)+1,0)</f>
        <v>15</v>
      </c>
      <c r="Q16" s="175">
        <f>IF(ISNUMBER(SEARCH('Карта учёта'!$B$24,Расходка[Наименование расходного материала])),MAX($Q$1:Q15)+1,0)</f>
        <v>15</v>
      </c>
      <c r="R16" s="174" t="str">
        <f>IFERROR(INDEX(Расходка[Наименование расходного материала],MATCH(Расходка[№],Поиск_расходки[Индекс1],0)),"")</f>
        <v/>
      </c>
      <c r="S16" s="174" t="str">
        <f>IFERROR(INDEX(Расходка[Наименование расходного материала],MATCH(Расходка[№],Поиск_расходки[Индекс2],0)),"")</f>
        <v/>
      </c>
      <c r="T16" s="174" t="str">
        <f>IFERROR(INDEX(Расходка[Наименование расходного материала],MATCH(Расходка[№],Поиск_расходки[Индекс3],0)),"")</f>
        <v/>
      </c>
      <c r="U16" s="174" t="str">
        <f>IFERROR(INDEX(Расходка[Наименование расходного материала],MATCH(Расходка[№],Поиск_расходки[Индекс4],0)),"")</f>
        <v/>
      </c>
      <c r="V16" s="174" t="str">
        <f>IFERROR(INDEX(Расходка[Наименование расходного материала],MATCH(Расходка[№],Поиск_расходки[Индекс5],0)),"")</f>
        <v/>
      </c>
      <c r="W16" s="174" t="str">
        <f>IFERROR(INDEX(Расходка[Наименование расходного материала],MATCH(Расходка[№],Поиск_расходки[Индекс6],0)),"")</f>
        <v/>
      </c>
      <c r="X16" s="174" t="str">
        <f>IFERROR(INDEX(Расходка[Наименование расходного материала],MATCH(Расходка[№],Поиск_расходки[Индекс7],0)),"")</f>
        <v>Intuition</v>
      </c>
      <c r="Y16" s="174" t="str">
        <f>IFERROR(INDEX(Расходка[Наименование расходного материала],MATCH(Расходка[№],Поиск_расходки[Индекс8],0)),"")</f>
        <v>Intuition</v>
      </c>
      <c r="Z16" s="174" t="str">
        <f>IFERROR(INDEX(Расходка[Наименование расходного материала],MATCH(Расходка[№],Поиск_расходки[Индекс9],0)),"")</f>
        <v>Intuition</v>
      </c>
      <c r="AA16" s="174" t="str">
        <f>IFERROR(INDEX(Расходка[Наименование расходного материала],MATCH(Расходка[№],Поиск_расходки[Индекс10],0)),"")</f>
        <v>Intuition</v>
      </c>
      <c r="AB16" s="174" t="str">
        <f>IFERROR(INDEX(Расходка[Наименование расходного материала],MATCH(Расходка[№],Поиск_расходки[Индекс11],0)),"")</f>
        <v>Intuition</v>
      </c>
      <c r="AC16" s="174" t="str">
        <f>IFERROR(INDEX(Расходка[Наименование расходного материала],MATCH(Расходка[№],Поиск_расходки[Индекс12],0)),"")</f>
        <v>Intuition</v>
      </c>
      <c r="AD16" s="174" t="str">
        <f>IFERROR(INDEX(Расходка[Наименование расходного материала],MATCH(Расходка[№],Поиск_расходки[Индекс13],0)),"")</f>
        <v>Intuition</v>
      </c>
      <c r="AF16" s="4" t="s">
        <v>5</v>
      </c>
      <c r="AG16" s="4" t="s">
        <v>119</v>
      </c>
    </row>
    <row r="17" spans="1:33">
      <c r="A17">
        <v>16</v>
      </c>
      <c r="B17" t="s">
        <v>6</v>
      </c>
      <c r="C17" s="172" t="s">
        <v>379</v>
      </c>
      <c r="E17" s="175">
        <f>IF(ISNUMBER(SEARCH('Карта учёта'!$B$12,Расходка[[#This Row],[Наименование расходного материала]])),MAX($E$1:E16)+1,0)</f>
        <v>1</v>
      </c>
      <c r="F17" s="175">
        <f>IF(ISNUMBER(SEARCH('Карта учёта'!$B$13,Расходка[[#This Row],[Наименование расходного материала]])),MAX($F$1:F16)+1,0)</f>
        <v>1</v>
      </c>
      <c r="G17" s="175">
        <f>IF(ISNUMBER(SEARCH('Карта учёта'!$B$14,Расходка[Наименование расходного материала])),MAX($G$1:G16)+1,0)</f>
        <v>1</v>
      </c>
      <c r="H17" s="175">
        <f>IF(ISNUMBER(SEARCH('Карта учёта'!$B$15,Расходка[Наименование расходного материала])),MAX($H$1:H16)+1,0)</f>
        <v>0</v>
      </c>
      <c r="I17" s="175">
        <f>IF(ISNUMBER(SEARCH('Карта учёта'!$B$16,Расходка[Наименование расходного материала])),MAX($I$1:I16)+1,0)</f>
        <v>0</v>
      </c>
      <c r="J17" s="175">
        <f>IF(ISNUMBER(SEARCH('Карта учёта'!$B$17,Расходка[Наименование расходного материала])),MAX($J$1:J16)+1,0)</f>
        <v>0</v>
      </c>
      <c r="K17" s="175">
        <f>IF(ISNUMBER(SEARCH('Карта учёта'!$B$18,Расходка[Наименование расходного материала])),MAX($K$1:K16)+1,0)</f>
        <v>16</v>
      </c>
      <c r="L17" s="175">
        <f>IF(ISNUMBER(SEARCH('Карта учёта'!$B$19,Расходка[Наименование расходного материала])),MAX($L$1:L16)+1,0)</f>
        <v>16</v>
      </c>
      <c r="M17" s="175">
        <f>IF(ISNUMBER(SEARCH('Карта учёта'!$B$20,Расходка[Наименование расходного материала])),MAX($M$1:M16)+1,0)</f>
        <v>16</v>
      </c>
      <c r="N17" s="178">
        <f>IF(ISNUMBER(SEARCH('Карта учёта'!$B$21,Расходка[Наименование расходного материала])),MAX($N$1:N16)+1,0)</f>
        <v>16</v>
      </c>
      <c r="O17" s="175">
        <f>IF(ISNUMBER(SEARCH('Карта учёта'!$B$22,Расходка[Наименование расходного материала])),MAX($O$1:O16)+1,0)</f>
        <v>16</v>
      </c>
      <c r="P17" s="175">
        <f>IF(ISNUMBER(SEARCH('Карта учёта'!$B$23,Расходка[Наименование расходного материала])),MAX($P$1:P16)+1,0)</f>
        <v>16</v>
      </c>
      <c r="Q17" s="175">
        <f>IF(ISNUMBER(SEARCH('Карта учёта'!$B$24,Расходка[Наименование расходного материала])),MAX($Q$1:Q16)+1,0)</f>
        <v>16</v>
      </c>
      <c r="R17" s="174" t="str">
        <f>IFERROR(INDEX(Расходка[Наименование расходного материала],MATCH(Расходка[№],Поиск_расходки[Индекс1],0)),"")</f>
        <v/>
      </c>
      <c r="S17" s="174" t="str">
        <f>IFERROR(INDEX(Расходка[Наименование расходного материала],MATCH(Расходка[№],Поиск_расходки[Индекс2],0)),"")</f>
        <v/>
      </c>
      <c r="T17" s="174" t="str">
        <f>IFERROR(INDEX(Расходка[Наименование расходного материала],MATCH(Расходка[№],Поиск_расходки[Индекс3],0)),"")</f>
        <v/>
      </c>
      <c r="U17" s="174" t="str">
        <f>IFERROR(INDEX(Расходка[Наименование расходного материала],MATCH(Расходка[№],Поиск_расходки[Индекс4],0)),"")</f>
        <v/>
      </c>
      <c r="V17" s="174" t="str">
        <f>IFERROR(INDEX(Расходка[Наименование расходного материала],MATCH(Расходка[№],Поиск_расходки[Индекс5],0)),"")</f>
        <v/>
      </c>
      <c r="W17" s="174" t="str">
        <f>IFERROR(INDEX(Расходка[Наименование расходного материала],MATCH(Расходка[№],Поиск_расходки[Индекс6],0)),"")</f>
        <v/>
      </c>
      <c r="X17" s="174" t="str">
        <f>IFERROR(INDEX(Расходка[Наименование расходного материала],MATCH(Расходка[№],Поиск_расходки[Индекс7],0)),"")</f>
        <v xml:space="preserve">DES, Resolute Integtity, Medtronic </v>
      </c>
      <c r="Y17" s="174" t="str">
        <f>IFERROR(INDEX(Расходка[Наименование расходного материала],MATCH(Расходка[№],Поиск_расходки[Индекс8],0)),"")</f>
        <v xml:space="preserve">DES, Resolute Integtity, Medtronic </v>
      </c>
      <c r="Z17" s="174" t="str">
        <f>IFERROR(INDEX(Расходка[Наименование расходного материала],MATCH(Расходка[№],Поиск_расходки[Индекс9],0)),"")</f>
        <v xml:space="preserve">DES, Resolute Integtity, Medtronic </v>
      </c>
      <c r="AA17" s="174" t="str">
        <f>IFERROR(INDEX(Расходка[Наименование расходного материала],MATCH(Расходка[№],Поиск_расходки[Индекс10],0)),"")</f>
        <v xml:space="preserve">DES, Resolute Integtity, Medtronic </v>
      </c>
      <c r="AB17" s="174" t="str">
        <f>IFERROR(INDEX(Расходка[Наименование расходного материала],MATCH(Расходка[№],Поиск_расходки[Индекс11],0)),"")</f>
        <v xml:space="preserve">DES, Resolute Integtity, Medtronic </v>
      </c>
      <c r="AC17" s="174" t="str">
        <f>IFERROR(INDEX(Расходка[Наименование расходного материала],MATCH(Расходка[№],Поиск_расходки[Индекс12],0)),"")</f>
        <v xml:space="preserve">DES, Resolute Integtity, Medtronic </v>
      </c>
      <c r="AD17" s="174" t="str">
        <f>IFERROR(INDEX(Расходка[Наименование расходного материала],MATCH(Расходка[№],Поиск_расходки[Индекс13],0)),"")</f>
        <v xml:space="preserve">DES, Resolute Integtity, Medtronic </v>
      </c>
      <c r="AF17" s="4" t="s">
        <v>5</v>
      </c>
      <c r="AG17" s="4" t="s">
        <v>116</v>
      </c>
    </row>
    <row r="18" spans="1:33">
      <c r="A18">
        <v>17</v>
      </c>
      <c r="B18" t="s">
        <v>6</v>
      </c>
      <c r="C18" s="1" t="s">
        <v>380</v>
      </c>
      <c r="D18" s="1"/>
      <c r="E18" s="175">
        <f>IF(ISNUMBER(SEARCH('Карта учёта'!$B$12,Расходка[[#This Row],[Наименование расходного материала]])),MAX($E$1:E17)+1,0)</f>
        <v>0</v>
      </c>
      <c r="F18" s="175">
        <f>IF(ISNUMBER(SEARCH('Карта учёта'!$B$13,Расходка[[#This Row],[Наименование расходного материала]])),MAX($F$1:F17)+1,0)</f>
        <v>0</v>
      </c>
      <c r="G18" s="175">
        <f>IF(ISNUMBER(SEARCH('Карта учёта'!$B$14,Расходка[Наименование расходного материала])),MAX($G$1:G17)+1,0)</f>
        <v>0</v>
      </c>
      <c r="H18" s="175">
        <f>IF(ISNUMBER(SEARCH('Карта учёта'!$B$15,Расходка[Наименование расходного материала])),MAX($H$1:H17)+1,0)</f>
        <v>0</v>
      </c>
      <c r="I18" s="175">
        <f>IF(ISNUMBER(SEARCH('Карта учёта'!$B$16,Расходка[Наименование расходного материала])),MAX($I$1:I17)+1,0)</f>
        <v>0</v>
      </c>
      <c r="J18" s="175">
        <f>IF(ISNUMBER(SEARCH('Карта учёта'!$B$17,Расходка[Наименование расходного материала])),MAX($J$1:J17)+1,0)</f>
        <v>0</v>
      </c>
      <c r="K18" s="175">
        <f>IF(ISNUMBER(SEARCH('Карта учёта'!$B$18,Расходка[Наименование расходного материала])),MAX($K$1:K17)+1,0)</f>
        <v>17</v>
      </c>
      <c r="L18" s="175">
        <f>IF(ISNUMBER(SEARCH('Карта учёта'!$B$19,Расходка[Наименование расходного материала])),MAX($L$1:L17)+1,0)</f>
        <v>17</v>
      </c>
      <c r="M18" s="175">
        <f>IF(ISNUMBER(SEARCH('Карта учёта'!$B$20,Расходка[Наименование расходного материала])),MAX($M$1:M17)+1,0)</f>
        <v>17</v>
      </c>
      <c r="N18" s="178">
        <f>IF(ISNUMBER(SEARCH('Карта учёта'!$B$21,Расходка[Наименование расходного материала])),MAX($N$1:N17)+1,0)</f>
        <v>17</v>
      </c>
      <c r="O18" s="175">
        <f>IF(ISNUMBER(SEARCH('Карта учёта'!$B$22,Расходка[Наименование расходного материала])),MAX($O$1:O17)+1,0)</f>
        <v>17</v>
      </c>
      <c r="P18" s="175">
        <f>IF(ISNUMBER(SEARCH('Карта учёта'!$B$23,Расходка[Наименование расходного материала])),MAX($P$1:P17)+1,0)</f>
        <v>17</v>
      </c>
      <c r="Q18" s="175">
        <f>IF(ISNUMBER(SEARCH('Карта учёта'!$B$24,Расходка[Наименование расходного материала])),MAX($Q$1:Q17)+1,0)</f>
        <v>17</v>
      </c>
      <c r="R18" s="174" t="str">
        <f>IFERROR(INDEX(Расходка[Наименование расходного материала],MATCH(Расходка[№],Поиск_расходки[Индекс1],0)),"")</f>
        <v/>
      </c>
      <c r="S18" s="174" t="str">
        <f>IFERROR(INDEX(Расходка[Наименование расходного материала],MATCH(Расходка[№],Поиск_расходки[Индекс2],0)),"")</f>
        <v/>
      </c>
      <c r="T18" s="174" t="str">
        <f>IFERROR(INDEX(Расходка[Наименование расходного материала],MATCH(Расходка[№],Поиск_расходки[Индекс3],0)),"")</f>
        <v/>
      </c>
      <c r="U18" s="174" t="str">
        <f>IFERROR(INDEX(Расходка[Наименование расходного материала],MATCH(Расходка[№],Поиск_расходки[Индекс4],0)),"")</f>
        <v/>
      </c>
      <c r="V18" s="174" t="str">
        <f>IFERROR(INDEX(Расходка[Наименование расходного материала],MATCH(Расходка[№],Поиск_расходки[Индекс5],0)),"")</f>
        <v/>
      </c>
      <c r="W18" s="174" t="str">
        <f>IFERROR(INDEX(Расходка[Наименование расходного материала],MATCH(Расходка[№],Поиск_расходки[Индекс6],0)),"")</f>
        <v/>
      </c>
      <c r="X18" s="174" t="str">
        <f>IFERROR(INDEX(Расходка[Наименование расходного материала],MATCH(Расходка[№],Поиск_расходки[Индекс7],0)),"")</f>
        <v>BMS, Integtity</v>
      </c>
      <c r="Y18" s="174" t="str">
        <f>IFERROR(INDEX(Расходка[Наименование расходного материала],MATCH(Расходка[№],Поиск_расходки[Индекс8],0)),"")</f>
        <v>BMS, Integtity</v>
      </c>
      <c r="Z18" s="174" t="str">
        <f>IFERROR(INDEX(Расходка[Наименование расходного материала],MATCH(Расходка[№],Поиск_расходки[Индекс9],0)),"")</f>
        <v>BMS, Integtity</v>
      </c>
      <c r="AA18" s="174" t="str">
        <f>IFERROR(INDEX(Расходка[Наименование расходного материала],MATCH(Расходка[№],Поиск_расходки[Индекс10],0)),"")</f>
        <v>BMS, Integtity</v>
      </c>
      <c r="AB18" s="174" t="str">
        <f>IFERROR(INDEX(Расходка[Наименование расходного материала],MATCH(Расходка[№],Поиск_расходки[Индекс11],0)),"")</f>
        <v>BMS, Integtity</v>
      </c>
      <c r="AC18" s="174" t="str">
        <f>IFERROR(INDEX(Расходка[Наименование расходного материала],MATCH(Расходка[№],Поиск_расходки[Индекс12],0)),"")</f>
        <v>BMS, Integtity</v>
      </c>
      <c r="AD18" s="174" t="str">
        <f>IFERROR(INDEX(Расходка[Наименование расходного материала],MATCH(Расходка[№],Поиск_расходки[Индекс13],0)),"")</f>
        <v>BMS, Integtity</v>
      </c>
      <c r="AF18" s="4" t="s">
        <v>5</v>
      </c>
      <c r="AG18" s="4" t="s">
        <v>117</v>
      </c>
    </row>
    <row r="19" spans="1:33">
      <c r="A19">
        <v>18</v>
      </c>
      <c r="B19" t="s">
        <v>134</v>
      </c>
      <c r="C19" s="1" t="s">
        <v>133</v>
      </c>
      <c r="E19" s="175">
        <f>IF(ISNUMBER(SEARCH('Карта учёта'!$B$12,Расходка[[#This Row],[Наименование расходного материала]])),MAX($E$1:E18)+1,0)</f>
        <v>0</v>
      </c>
      <c r="F19" s="175">
        <f>IF(ISNUMBER(SEARCH('Карта учёта'!$B$13,Расходка[[#This Row],[Наименование расходного материала]])),MAX($F$1:F18)+1,0)</f>
        <v>0</v>
      </c>
      <c r="G19" s="175">
        <f>IF(ISNUMBER(SEARCH('Карта учёта'!$B$14,Расходка[Наименование расходного материала])),MAX($G$1:G18)+1,0)</f>
        <v>0</v>
      </c>
      <c r="H19" s="175">
        <f>IF(ISNUMBER(SEARCH('Карта учёта'!$B$15,Расходка[Наименование расходного материала])),MAX($H$1:H18)+1,0)</f>
        <v>0</v>
      </c>
      <c r="I19" s="175">
        <f>IF(ISNUMBER(SEARCH('Карта учёта'!$B$16,Расходка[Наименование расходного материала])),MAX($I$1:I18)+1,0)</f>
        <v>0</v>
      </c>
      <c r="J19" s="175">
        <f>IF(ISNUMBER(SEARCH('Карта учёта'!$B$17,Расходка[Наименование расходного материала])),MAX($J$1:J18)+1,0)</f>
        <v>0</v>
      </c>
      <c r="K19" s="175">
        <f>IF(ISNUMBER(SEARCH('Карта учёта'!$B$18,Расходка[Наименование расходного материала])),MAX($K$1:K18)+1,0)</f>
        <v>18</v>
      </c>
      <c r="L19" s="175">
        <f>IF(ISNUMBER(SEARCH('Карта учёта'!$B$19,Расходка[Наименование расходного материала])),MAX($L$1:L18)+1,0)</f>
        <v>18</v>
      </c>
      <c r="M19" s="175">
        <f>IF(ISNUMBER(SEARCH('Карта учёта'!$B$20,Расходка[Наименование расходного материала])),MAX($M$1:M18)+1,0)</f>
        <v>18</v>
      </c>
      <c r="N19" s="178">
        <f>IF(ISNUMBER(SEARCH('Карта учёта'!$B$21,Расходка[Наименование расходного материала])),MAX($N$1:N18)+1,0)</f>
        <v>18</v>
      </c>
      <c r="O19" s="175">
        <f>IF(ISNUMBER(SEARCH('Карта учёта'!$B$22,Расходка[Наименование расходного материала])),MAX($O$1:O18)+1,0)</f>
        <v>18</v>
      </c>
      <c r="P19" s="175">
        <f>IF(ISNUMBER(SEARCH('Карта учёта'!$B$23,Расходка[Наименование расходного материала])),MAX($P$1:P18)+1,0)</f>
        <v>18</v>
      </c>
      <c r="Q19" s="175">
        <f>IF(ISNUMBER(SEARCH('Карта учёта'!$B$24,Расходка[Наименование расходного материала])),MAX($Q$1:Q18)+1,0)</f>
        <v>18</v>
      </c>
      <c r="R19" s="174" t="str">
        <f>IFERROR(INDEX(Расходка[Наименование расходного материала],MATCH(Расходка[№],Поиск_расходки[Индекс1],0)),"")</f>
        <v/>
      </c>
      <c r="S19" s="174" t="str">
        <f>IFERROR(INDEX(Расходка[Наименование расходного материала],MATCH(Расходка[№],Поиск_расходки[Индекс2],0)),"")</f>
        <v/>
      </c>
      <c r="T19" s="174" t="str">
        <f>IFERROR(INDEX(Расходка[Наименование расходного материала],MATCH(Расходка[№],Поиск_расходки[Индекс3],0)),"")</f>
        <v/>
      </c>
      <c r="U19" s="174" t="str">
        <f>IFERROR(INDEX(Расходка[Наименование расходного материала],MATCH(Расходка[№],Поиск_расходки[Индекс4],0)),"")</f>
        <v/>
      </c>
      <c r="V19" s="174" t="str">
        <f>IFERROR(INDEX(Расходка[Наименование расходного материала],MATCH(Расходка[№],Поиск_расходки[Индекс5],0)),"")</f>
        <v/>
      </c>
      <c r="W19" s="174" t="str">
        <f>IFERROR(INDEX(Расходка[Наименование расходного материала],MATCH(Расходка[№],Поиск_расходки[Индекс6],0)),"")</f>
        <v/>
      </c>
      <c r="X19" s="174" t="str">
        <f>IFERROR(INDEX(Расходка[Наименование расходного материала],MATCH(Расходка[№],Поиск_расходки[Индекс7],0)),"")</f>
        <v>Guidezilla™ II 6F, Boston Scientific</v>
      </c>
      <c r="Y19" s="174" t="str">
        <f>IFERROR(INDEX(Расходка[Наименование расходного материала],MATCH(Расходка[№],Поиск_расходки[Индекс8],0)),"")</f>
        <v>Guidezilla™ II 6F, Boston Scientific</v>
      </c>
      <c r="Z19" s="174" t="str">
        <f>IFERROR(INDEX(Расходка[Наименование расходного материала],MATCH(Расходка[№],Поиск_расходки[Индекс9],0)),"")</f>
        <v>Guidezilla™ II 6F, Boston Scientific</v>
      </c>
      <c r="AA19" s="174" t="str">
        <f>IFERROR(INDEX(Расходка[Наименование расходного материала],MATCH(Расходка[№],Поиск_расходки[Индекс10],0)),"")</f>
        <v>Guidezilla™ II 6F, Boston Scientific</v>
      </c>
      <c r="AB19" s="174" t="str">
        <f>IFERROR(INDEX(Расходка[Наименование расходного материала],MATCH(Расходка[№],Поиск_расходки[Индекс11],0)),"")</f>
        <v>Guidezilla™ II 6F, Boston Scientific</v>
      </c>
      <c r="AC19" s="174" t="str">
        <f>IFERROR(INDEX(Расходка[Наименование расходного материала],MATCH(Расходка[№],Поиск_расходки[Индекс12],0)),"")</f>
        <v>Guidezilla™ II 6F, Boston Scientific</v>
      </c>
      <c r="AD19" s="174" t="str">
        <f>IFERROR(INDEX(Расходка[Наименование расходного материала],MATCH(Расходка[№],Поиск_расходки[Индекс13],0)),"")</f>
        <v>Guidezilla™ II 6F, Boston Scientific</v>
      </c>
      <c r="AF19" s="4" t="s">
        <v>5</v>
      </c>
      <c r="AG19" s="4" t="s">
        <v>122</v>
      </c>
    </row>
    <row r="20" spans="1:33">
      <c r="A20">
        <v>19</v>
      </c>
      <c r="B20" t="s">
        <v>4</v>
      </c>
      <c r="C20" t="s">
        <v>128</v>
      </c>
      <c r="E20" s="175">
        <f>IF(ISNUMBER(SEARCH('Карта учёта'!$B$12,Расходка[[#This Row],[Наименование расходного материала]])),MAX($E$1:E19)+1,0)</f>
        <v>0</v>
      </c>
      <c r="F20" s="175">
        <f>IF(ISNUMBER(SEARCH('Карта учёта'!$B$13,Расходка[[#This Row],[Наименование расходного материала]])),MAX($F$1:F19)+1,0)</f>
        <v>0</v>
      </c>
      <c r="G20" s="175">
        <f>IF(ISNUMBER(SEARCH('Карта учёта'!$B$14,Расходка[Наименование расходного материала])),MAX($G$1:G19)+1,0)</f>
        <v>0</v>
      </c>
      <c r="H20" s="175">
        <f>IF(ISNUMBER(SEARCH('Карта учёта'!$B$15,Расходка[Наименование расходного материала])),MAX($H$1:H19)+1,0)</f>
        <v>1</v>
      </c>
      <c r="I20" s="175">
        <f>IF(ISNUMBER(SEARCH('Карта учёта'!$B$16,Расходка[Наименование расходного материала])),MAX($I$1:I19)+1,0)</f>
        <v>0</v>
      </c>
      <c r="J20" s="175">
        <f>IF(ISNUMBER(SEARCH('Карта учёта'!$B$17,Расходка[Наименование расходного материала])),MAX($J$1:J19)+1,0)</f>
        <v>0</v>
      </c>
      <c r="K20" s="175">
        <f>IF(ISNUMBER(SEARCH('Карта учёта'!$B$18,Расходка[Наименование расходного материала])),MAX($K$1:K19)+1,0)</f>
        <v>19</v>
      </c>
      <c r="L20" s="175">
        <f>IF(ISNUMBER(SEARCH('Карта учёта'!$B$19,Расходка[Наименование расходного материала])),MAX($L$1:L19)+1,0)</f>
        <v>19</v>
      </c>
      <c r="M20" s="175">
        <f>IF(ISNUMBER(SEARCH('Карта учёта'!$B$20,Расходка[Наименование расходного материала])),MAX($M$1:M19)+1,0)</f>
        <v>19</v>
      </c>
      <c r="N20" s="178">
        <f>IF(ISNUMBER(SEARCH('Карта учёта'!$B$21,Расходка[Наименование расходного материала])),MAX($N$1:N19)+1,0)</f>
        <v>19</v>
      </c>
      <c r="O20" s="175">
        <f>IF(ISNUMBER(SEARCH('Карта учёта'!$B$22,Расходка[Наименование расходного материала])),MAX($O$1:O19)+1,0)</f>
        <v>19</v>
      </c>
      <c r="P20" s="175">
        <f>IF(ISNUMBER(SEARCH('Карта учёта'!$B$23,Расходка[Наименование расходного материала])),MAX($P$1:P19)+1,0)</f>
        <v>19</v>
      </c>
      <c r="Q20" s="175">
        <f>IF(ISNUMBER(SEARCH('Карта учёта'!$B$24,Расходка[Наименование расходного материала])),MAX($Q$1:Q19)+1,0)</f>
        <v>19</v>
      </c>
      <c r="R20" s="174" t="str">
        <f>IFERROR(INDEX(Расходка[Наименование расходного материала],MATCH(Расходка[№],Поиск_расходки[Индекс1],0)),"")</f>
        <v/>
      </c>
      <c r="S20" s="174" t="str">
        <f>IFERROR(INDEX(Расходка[Наименование расходного материала],MATCH(Расходка[№],Поиск_расходки[Индекс2],0)),"")</f>
        <v/>
      </c>
      <c r="T20" s="174" t="str">
        <f>IFERROR(INDEX(Расходка[Наименование расходного материала],MATCH(Расходка[№],Поиск_расходки[Индекс3],0)),"")</f>
        <v/>
      </c>
      <c r="U20" s="174" t="str">
        <f>IFERROR(INDEX(Расходка[Наименование расходного материала],MATCH(Расходка[№],Поиск_расходки[Индекс4],0)),"")</f>
        <v/>
      </c>
      <c r="V20" s="174" t="str">
        <f>IFERROR(INDEX(Расходка[Наименование расходного материала],MATCH(Расходка[№],Поиск_расходки[Индекс5],0)),"")</f>
        <v/>
      </c>
      <c r="W20" s="174" t="str">
        <f>IFERROR(INDEX(Расходка[Наименование расходного материала],MATCH(Расходка[№],Поиск_расходки[Индекс6],0)),"")</f>
        <v/>
      </c>
      <c r="X20" s="174" t="str">
        <f>IFERROR(INDEX(Расходка[Наименование расходного материала],MATCH(Расходка[№],Поиск_расходки[Индекс7],0)),"")</f>
        <v>Launcher 6F EBU 3.5, Medtronic</v>
      </c>
      <c r="Y20" s="174" t="str">
        <f>IFERROR(INDEX(Расходка[Наименование расходного материала],MATCH(Расходка[№],Поиск_расходки[Индекс8],0)),"")</f>
        <v>Launcher 6F EBU 3.5, Medtronic</v>
      </c>
      <c r="Z20" s="174" t="str">
        <f>IFERROR(INDEX(Расходка[Наименование расходного материала],MATCH(Расходка[№],Поиск_расходки[Индекс9],0)),"")</f>
        <v>Launcher 6F EBU 3.5, Medtronic</v>
      </c>
      <c r="AA20" s="174" t="str">
        <f>IFERROR(INDEX(Расходка[Наименование расходного материала],MATCH(Расходка[№],Поиск_расходки[Индекс10],0)),"")</f>
        <v>Launcher 6F EBU 3.5, Medtronic</v>
      </c>
      <c r="AB20" s="174" t="str">
        <f>IFERROR(INDEX(Расходка[Наименование расходного материала],MATCH(Расходка[№],Поиск_расходки[Индекс11],0)),"")</f>
        <v>Launcher 6F EBU 3.5, Medtronic</v>
      </c>
      <c r="AC20" s="174" t="str">
        <f>IFERROR(INDEX(Расходка[Наименование расходного материала],MATCH(Расходка[№],Поиск_расходки[Индекс12],0)),"")</f>
        <v>Launcher 6F EBU 3.5, Medtronic</v>
      </c>
      <c r="AD20" s="174" t="str">
        <f>IFERROR(INDEX(Расходка[Наименование расходного материала],MATCH(Расходка[№],Поиск_расходки[Индекс13],0)),"")</f>
        <v>Launcher 6F EBU 3.5, Medtronic</v>
      </c>
      <c r="AF20" s="4" t="s">
        <v>5</v>
      </c>
      <c r="AG20" s="4" t="s">
        <v>123</v>
      </c>
    </row>
    <row r="21" spans="1:33">
      <c r="A21">
        <v>20</v>
      </c>
      <c r="B21" t="s">
        <v>4</v>
      </c>
      <c r="C21" t="s">
        <v>129</v>
      </c>
      <c r="E21" s="175">
        <f>IF(ISNUMBER(SEARCH('Карта учёта'!$B$12,Расходка[[#This Row],[Наименование расходного материала]])),MAX($E$1:E20)+1,0)</f>
        <v>0</v>
      </c>
      <c r="F21" s="175">
        <f>IF(ISNUMBER(SEARCH('Карта учёта'!$B$13,Расходка[[#This Row],[Наименование расходного материала]])),MAX($F$1:F20)+1,0)</f>
        <v>0</v>
      </c>
      <c r="G21" s="175">
        <f>IF(ISNUMBER(SEARCH('Карта учёта'!$B$14,Расходка[Наименование расходного материала])),MAX($G$1:G20)+1,0)</f>
        <v>0</v>
      </c>
      <c r="H21" s="175">
        <f>IF(ISNUMBER(SEARCH('Карта учёта'!$B$15,Расходка[Наименование расходного материала])),MAX($H$1:H20)+1,0)</f>
        <v>0</v>
      </c>
      <c r="I21" s="175">
        <f>IF(ISNUMBER(SEARCH('Карта учёта'!$B$16,Расходка[Наименование расходного материала])),MAX($I$1:I20)+1,0)</f>
        <v>0</v>
      </c>
      <c r="J21" s="175">
        <f>IF(ISNUMBER(SEARCH('Карта учёта'!$B$17,Расходка[Наименование расходного материала])),MAX($J$1:J20)+1,0)</f>
        <v>0</v>
      </c>
      <c r="K21" s="175">
        <f>IF(ISNUMBER(SEARCH('Карта учёта'!$B$18,Расходка[Наименование расходного материала])),MAX($K$1:K20)+1,0)</f>
        <v>20</v>
      </c>
      <c r="L21" s="175">
        <f>IF(ISNUMBER(SEARCH('Карта учёта'!$B$19,Расходка[Наименование расходного материала])),MAX($L$1:L20)+1,0)</f>
        <v>20</v>
      </c>
      <c r="M21" s="175">
        <f>IF(ISNUMBER(SEARCH('Карта учёта'!$B$20,Расходка[Наименование расходного материала])),MAX($M$1:M20)+1,0)</f>
        <v>20</v>
      </c>
      <c r="N21" s="178">
        <f>IF(ISNUMBER(SEARCH('Карта учёта'!$B$21,Расходка[Наименование расходного материала])),MAX($N$1:N20)+1,0)</f>
        <v>20</v>
      </c>
      <c r="O21" s="175">
        <f>IF(ISNUMBER(SEARCH('Карта учёта'!$B$22,Расходка[Наименование расходного материала])),MAX($O$1:O20)+1,0)</f>
        <v>20</v>
      </c>
      <c r="P21" s="175">
        <f>IF(ISNUMBER(SEARCH('Карта учёта'!$B$23,Расходка[Наименование расходного материала])),MAX($P$1:P20)+1,0)</f>
        <v>20</v>
      </c>
      <c r="Q21" s="175">
        <f>IF(ISNUMBER(SEARCH('Карта учёта'!$B$24,Расходка[Наименование расходного материала])),MAX($Q$1:Q20)+1,0)</f>
        <v>20</v>
      </c>
      <c r="R21" s="174" t="str">
        <f>IFERROR(INDEX(Расходка[Наименование расходного материала],MATCH(Расходка[№],Поиск_расходки[Индекс1],0)),"")</f>
        <v/>
      </c>
      <c r="S21" s="174" t="str">
        <f>IFERROR(INDEX(Расходка[Наименование расходного материала],MATCH(Расходка[№],Поиск_расходки[Индекс2],0)),"")</f>
        <v/>
      </c>
      <c r="T21" s="174" t="str">
        <f>IFERROR(INDEX(Расходка[Наименование расходного материала],MATCH(Расходка[№],Поиск_расходки[Индекс3],0)),"")</f>
        <v/>
      </c>
      <c r="U21" s="174" t="str">
        <f>IFERROR(INDEX(Расходка[Наименование расходного материала],MATCH(Расходка[№],Поиск_расходки[Индекс4],0)),"")</f>
        <v/>
      </c>
      <c r="V21" s="174" t="str">
        <f>IFERROR(INDEX(Расходка[Наименование расходного материала],MATCH(Расходка[№],Поиск_расходки[Индекс5],0)),"")</f>
        <v/>
      </c>
      <c r="W21" s="174" t="str">
        <f>IFERROR(INDEX(Расходка[Наименование расходного материала],MATCH(Расходка[№],Поиск_расходки[Индекс6],0)),"")</f>
        <v/>
      </c>
      <c r="X21" s="174" t="str">
        <f>IFERROR(INDEX(Расходка[Наименование расходного материала],MATCH(Расходка[№],Поиск_расходки[Индекс7],0)),"")</f>
        <v>Launcher 6F EBU 4.0, Medtronic</v>
      </c>
      <c r="Y21" s="174" t="str">
        <f>IFERROR(INDEX(Расходка[Наименование расходного материала],MATCH(Расходка[№],Поиск_расходки[Индекс8],0)),"")</f>
        <v>Launcher 6F EBU 4.0, Medtronic</v>
      </c>
      <c r="Z21" s="174" t="str">
        <f>IFERROR(INDEX(Расходка[Наименование расходного материала],MATCH(Расходка[№],Поиск_расходки[Индекс9],0)),"")</f>
        <v>Launcher 6F EBU 4.0, Medtronic</v>
      </c>
      <c r="AA21" s="174" t="str">
        <f>IFERROR(INDEX(Расходка[Наименование расходного материала],MATCH(Расходка[№],Поиск_расходки[Индекс10],0)),"")</f>
        <v>Launcher 6F EBU 4.0, Medtronic</v>
      </c>
      <c r="AB21" s="174" t="str">
        <f>IFERROR(INDEX(Расходка[Наименование расходного материала],MATCH(Расходка[№],Поиск_расходки[Индекс11],0)),"")</f>
        <v>Launcher 6F EBU 4.0, Medtronic</v>
      </c>
      <c r="AC21" s="174" t="str">
        <f>IFERROR(INDEX(Расходка[Наименование расходного материала],MATCH(Расходка[№],Поиск_расходки[Индекс12],0)),"")</f>
        <v>Launcher 6F EBU 4.0, Medtronic</v>
      </c>
      <c r="AD21" s="174" t="str">
        <f>IFERROR(INDEX(Расходка[Наименование расходного материала],MATCH(Расходка[№],Поиск_расходки[Индекс13],0)),"")</f>
        <v>Launcher 6F EBU 4.0, Medtronic</v>
      </c>
      <c r="AF21" s="4" t="s">
        <v>5</v>
      </c>
      <c r="AG21" s="4" t="s">
        <v>120</v>
      </c>
    </row>
    <row r="22" spans="1:33">
      <c r="A22">
        <v>21</v>
      </c>
      <c r="B22" t="s">
        <v>4</v>
      </c>
      <c r="C22" t="s">
        <v>130</v>
      </c>
      <c r="E22" s="175">
        <f>IF(ISNUMBER(SEARCH('Карта учёта'!$B$12,Расходка[[#This Row],[Наименование расходного материала]])),MAX($E$1:E21)+1,0)</f>
        <v>0</v>
      </c>
      <c r="F22" s="175">
        <f>IF(ISNUMBER(SEARCH('Карта учёта'!$B$13,Расходка[[#This Row],[Наименование расходного материала]])),MAX($F$1:F21)+1,0)</f>
        <v>0</v>
      </c>
      <c r="G22" s="175">
        <f>IF(ISNUMBER(SEARCH('Карта учёта'!$B$14,Расходка[Наименование расходного материала])),MAX($G$1:G21)+1,0)</f>
        <v>0</v>
      </c>
      <c r="H22" s="175">
        <f>IF(ISNUMBER(SEARCH('Карта учёта'!$B$15,Расходка[Наименование расходного материала])),MAX($H$1:H21)+1,0)</f>
        <v>0</v>
      </c>
      <c r="I22" s="175">
        <f>IF(ISNUMBER(SEARCH('Карта учёта'!$B$16,Расходка[Наименование расходного материала])),MAX($I$1:I21)+1,0)</f>
        <v>0</v>
      </c>
      <c r="J22" s="175">
        <f>IF(ISNUMBER(SEARCH('Карта учёта'!$B$17,Расходка[Наименование расходного материала])),MAX($J$1:J21)+1,0)</f>
        <v>0</v>
      </c>
      <c r="K22" s="175">
        <f>IF(ISNUMBER(SEARCH('Карта учёта'!$B$18,Расходка[Наименование расходного материала])),MAX($K$1:K21)+1,0)</f>
        <v>21</v>
      </c>
      <c r="L22" s="175">
        <f>IF(ISNUMBER(SEARCH('Карта учёта'!$B$19,Расходка[Наименование расходного материала])),MAX($L$1:L21)+1,0)</f>
        <v>21</v>
      </c>
      <c r="M22" s="175">
        <f>IF(ISNUMBER(SEARCH('Карта учёта'!$B$20,Расходка[Наименование расходного материала])),MAX($M$1:M21)+1,0)</f>
        <v>21</v>
      </c>
      <c r="N22" s="178">
        <f>IF(ISNUMBER(SEARCH('Карта учёта'!$B$21,Расходка[Наименование расходного материала])),MAX($N$1:N21)+1,0)</f>
        <v>21</v>
      </c>
      <c r="O22" s="175">
        <f>IF(ISNUMBER(SEARCH('Карта учёта'!$B$22,Расходка[Наименование расходного материала])),MAX($O$1:O21)+1,0)</f>
        <v>21</v>
      </c>
      <c r="P22" s="175">
        <f>IF(ISNUMBER(SEARCH('Карта учёта'!$B$23,Расходка[Наименование расходного материала])),MAX($P$1:P21)+1,0)</f>
        <v>21</v>
      </c>
      <c r="Q22" s="175">
        <f>IF(ISNUMBER(SEARCH('Карта учёта'!$B$24,Расходка[Наименование расходного материала])),MAX($Q$1:Q21)+1,0)</f>
        <v>21</v>
      </c>
      <c r="R22" s="174" t="str">
        <f>IFERROR(INDEX(Расходка[Наименование расходного материала],MATCH(Расходка[№],Поиск_расходки[Индекс1],0)),"")</f>
        <v/>
      </c>
      <c r="S22" s="174" t="str">
        <f>IFERROR(INDEX(Расходка[Наименование расходного материала],MATCH(Расходка[№],Поиск_расходки[Индекс2],0)),"")</f>
        <v/>
      </c>
      <c r="T22" s="174" t="str">
        <f>IFERROR(INDEX(Расходка[Наименование расходного материала],MATCH(Расходка[№],Поиск_расходки[Индекс3],0)),"")</f>
        <v/>
      </c>
      <c r="U22" s="174" t="str">
        <f>IFERROR(INDEX(Расходка[Наименование расходного материала],MATCH(Расходка[№],Поиск_расходки[Индекс4],0)),"")</f>
        <v/>
      </c>
      <c r="V22" s="174" t="str">
        <f>IFERROR(INDEX(Расходка[Наименование расходного материала],MATCH(Расходка[№],Поиск_расходки[Индекс5],0)),"")</f>
        <v/>
      </c>
      <c r="W22" s="174" t="str">
        <f>IFERROR(INDEX(Расходка[Наименование расходного материала],MATCH(Расходка[№],Поиск_расходки[Индекс6],0)),"")</f>
        <v/>
      </c>
      <c r="X22" s="174" t="str">
        <f>IFERROR(INDEX(Расходка[Наименование расходного материала],MATCH(Расходка[№],Поиск_расходки[Индекс7],0)),"")</f>
        <v xml:space="preserve">Launcher 6F JL 3.5, Medtronic </v>
      </c>
      <c r="Y22" s="174" t="str">
        <f>IFERROR(INDEX(Расходка[Наименование расходного материала],MATCH(Расходка[№],Поиск_расходки[Индекс8],0)),"")</f>
        <v xml:space="preserve">Launcher 6F JL 3.5, Medtronic </v>
      </c>
      <c r="Z22" s="174" t="str">
        <f>IFERROR(INDEX(Расходка[Наименование расходного материала],MATCH(Расходка[№],Поиск_расходки[Индекс9],0)),"")</f>
        <v xml:space="preserve">Launcher 6F JL 3.5, Medtronic </v>
      </c>
      <c r="AA22" s="174" t="str">
        <f>IFERROR(INDEX(Расходка[Наименование расходного материала],MATCH(Расходка[№],Поиск_расходки[Индекс10],0)),"")</f>
        <v xml:space="preserve">Launcher 6F JL 3.5, Medtronic </v>
      </c>
      <c r="AB22" s="174" t="str">
        <f>IFERROR(INDEX(Расходка[Наименование расходного материала],MATCH(Расходка[№],Поиск_расходки[Индекс11],0)),"")</f>
        <v xml:space="preserve">Launcher 6F JL 3.5, Medtronic </v>
      </c>
      <c r="AC22" s="174" t="str">
        <f>IFERROR(INDEX(Расходка[Наименование расходного материала],MATCH(Расходка[№],Поиск_расходки[Индекс12],0)),"")</f>
        <v xml:space="preserve">Launcher 6F JL 3.5, Medtronic </v>
      </c>
      <c r="AD22" s="174" t="str">
        <f>IFERROR(INDEX(Расходка[Наименование расходного материала],MATCH(Расходка[№],Поиск_расходки[Индекс13],0)),"")</f>
        <v xml:space="preserve">Launcher 6F JL 3.5, Medtronic </v>
      </c>
      <c r="AF22" s="4" t="s">
        <v>5</v>
      </c>
      <c r="AG22" s="4" t="s">
        <v>121</v>
      </c>
    </row>
    <row r="23" spans="1:33">
      <c r="A23">
        <v>22</v>
      </c>
      <c r="B23" t="s">
        <v>4</v>
      </c>
      <c r="C23" t="s">
        <v>215</v>
      </c>
      <c r="E23" s="175">
        <f>IF(ISNUMBER(SEARCH('Карта учёта'!$B$12,Расходка[[#This Row],[Наименование расходного материала]])),MAX($E$1:E22)+1,0)</f>
        <v>0</v>
      </c>
      <c r="F23" s="175">
        <f>IF(ISNUMBER(SEARCH('Карта учёта'!$B$13,Расходка[[#This Row],[Наименование расходного материала]])),MAX($F$1:F22)+1,0)</f>
        <v>0</v>
      </c>
      <c r="G23" s="175">
        <f>IF(ISNUMBER(SEARCH('Карта учёта'!$B$14,Расходка[Наименование расходного материала])),MAX($G$1:G22)+1,0)</f>
        <v>0</v>
      </c>
      <c r="H23" s="175">
        <f>IF(ISNUMBER(SEARCH('Карта учёта'!$B$15,Расходка[Наименование расходного материала])),MAX($H$1:H22)+1,0)</f>
        <v>0</v>
      </c>
      <c r="I23" s="175">
        <f>IF(ISNUMBER(SEARCH('Карта учёта'!$B$16,Расходка[Наименование расходного материала])),MAX($I$1:I22)+1,0)</f>
        <v>0</v>
      </c>
      <c r="J23" s="175">
        <f>IF(ISNUMBER(SEARCH('Карта учёта'!$B$17,Расходка[Наименование расходного материала])),MAX($J$1:J22)+1,0)</f>
        <v>0</v>
      </c>
      <c r="K23" s="175">
        <f>IF(ISNUMBER(SEARCH('Карта учёта'!$B$18,Расходка[Наименование расходного материала])),MAX($K$1:K22)+1,0)</f>
        <v>22</v>
      </c>
      <c r="L23" s="175">
        <f>IF(ISNUMBER(SEARCH('Карта учёта'!$B$19,Расходка[Наименование расходного материала])),MAX($L$1:L22)+1,0)</f>
        <v>22</v>
      </c>
      <c r="M23" s="175">
        <f>IF(ISNUMBER(SEARCH('Карта учёта'!$B$20,Расходка[Наименование расходного материала])),MAX($M$1:M22)+1,0)</f>
        <v>22</v>
      </c>
      <c r="N23" s="178">
        <f>IF(ISNUMBER(SEARCH('Карта учёта'!$B$21,Расходка[Наименование расходного материала])),MAX($N$1:N22)+1,0)</f>
        <v>22</v>
      </c>
      <c r="O23" s="175">
        <f>IF(ISNUMBER(SEARCH('Карта учёта'!$B$22,Расходка[Наименование расходного материала])),MAX($O$1:O22)+1,0)</f>
        <v>22</v>
      </c>
      <c r="P23" s="175">
        <f>IF(ISNUMBER(SEARCH('Карта учёта'!$B$23,Расходка[Наименование расходного материала])),MAX($P$1:P22)+1,0)</f>
        <v>22</v>
      </c>
      <c r="Q23" s="175">
        <f>IF(ISNUMBER(SEARCH('Карта учёта'!$B$24,Расходка[Наименование расходного материала])),MAX($Q$1:Q22)+1,0)</f>
        <v>22</v>
      </c>
      <c r="R23" s="174" t="str">
        <f>IFERROR(INDEX(Расходка[Наименование расходного материала],MATCH(Расходка[№],Поиск_расходки[Индекс1],0)),"")</f>
        <v/>
      </c>
      <c r="S23" s="174" t="str">
        <f>IFERROR(INDEX(Расходка[Наименование расходного материала],MATCH(Расходка[№],Поиск_расходки[Индекс2],0)),"")</f>
        <v/>
      </c>
      <c r="T23" s="174" t="str">
        <f>IFERROR(INDEX(Расходка[Наименование расходного материала],MATCH(Расходка[№],Поиск_расходки[Индекс3],0)),"")</f>
        <v/>
      </c>
      <c r="U23" s="174" t="str">
        <f>IFERROR(INDEX(Расходка[Наименование расходного материала],MATCH(Расходка[№],Поиск_расходки[Индекс4],0)),"")</f>
        <v/>
      </c>
      <c r="V23" s="174" t="str">
        <f>IFERROR(INDEX(Расходка[Наименование расходного материала],MATCH(Расходка[№],Поиск_расходки[Индекс5],0)),"")</f>
        <v/>
      </c>
      <c r="W23" s="174" t="str">
        <f>IFERROR(INDEX(Расходка[Наименование расходного материала],MATCH(Расходка[№],Поиск_расходки[Индекс6],0)),"")</f>
        <v/>
      </c>
      <c r="X23" s="174" t="str">
        <f>IFERROR(INDEX(Расходка[Наименование расходного материала],MATCH(Расходка[№],Поиск_расходки[Индекс7],0)),"")</f>
        <v xml:space="preserve">Launcher 7F JL 4.0, Medtronic </v>
      </c>
      <c r="Y23" s="174" t="str">
        <f>IFERROR(INDEX(Расходка[Наименование расходного материала],MATCH(Расходка[№],Поиск_расходки[Индекс8],0)),"")</f>
        <v xml:space="preserve">Launcher 7F JL 4.0, Medtronic </v>
      </c>
      <c r="Z23" s="174" t="str">
        <f>IFERROR(INDEX(Расходка[Наименование расходного материала],MATCH(Расходка[№],Поиск_расходки[Индекс9],0)),"")</f>
        <v xml:space="preserve">Launcher 7F JL 4.0, Medtronic </v>
      </c>
      <c r="AA23" s="174" t="str">
        <f>IFERROR(INDEX(Расходка[Наименование расходного материала],MATCH(Расходка[№],Поиск_расходки[Индекс10],0)),"")</f>
        <v xml:space="preserve">Launcher 7F JL 4.0, Medtronic </v>
      </c>
      <c r="AB23" s="174" t="str">
        <f>IFERROR(INDEX(Расходка[Наименование расходного материала],MATCH(Расходка[№],Поиск_расходки[Индекс11],0)),"")</f>
        <v xml:space="preserve">Launcher 7F JL 4.0, Medtronic </v>
      </c>
      <c r="AC23" s="174" t="str">
        <f>IFERROR(INDEX(Расходка[Наименование расходного материала],MATCH(Расходка[№],Поиск_расходки[Индекс12],0)),"")</f>
        <v xml:space="preserve">Launcher 7F JL 4.0, Medtronic </v>
      </c>
      <c r="AD23" s="174" t="str">
        <f>IFERROR(INDEX(Расходка[Наименование расходного материала],MATCH(Расходка[№],Поиск_расходки[Индекс13],0)),"")</f>
        <v xml:space="preserve">Launcher 7F JL 4.0, Medtronic </v>
      </c>
      <c r="AF23" s="4" t="s">
        <v>5</v>
      </c>
      <c r="AG23" s="4" t="s">
        <v>204</v>
      </c>
    </row>
    <row r="24" spans="1:33">
      <c r="A24">
        <v>23</v>
      </c>
      <c r="B24" t="s">
        <v>4</v>
      </c>
      <c r="C24" t="s">
        <v>216</v>
      </c>
      <c r="E24" s="175">
        <f>IF(ISNUMBER(SEARCH('Карта учёта'!$B$12,Расходка[[#This Row],[Наименование расходного материала]])),MAX($E$1:E23)+1,0)</f>
        <v>0</v>
      </c>
      <c r="F24" s="175">
        <f>IF(ISNUMBER(SEARCH('Карта учёта'!$B$13,Расходка[[#This Row],[Наименование расходного материала]])),MAX($F$1:F23)+1,0)</f>
        <v>0</v>
      </c>
      <c r="G24" s="175">
        <f>IF(ISNUMBER(SEARCH('Карта учёта'!$B$14,Расходка[Наименование расходного материала])),MAX($G$1:G23)+1,0)</f>
        <v>0</v>
      </c>
      <c r="H24" s="175">
        <f>IF(ISNUMBER(SEARCH('Карта учёта'!$B$15,Расходка[Наименование расходного материала])),MAX($H$1:H23)+1,0)</f>
        <v>0</v>
      </c>
      <c r="I24" s="175">
        <f>IF(ISNUMBER(SEARCH('Карта учёта'!$B$16,Расходка[Наименование расходного материала])),MAX($I$1:I23)+1,0)</f>
        <v>0</v>
      </c>
      <c r="J24" s="175">
        <f>IF(ISNUMBER(SEARCH('Карта учёта'!$B$17,Расходка[Наименование расходного материала])),MAX($J$1:J23)+1,0)</f>
        <v>0</v>
      </c>
      <c r="K24" s="175">
        <f>IF(ISNUMBER(SEARCH('Карта учёта'!$B$18,Расходка[Наименование расходного материала])),MAX($K$1:K23)+1,0)</f>
        <v>23</v>
      </c>
      <c r="L24" s="175">
        <f>IF(ISNUMBER(SEARCH('Карта учёта'!$B$19,Расходка[Наименование расходного материала])),MAX($L$1:L23)+1,0)</f>
        <v>23</v>
      </c>
      <c r="M24" s="175">
        <f>IF(ISNUMBER(SEARCH('Карта учёта'!$B$20,Расходка[Наименование расходного материала])),MAX($M$1:M23)+1,0)</f>
        <v>23</v>
      </c>
      <c r="N24" s="178">
        <f>IF(ISNUMBER(SEARCH('Карта учёта'!$B$21,Расходка[Наименование расходного материала])),MAX($N$1:N23)+1,0)</f>
        <v>23</v>
      </c>
      <c r="O24" s="175">
        <f>IF(ISNUMBER(SEARCH('Карта учёта'!$B$22,Расходка[Наименование расходного материала])),MAX($O$1:O23)+1,0)</f>
        <v>23</v>
      </c>
      <c r="P24" s="175">
        <f>IF(ISNUMBER(SEARCH('Карта учёта'!$B$23,Расходка[Наименование расходного материала])),MAX($P$1:P23)+1,0)</f>
        <v>23</v>
      </c>
      <c r="Q24" s="175">
        <f>IF(ISNUMBER(SEARCH('Карта учёта'!$B$24,Расходка[Наименование расходного материала])),MAX($Q$1:Q23)+1,0)</f>
        <v>23</v>
      </c>
      <c r="R24" s="174" t="str">
        <f>IFERROR(INDEX(Расходка[Наименование расходного материала],MATCH(Расходка[№],Поиск_расходки[Индекс1],0)),"")</f>
        <v/>
      </c>
      <c r="S24" s="174" t="str">
        <f>IFERROR(INDEX(Расходка[Наименование расходного материала],MATCH(Расходка[№],Поиск_расходки[Индекс2],0)),"")</f>
        <v/>
      </c>
      <c r="T24" s="174" t="str">
        <f>IFERROR(INDEX(Расходка[Наименование расходного материала],MATCH(Расходка[№],Поиск_расходки[Индекс3],0)),"")</f>
        <v/>
      </c>
      <c r="U24" s="174" t="str">
        <f>IFERROR(INDEX(Расходка[Наименование расходного материала],MATCH(Расходка[№],Поиск_расходки[Индекс4],0)),"")</f>
        <v/>
      </c>
      <c r="V24" s="174" t="str">
        <f>IFERROR(INDEX(Расходка[Наименование расходного материала],MATCH(Расходка[№],Поиск_расходки[Индекс5],0)),"")</f>
        <v/>
      </c>
      <c r="W24" s="174" t="str">
        <f>IFERROR(INDEX(Расходка[Наименование расходного материала],MATCH(Расходка[№],Поиск_расходки[Индекс6],0)),"")</f>
        <v/>
      </c>
      <c r="X24" s="174" t="str">
        <f>IFERROR(INDEX(Расходка[Наименование расходного материала],MATCH(Расходка[№],Поиск_расходки[Индекс7],0)),"")</f>
        <v xml:space="preserve">Launcher 7F JR 4.0, Medtronic </v>
      </c>
      <c r="Y24" s="174" t="str">
        <f>IFERROR(INDEX(Расходка[Наименование расходного материала],MATCH(Расходка[№],Поиск_расходки[Индекс8],0)),"")</f>
        <v xml:space="preserve">Launcher 7F JR 4.0, Medtronic </v>
      </c>
      <c r="Z24" s="174" t="str">
        <f>IFERROR(INDEX(Расходка[Наименование расходного материала],MATCH(Расходка[№],Поиск_расходки[Индекс9],0)),"")</f>
        <v xml:space="preserve">Launcher 7F JR 4.0, Medtronic </v>
      </c>
      <c r="AA24" s="174" t="str">
        <f>IFERROR(INDEX(Расходка[Наименование расходного материала],MATCH(Расходка[№],Поиск_расходки[Индекс10],0)),"")</f>
        <v xml:space="preserve">Launcher 7F JR 4.0, Medtronic </v>
      </c>
      <c r="AB24" s="174" t="str">
        <f>IFERROR(INDEX(Расходка[Наименование расходного материала],MATCH(Расходка[№],Поиск_расходки[Индекс11],0)),"")</f>
        <v xml:space="preserve">Launcher 7F JR 4.0, Medtronic </v>
      </c>
      <c r="AC24" s="174" t="str">
        <f>IFERROR(INDEX(Расходка[Наименование расходного материала],MATCH(Расходка[№],Поиск_расходки[Индекс12],0)),"")</f>
        <v xml:space="preserve">Launcher 7F JR 4.0, Medtronic </v>
      </c>
      <c r="AD24" s="174" t="str">
        <f>IFERROR(INDEX(Расходка[Наименование расходного материала],MATCH(Расходка[№],Поиск_расходки[Индекс13],0)),"")</f>
        <v xml:space="preserve">Launcher 7F JR 4.0, Medtronic </v>
      </c>
      <c r="AF24" s="4" t="s">
        <v>5</v>
      </c>
      <c r="AG24" s="4" t="s">
        <v>124</v>
      </c>
    </row>
    <row r="25" spans="1:33">
      <c r="A25">
        <v>24</v>
      </c>
      <c r="B25" t="s">
        <v>403</v>
      </c>
      <c r="C25" s="1" t="s">
        <v>132</v>
      </c>
      <c r="E25" s="175">
        <f>IF(ISNUMBER(SEARCH('Карта учёта'!$B$12,Расходка[[#This Row],[Наименование расходного материала]])),MAX($E$1:E24)+1,0)</f>
        <v>0</v>
      </c>
      <c r="F25" s="175">
        <f>IF(ISNUMBER(SEARCH('Карта учёта'!$B$13,Расходка[[#This Row],[Наименование расходного материала]])),MAX($F$1:F24)+1,0)</f>
        <v>0</v>
      </c>
      <c r="G25" s="175">
        <f>IF(ISNUMBER(SEARCH('Карта учёта'!$B$14,Расходка[Наименование расходного материала])),MAX($G$1:G24)+1,0)</f>
        <v>0</v>
      </c>
      <c r="H25" s="175">
        <f>IF(ISNUMBER(SEARCH('Карта учёта'!$B$15,Расходка[Наименование расходного материала])),MAX($H$1:H24)+1,0)</f>
        <v>0</v>
      </c>
      <c r="I25" s="175">
        <f>IF(ISNUMBER(SEARCH('Карта учёта'!$B$16,Расходка[Наименование расходного материала])),MAX($I$1:I24)+1,0)</f>
        <v>0</v>
      </c>
      <c r="J25" s="175">
        <f>IF(ISNUMBER(SEARCH('Карта учёта'!$B$17,Расходка[Наименование расходного материала])),MAX($J$1:J24)+1,0)</f>
        <v>0</v>
      </c>
      <c r="K25" s="175">
        <f>IF(ISNUMBER(SEARCH('Карта учёта'!$B$18,Расходка[Наименование расходного материала])),MAX($K$1:K24)+1,0)</f>
        <v>24</v>
      </c>
      <c r="L25" s="175">
        <f>IF(ISNUMBER(SEARCH('Карта учёта'!$B$19,Расходка[Наименование расходного материала])),MAX($L$1:L24)+1,0)</f>
        <v>24</v>
      </c>
      <c r="M25" s="175">
        <f>IF(ISNUMBER(SEARCH('Карта учёта'!$B$20,Расходка[Наименование расходного материала])),MAX($M$1:M24)+1,0)</f>
        <v>24</v>
      </c>
      <c r="N25" s="178">
        <f>IF(ISNUMBER(SEARCH('Карта учёта'!$B$21,Расходка[Наименование расходного материала])),MAX($N$1:N24)+1,0)</f>
        <v>24</v>
      </c>
      <c r="O25" s="175">
        <f>IF(ISNUMBER(SEARCH('Карта учёта'!$B$22,Расходка[Наименование расходного материала])),MAX($O$1:O24)+1,0)</f>
        <v>24</v>
      </c>
      <c r="P25" s="175">
        <f>IF(ISNUMBER(SEARCH('Карта учёта'!$B$23,Расходка[Наименование расходного материала])),MAX($P$1:P24)+1,0)</f>
        <v>24</v>
      </c>
      <c r="Q25" s="175">
        <f>IF(ISNUMBER(SEARCH('Карта учёта'!$B$24,Расходка[Наименование расходного материала])),MAX($Q$1:Q24)+1,0)</f>
        <v>24</v>
      </c>
      <c r="R25" s="174" t="str">
        <f>IFERROR(INDEX(Расходка[Наименование расходного материала],MATCH(Расходка[№],Поиск_расходки[Индекс1],0)),"")</f>
        <v/>
      </c>
      <c r="S25" s="174" t="str">
        <f>IFERROR(INDEX(Расходка[Наименование расходного материала],MATCH(Расходка[№],Поиск_расходки[Индекс2],0)),"")</f>
        <v/>
      </c>
      <c r="T25" s="174" t="str">
        <f>IFERROR(INDEX(Расходка[Наименование расходного материала],MATCH(Расходка[№],Поиск_расходки[Индекс3],0)),"")</f>
        <v/>
      </c>
      <c r="U25" s="174" t="str">
        <f>IFERROR(INDEX(Расходка[Наименование расходного материала],MATCH(Расходка[№],Поиск_расходки[Индекс4],0)),"")</f>
        <v/>
      </c>
      <c r="V25" s="174" t="str">
        <f>IFERROR(INDEX(Расходка[Наименование расходного материала],MATCH(Расходка[№],Поиск_расходки[Индекс5],0)),"")</f>
        <v/>
      </c>
      <c r="W25" s="174" t="str">
        <f>IFERROR(INDEX(Расходка[Наименование расходного материала],MATCH(Расходка[№],Поиск_расходки[Индекс6],0)),"")</f>
        <v/>
      </c>
      <c r="X25" s="174" t="str">
        <f>IFERROR(INDEX(Расходка[Наименование расходного материала],MATCH(Расходка[№],Поиск_расходки[Индекс7],0)),"")</f>
        <v>Angio-Seal™ VIP, Terumo</v>
      </c>
      <c r="Y25" s="174" t="str">
        <f>IFERROR(INDEX(Расходка[Наименование расходного материала],MATCH(Расходка[№],Поиск_расходки[Индекс8],0)),"")</f>
        <v>Angio-Seal™ VIP, Terumo</v>
      </c>
      <c r="Z25" s="174" t="str">
        <f>IFERROR(INDEX(Расходка[Наименование расходного материала],MATCH(Расходка[№],Поиск_расходки[Индекс9],0)),"")</f>
        <v>Angio-Seal™ VIP, Terumo</v>
      </c>
      <c r="AA25" s="174" t="str">
        <f>IFERROR(INDEX(Расходка[Наименование расходного материала],MATCH(Расходка[№],Поиск_расходки[Индекс10],0)),"")</f>
        <v>Angio-Seal™ VIP, Terumo</v>
      </c>
      <c r="AB25" s="174" t="str">
        <f>IFERROR(INDEX(Расходка[Наименование расходного материала],MATCH(Расходка[№],Поиск_расходки[Индекс11],0)),"")</f>
        <v>Angio-Seal™ VIP, Terumo</v>
      </c>
      <c r="AC25" s="174" t="str">
        <f>IFERROR(INDEX(Расходка[Наименование расходного материала],MATCH(Расходка[№],Поиск_расходки[Индекс12],0)),"")</f>
        <v>Angio-Seal™ VIP, Terumo</v>
      </c>
      <c r="AD25" s="174" t="str">
        <f>IFERROR(INDEX(Расходка[Наименование расходного материала],MATCH(Расходка[№],Поиск_расходки[Индекс13],0)),"")</f>
        <v>Angio-Seal™ VIP, Terumo</v>
      </c>
      <c r="AF25" s="4" t="s">
        <v>6</v>
      </c>
      <c r="AG25" s="4" t="s">
        <v>174</v>
      </c>
    </row>
    <row r="26" spans="1:33"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F26" s="4" t="s">
        <v>6</v>
      </c>
      <c r="AG26" s="4" t="s">
        <v>175</v>
      </c>
    </row>
    <row r="27" spans="1:33">
      <c r="C27" s="1"/>
      <c r="N27" s="176"/>
      <c r="AF27" s="4" t="s">
        <v>6</v>
      </c>
      <c r="AG27" s="4" t="s">
        <v>178</v>
      </c>
    </row>
    <row r="28" spans="1:33">
      <c r="C28" s="1"/>
      <c r="N28" s="176"/>
      <c r="AF28" s="4" t="s">
        <v>6</v>
      </c>
      <c r="AG28" s="4" t="s">
        <v>180</v>
      </c>
    </row>
    <row r="29" spans="1:33">
      <c r="C29" s="1"/>
      <c r="N29" s="176"/>
      <c r="AF29" s="4" t="s">
        <v>6</v>
      </c>
      <c r="AG29" s="4" t="s">
        <v>179</v>
      </c>
    </row>
    <row r="30" spans="1:33">
      <c r="N30" s="176"/>
      <c r="AF30" s="4" t="s">
        <v>6</v>
      </c>
      <c r="AG30" s="4" t="s">
        <v>182</v>
      </c>
    </row>
    <row r="31" spans="1:33">
      <c r="N31" s="176"/>
      <c r="AF31" s="4" t="s">
        <v>6</v>
      </c>
      <c r="AG31" s="4" t="s">
        <v>183</v>
      </c>
    </row>
    <row r="32" spans="1:33">
      <c r="AF32" s="4" t="s">
        <v>6</v>
      </c>
      <c r="AG32" s="4" t="s">
        <v>190</v>
      </c>
    </row>
    <row r="33" spans="3:33">
      <c r="AF33" s="4" t="s">
        <v>6</v>
      </c>
      <c r="AG33" s="4" t="s">
        <v>184</v>
      </c>
    </row>
    <row r="34" spans="3:33">
      <c r="AF34" s="4" t="s">
        <v>6</v>
      </c>
      <c r="AG34" s="4" t="s">
        <v>185</v>
      </c>
    </row>
    <row r="35" spans="3:33">
      <c r="AF35" s="4" t="s">
        <v>6</v>
      </c>
      <c r="AG35" s="4" t="s">
        <v>186</v>
      </c>
    </row>
    <row r="36" spans="3:33">
      <c r="AF36" s="4" t="s">
        <v>6</v>
      </c>
      <c r="AG36" s="4" t="s">
        <v>187</v>
      </c>
    </row>
    <row r="37" spans="3:33">
      <c r="AF37" s="4" t="s">
        <v>6</v>
      </c>
      <c r="AG37" s="4" t="s">
        <v>188</v>
      </c>
    </row>
    <row r="38" spans="3:33">
      <c r="C38" s="1"/>
      <c r="AF38" s="4" t="s">
        <v>6</v>
      </c>
      <c r="AG38" s="4" t="s">
        <v>189</v>
      </c>
    </row>
    <row r="39" spans="3:33">
      <c r="AF39" s="4" t="s">
        <v>6</v>
      </c>
      <c r="AG39" s="4" t="s">
        <v>113</v>
      </c>
    </row>
    <row r="40" spans="3:33">
      <c r="AF40" s="4" t="s">
        <v>6</v>
      </c>
      <c r="AG40" s="4" t="s">
        <v>176</v>
      </c>
    </row>
    <row r="41" spans="3:33">
      <c r="AF41" s="4" t="s">
        <v>6</v>
      </c>
      <c r="AG41" s="4" t="s">
        <v>191</v>
      </c>
    </row>
    <row r="42" spans="3:33">
      <c r="AF42" s="4" t="s">
        <v>6</v>
      </c>
      <c r="AG42" s="4" t="s">
        <v>181</v>
      </c>
    </row>
    <row r="43" spans="3:33">
      <c r="AF43" s="4" t="s">
        <v>6</v>
      </c>
      <c r="AG43" s="4" t="s">
        <v>192</v>
      </c>
    </row>
    <row r="44" spans="3:33">
      <c r="AF44" s="4" t="s">
        <v>6</v>
      </c>
      <c r="AG44" s="4" t="s">
        <v>193</v>
      </c>
    </row>
    <row r="45" spans="3:33">
      <c r="AF45" s="4" t="s">
        <v>6</v>
      </c>
      <c r="AG45" s="4" t="s">
        <v>194</v>
      </c>
    </row>
    <row r="46" spans="3:33">
      <c r="AF46" s="4" t="s">
        <v>6</v>
      </c>
      <c r="AG46" s="4" t="s">
        <v>202</v>
      </c>
    </row>
    <row r="47" spans="3:33">
      <c r="AF47" s="4" t="s">
        <v>6</v>
      </c>
      <c r="AG47" s="4" t="s">
        <v>118</v>
      </c>
    </row>
    <row r="48" spans="3:33">
      <c r="AF48" s="4" t="s">
        <v>6</v>
      </c>
      <c r="AG48" s="4" t="s">
        <v>195</v>
      </c>
    </row>
    <row r="49" spans="32:33">
      <c r="AF49" s="4" t="s">
        <v>6</v>
      </c>
      <c r="AG49" s="4" t="s">
        <v>196</v>
      </c>
    </row>
    <row r="50" spans="32:33">
      <c r="AF50" s="4" t="s">
        <v>6</v>
      </c>
      <c r="AG50" s="4" t="s">
        <v>197</v>
      </c>
    </row>
    <row r="51" spans="32:33">
      <c r="AF51" s="4" t="s">
        <v>6</v>
      </c>
      <c r="AG51" s="4" t="s">
        <v>198</v>
      </c>
    </row>
    <row r="52" spans="32:33">
      <c r="AF52" s="4" t="s">
        <v>6</v>
      </c>
      <c r="AG52" s="4" t="s">
        <v>199</v>
      </c>
    </row>
    <row r="53" spans="32:33">
      <c r="AF53" s="4" t="s">
        <v>6</v>
      </c>
      <c r="AG53" s="4" t="s">
        <v>200</v>
      </c>
    </row>
    <row r="54" spans="32:33">
      <c r="AF54" s="4" t="s">
        <v>6</v>
      </c>
      <c r="AG54" s="4" t="s">
        <v>201</v>
      </c>
    </row>
    <row r="55" spans="32:33">
      <c r="AF55" s="4" t="s">
        <v>6</v>
      </c>
      <c r="AG55" s="4" t="s">
        <v>122</v>
      </c>
    </row>
    <row r="56" spans="32:33">
      <c r="AF56" s="4" t="s">
        <v>6</v>
      </c>
      <c r="AG56" s="4" t="s">
        <v>177</v>
      </c>
    </row>
    <row r="57" spans="32:33">
      <c r="AF57" s="4" t="s">
        <v>6</v>
      </c>
      <c r="AG57" s="4" t="s">
        <v>203</v>
      </c>
    </row>
  </sheetData>
  <phoneticPr fontId="11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opLeftCell="A64" zoomScale="90" zoomScaleNormal="90" workbookViewId="0">
      <selection activeCell="I89" sqref="I8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153</v>
      </c>
      <c r="B1" t="s">
        <v>152</v>
      </c>
      <c r="C1" t="s">
        <v>154</v>
      </c>
      <c r="E1" t="s">
        <v>257</v>
      </c>
    </row>
    <row r="2" spans="1:5">
      <c r="A2" t="s">
        <v>214</v>
      </c>
      <c r="B2" t="s">
        <v>148</v>
      </c>
      <c r="C2" t="str">
        <f t="shared" ref="C2:C15" si="0">CONCATENATE(A2,B2)</f>
        <v xml:space="preserve">Заведующий отделения: Д.В. Карчевский </v>
      </c>
      <c r="E2" t="s">
        <v>254</v>
      </c>
    </row>
    <row r="3" spans="1:5">
      <c r="A3" t="s">
        <v>166</v>
      </c>
      <c r="B3" t="s">
        <v>150</v>
      </c>
      <c r="C3" t="str">
        <f t="shared" si="0"/>
        <v xml:space="preserve">И/О заведующего отделения: В.Л. Мартынко </v>
      </c>
      <c r="E3" t="s">
        <v>261</v>
      </c>
    </row>
    <row r="4" spans="1:5">
      <c r="A4" t="s">
        <v>149</v>
      </c>
      <c r="B4" t="s">
        <v>159</v>
      </c>
      <c r="C4" t="str">
        <f t="shared" si="0"/>
        <v>Оператор: В.В. Анохин</v>
      </c>
      <c r="E4" t="s">
        <v>255</v>
      </c>
    </row>
    <row r="5" spans="1:5">
      <c r="A5" t="s">
        <v>149</v>
      </c>
      <c r="B5" t="s">
        <v>157</v>
      </c>
      <c r="C5" t="str">
        <f t="shared" si="0"/>
        <v xml:space="preserve">Оператор: А.В. Воронков </v>
      </c>
      <c r="E5" t="s">
        <v>252</v>
      </c>
    </row>
    <row r="6" spans="1:5">
      <c r="A6" t="s">
        <v>149</v>
      </c>
      <c r="B6" t="s">
        <v>160</v>
      </c>
      <c r="C6" t="str">
        <f t="shared" si="0"/>
        <v>Оператор: И.Н. Зимин</v>
      </c>
      <c r="E6" t="s">
        <v>406</v>
      </c>
    </row>
    <row r="7" spans="1:5">
      <c r="A7" t="s">
        <v>149</v>
      </c>
      <c r="B7" t="s">
        <v>148</v>
      </c>
      <c r="C7" t="str">
        <f t="shared" si="0"/>
        <v xml:space="preserve">Оператор: Д.В. Карчевский </v>
      </c>
      <c r="E7" t="s">
        <v>262</v>
      </c>
    </row>
    <row r="8" spans="1:5">
      <c r="A8" t="s">
        <v>149</v>
      </c>
      <c r="B8" t="s">
        <v>150</v>
      </c>
      <c r="C8" t="str">
        <f t="shared" si="0"/>
        <v xml:space="preserve">Оператор: В.Л. Мартынко </v>
      </c>
      <c r="E8" t="s">
        <v>263</v>
      </c>
    </row>
    <row r="9" spans="1:5">
      <c r="A9" t="s">
        <v>149</v>
      </c>
      <c r="B9" t="s">
        <v>155</v>
      </c>
      <c r="C9" t="str">
        <f t="shared" si="0"/>
        <v xml:space="preserve">Оператор: А.С. Меренков </v>
      </c>
      <c r="E9" t="s">
        <v>264</v>
      </c>
    </row>
    <row r="10" spans="1:5">
      <c r="A10" t="s">
        <v>149</v>
      </c>
      <c r="B10" t="s">
        <v>158</v>
      </c>
      <c r="C10" t="str">
        <f t="shared" si="0"/>
        <v xml:space="preserve">Оператор: О.В. Мещеряков </v>
      </c>
      <c r="E10" t="s">
        <v>265</v>
      </c>
    </row>
    <row r="11" spans="1:5">
      <c r="A11" t="s">
        <v>149</v>
      </c>
      <c r="B11" t="s">
        <v>156</v>
      </c>
      <c r="C11" t="str">
        <f t="shared" si="0"/>
        <v xml:space="preserve">Оператор: И.А. Московский </v>
      </c>
      <c r="E11" t="s">
        <v>266</v>
      </c>
    </row>
    <row r="12" spans="1:5">
      <c r="A12" t="s">
        <v>149</v>
      </c>
      <c r="B12" t="s">
        <v>163</v>
      </c>
      <c r="C12" s="14" t="str">
        <f>CONCATENATE(A12,B12)</f>
        <v>Оператор: А.Ф. Паращенко</v>
      </c>
    </row>
    <row r="13" spans="1:5">
      <c r="A13" t="s">
        <v>149</v>
      </c>
      <c r="B13" t="s">
        <v>151</v>
      </c>
      <c r="C13" t="str">
        <f t="shared" si="0"/>
        <v xml:space="preserve">Оператор: А.С. Щербаков </v>
      </c>
    </row>
    <row r="14" spans="1:5">
      <c r="A14" t="s">
        <v>162</v>
      </c>
      <c r="B14" t="s">
        <v>164</v>
      </c>
      <c r="C14" t="str">
        <f t="shared" si="0"/>
        <v>Старшая мед.сетра: О.Н. Черткова</v>
      </c>
    </row>
    <row r="15" spans="1:5">
      <c r="A15" t="s">
        <v>165</v>
      </c>
      <c r="B15" t="s">
        <v>161</v>
      </c>
      <c r="C15" t="str">
        <f t="shared" si="0"/>
        <v xml:space="preserve">И/О старшей мед.сетры: А. Нефёдова </v>
      </c>
    </row>
    <row r="17" spans="1:2">
      <c r="A17" t="s">
        <v>257</v>
      </c>
      <c r="B17" t="s">
        <v>256</v>
      </c>
    </row>
    <row r="18" spans="1:2">
      <c r="A18" t="s">
        <v>252</v>
      </c>
      <c r="B18" t="s">
        <v>355</v>
      </c>
    </row>
    <row r="19" spans="1:2">
      <c r="A19" t="s">
        <v>252</v>
      </c>
      <c r="B19" t="s">
        <v>258</v>
      </c>
    </row>
    <row r="20" spans="1:2">
      <c r="A20" t="s">
        <v>252</v>
      </c>
      <c r="B20" t="s">
        <v>415</v>
      </c>
    </row>
    <row r="21" spans="1:2">
      <c r="A21" t="s">
        <v>252</v>
      </c>
      <c r="B21" t="s">
        <v>338</v>
      </c>
    </row>
    <row r="22" spans="1:2">
      <c r="A22" t="s">
        <v>252</v>
      </c>
      <c r="B22" t="s">
        <v>352</v>
      </c>
    </row>
    <row r="23" spans="1:2">
      <c r="A23" t="s">
        <v>252</v>
      </c>
      <c r="B23" t="s">
        <v>356</v>
      </c>
    </row>
    <row r="24" spans="1:2">
      <c r="A24" t="s">
        <v>252</v>
      </c>
      <c r="B24" t="s">
        <v>344</v>
      </c>
    </row>
    <row r="25" spans="1:2">
      <c r="A25" t="s">
        <v>252</v>
      </c>
      <c r="B25" t="s">
        <v>343</v>
      </c>
    </row>
    <row r="26" spans="1:2">
      <c r="A26" t="s">
        <v>252</v>
      </c>
      <c r="B26" t="s">
        <v>405</v>
      </c>
    </row>
    <row r="27" spans="1:2">
      <c r="A27" t="s">
        <v>252</v>
      </c>
      <c r="B27" t="s">
        <v>342</v>
      </c>
    </row>
    <row r="28" spans="1:2">
      <c r="A28" t="s">
        <v>252</v>
      </c>
      <c r="B28" t="s">
        <v>358</v>
      </c>
    </row>
    <row r="29" spans="1:2">
      <c r="A29" t="s">
        <v>252</v>
      </c>
      <c r="B29" t="s">
        <v>351</v>
      </c>
    </row>
    <row r="30" spans="1:2">
      <c r="A30" t="s">
        <v>252</v>
      </c>
      <c r="B30" t="s">
        <v>337</v>
      </c>
    </row>
    <row r="31" spans="1:2">
      <c r="A31" t="s">
        <v>252</v>
      </c>
      <c r="B31" t="s">
        <v>341</v>
      </c>
    </row>
    <row r="32" spans="1:2">
      <c r="A32" t="s">
        <v>252</v>
      </c>
      <c r="B32" t="s">
        <v>336</v>
      </c>
    </row>
    <row r="33" spans="1:2">
      <c r="A33" t="s">
        <v>252</v>
      </c>
      <c r="B33" t="s">
        <v>354</v>
      </c>
    </row>
    <row r="34" spans="1:2">
      <c r="A34" t="s">
        <v>252</v>
      </c>
      <c r="B34" t="s">
        <v>353</v>
      </c>
    </row>
    <row r="35" spans="1:2">
      <c r="A35" t="s">
        <v>252</v>
      </c>
      <c r="B35" t="s">
        <v>345</v>
      </c>
    </row>
    <row r="36" spans="1:2">
      <c r="A36" t="s">
        <v>252</v>
      </c>
      <c r="B36" t="s">
        <v>339</v>
      </c>
    </row>
    <row r="37" spans="1:2">
      <c r="A37" t="s">
        <v>252</v>
      </c>
      <c r="B37" t="s">
        <v>340</v>
      </c>
    </row>
    <row r="38" spans="1:2">
      <c r="A38" t="s">
        <v>406</v>
      </c>
      <c r="B38" t="s">
        <v>348</v>
      </c>
    </row>
    <row r="39" spans="1:2">
      <c r="A39" t="s">
        <v>406</v>
      </c>
      <c r="B39" t="s">
        <v>349</v>
      </c>
    </row>
    <row r="40" spans="1:2">
      <c r="A40" t="s">
        <v>406</v>
      </c>
      <c r="B40" t="s">
        <v>350</v>
      </c>
    </row>
    <row r="41" spans="1:2">
      <c r="A41" t="s">
        <v>406</v>
      </c>
      <c r="B41" t="s">
        <v>260</v>
      </c>
    </row>
    <row r="42" spans="1:2">
      <c r="A42" t="s">
        <v>406</v>
      </c>
      <c r="B42" t="s">
        <v>346</v>
      </c>
    </row>
    <row r="43" spans="1:2">
      <c r="A43" t="s">
        <v>406</v>
      </c>
      <c r="B43" t="s">
        <v>357</v>
      </c>
    </row>
    <row r="44" spans="1:2">
      <c r="A44" t="s">
        <v>406</v>
      </c>
      <c r="B44" t="s">
        <v>259</v>
      </c>
    </row>
    <row r="45" spans="1:2">
      <c r="A45" t="s">
        <v>406</v>
      </c>
      <c r="B45" t="s">
        <v>347</v>
      </c>
    </row>
    <row r="46" spans="1:2">
      <c r="A46" t="s">
        <v>253</v>
      </c>
      <c r="B46" t="s">
        <v>226</v>
      </c>
    </row>
    <row r="47" spans="1:2">
      <c r="A47" t="s">
        <v>253</v>
      </c>
      <c r="B47" t="s">
        <v>229</v>
      </c>
    </row>
    <row r="48" spans="1:2">
      <c r="A48" t="s">
        <v>253</v>
      </c>
      <c r="B48" t="s">
        <v>232</v>
      </c>
    </row>
    <row r="49" spans="1:2">
      <c r="A49" t="s">
        <v>253</v>
      </c>
      <c r="B49" t="s">
        <v>235</v>
      </c>
    </row>
    <row r="50" spans="1:2">
      <c r="A50" t="s">
        <v>253</v>
      </c>
      <c r="B50" t="s">
        <v>238</v>
      </c>
    </row>
    <row r="51" spans="1:2">
      <c r="A51" t="s">
        <v>253</v>
      </c>
      <c r="B51" t="s">
        <v>241</v>
      </c>
    </row>
    <row r="52" spans="1:2">
      <c r="A52" t="s">
        <v>253</v>
      </c>
      <c r="B52" t="s">
        <v>246</v>
      </c>
    </row>
    <row r="53" spans="1:2">
      <c r="A53" t="s">
        <v>253</v>
      </c>
      <c r="B53" t="s">
        <v>365</v>
      </c>
    </row>
    <row r="54" spans="1:2">
      <c r="A54" t="s">
        <v>253</v>
      </c>
      <c r="B54" t="s">
        <v>248</v>
      </c>
    </row>
    <row r="55" spans="1:2">
      <c r="A55" t="s">
        <v>253</v>
      </c>
      <c r="B55" t="s">
        <v>249</v>
      </c>
    </row>
    <row r="56" spans="1:2">
      <c r="A56" t="s">
        <v>253</v>
      </c>
      <c r="B56" t="s">
        <v>250</v>
      </c>
    </row>
    <row r="57" spans="1:2">
      <c r="A57" t="s">
        <v>253</v>
      </c>
      <c r="B57" t="s">
        <v>251</v>
      </c>
    </row>
    <row r="58" spans="1:2">
      <c r="A58" t="s">
        <v>253</v>
      </c>
      <c r="B58" t="s">
        <v>223</v>
      </c>
    </row>
    <row r="59" spans="1:2">
      <c r="A59" t="s">
        <v>253</v>
      </c>
      <c r="B59" t="s">
        <v>267</v>
      </c>
    </row>
    <row r="60" spans="1:2">
      <c r="A60" t="s">
        <v>254</v>
      </c>
      <c r="B60" t="s">
        <v>225</v>
      </c>
    </row>
    <row r="61" spans="1:2">
      <c r="A61" t="s">
        <v>254</v>
      </c>
      <c r="B61" t="s">
        <v>228</v>
      </c>
    </row>
    <row r="62" spans="1:2">
      <c r="A62" t="s">
        <v>254</v>
      </c>
      <c r="B62" t="s">
        <v>222</v>
      </c>
    </row>
    <row r="63" spans="1:2">
      <c r="A63" t="s">
        <v>254</v>
      </c>
      <c r="B63" t="s">
        <v>231</v>
      </c>
    </row>
    <row r="64" spans="1:2">
      <c r="A64" t="s">
        <v>254</v>
      </c>
      <c r="B64" t="s">
        <v>234</v>
      </c>
    </row>
    <row r="65" spans="1:2">
      <c r="A65" t="s">
        <v>254</v>
      </c>
      <c r="B65" t="s">
        <v>237</v>
      </c>
    </row>
    <row r="66" spans="1:2">
      <c r="A66" t="s">
        <v>254</v>
      </c>
      <c r="B66" t="s">
        <v>240</v>
      </c>
    </row>
    <row r="67" spans="1:2">
      <c r="A67" t="s">
        <v>254</v>
      </c>
      <c r="B67" t="s">
        <v>243</v>
      </c>
    </row>
    <row r="68" spans="1:2">
      <c r="A68" t="s">
        <v>254</v>
      </c>
      <c r="B68" t="s">
        <v>245</v>
      </c>
    </row>
    <row r="69" spans="1:2">
      <c r="A69" t="s">
        <v>266</v>
      </c>
      <c r="B69" t="s">
        <v>224</v>
      </c>
    </row>
    <row r="70" spans="1:2">
      <c r="A70" t="s">
        <v>266</v>
      </c>
      <c r="B70" t="s">
        <v>364</v>
      </c>
    </row>
    <row r="71" spans="1:2">
      <c r="A71" t="s">
        <v>266</v>
      </c>
      <c r="B71" t="s">
        <v>227</v>
      </c>
    </row>
    <row r="72" spans="1:2">
      <c r="A72" t="s">
        <v>266</v>
      </c>
      <c r="B72" t="s">
        <v>230</v>
      </c>
    </row>
    <row r="73" spans="1:2">
      <c r="A73" t="s">
        <v>266</v>
      </c>
      <c r="B73" t="s">
        <v>233</v>
      </c>
    </row>
    <row r="74" spans="1:2">
      <c r="A74" t="s">
        <v>266</v>
      </c>
      <c r="B74" t="s">
        <v>236</v>
      </c>
    </row>
    <row r="75" spans="1:2">
      <c r="A75" t="s">
        <v>266</v>
      </c>
      <c r="B75" t="s">
        <v>242</v>
      </c>
    </row>
    <row r="76" spans="1:2">
      <c r="A76" t="s">
        <v>266</v>
      </c>
      <c r="B76" t="s">
        <v>239</v>
      </c>
    </row>
    <row r="77" spans="1:2">
      <c r="A77" t="s">
        <v>266</v>
      </c>
      <c r="B77" t="s">
        <v>244</v>
      </c>
    </row>
    <row r="78" spans="1:2">
      <c r="A78" t="s">
        <v>266</v>
      </c>
      <c r="B78" t="s">
        <v>247</v>
      </c>
    </row>
  </sheetData>
  <phoneticPr fontId="11" type="noConversion"/>
  <dataValidations count="1">
    <dataValidation type="list" allowBlank="1" showInputMessage="1" showErrorMessage="1" sqref="A18:A78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2022-03-21T10:23:46Z</cp:lastPrinted>
  <dcterms:created xsi:type="dcterms:W3CDTF">2015-06-05T18:19:34Z</dcterms:created>
  <dcterms:modified xsi:type="dcterms:W3CDTF">2022-03-21T16:54:10Z</dcterms:modified>
</cp:coreProperties>
</file>