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2\05\04\"/>
    </mc:Choice>
  </mc:AlternateContent>
  <bookViews>
    <workbookView xWindow="-105" yWindow="-105" windowWidth="23250" windowHeight="12570" activeTab="1"/>
  </bookViews>
  <sheets>
    <sheet name="КАГ" sheetId="6" r:id="rId1"/>
    <sheet name="ЧКВ" sheetId="9" r:id="rId2"/>
    <sheet name="Карта учёта" sheetId="3" r:id="rId3"/>
    <sheet name="Вмешательства" sheetId="4" r:id="rId4"/>
    <sheet name="Расходный материал" sheetId="1" r:id="rId5"/>
    <sheet name="Сотрудники" sheetId="5" r:id="rId6"/>
  </sheets>
  <definedNames>
    <definedName name="_xlnm._FilterDatabase" localSheetId="0" hidden="1">КАГ!#REF!</definedName>
    <definedName name="_xlnm._FilterDatabase" localSheetId="2" hidden="1">'Карта учёта'!$C$4:$D$8</definedName>
    <definedName name="_xlnm._FilterDatabase" localSheetId="1" hidden="1">ЧКВ!#REF!</definedName>
    <definedName name="ВЫП.Список_Расходка_1">OFFSET('Расходный материал'!$R$2,0,0,MAX('Расходный материал'!$E:$E),1)</definedName>
    <definedName name="ВЫП.Список_Расходка_10">OFFSET('Расходный материал'!$AA$2,0,0,MAX('Расходный материал'!$N:$N),1)</definedName>
    <definedName name="ВЫП.Список_Расходка_11">OFFSET('Расходный материал'!$AB$2,0,0,MAX('Расходный материал'!$O:$O),1)</definedName>
    <definedName name="ВЫП.Список_Расходка_12">OFFSET('Расходный материал'!$AC$2,0,0,MAX('Расходный материал'!$P:$P),1)</definedName>
    <definedName name="ВЫП.Список_Расходка_13">OFFSET('Расходный материал'!$AD$2,0,0,MAX('Расходный материал'!$Q:$Q),1)</definedName>
    <definedName name="ВЫП.Список_Расходка_2">OFFSET('Расходный материал'!$S$2,0,0,MAX('Расходный материал'!$F:$F),1)</definedName>
    <definedName name="ВЫП.Список_Расходка_3">OFFSET('Расходный материал'!$T$2,0,0,MAX('Расходный материал'!$G:$G),1)</definedName>
    <definedName name="ВЫП.Список_Расходка_4">OFFSET('Расходный материал'!$U$2,0,0,MAX('Расходный материал'!$H:$H),1)</definedName>
    <definedName name="ВЫП.Список_Расходка_5">OFFSET('Расходный материал'!$V$2,0,0,MAX('Расходный материал'!$I:$I),1)</definedName>
    <definedName name="ВЫП.Список_Расходка_6">OFFSET('Расходный материал'!$W$2,0,0,MAX('Расходный материал'!$J:$J),1)</definedName>
    <definedName name="ВЫП.Список_Расходка_7">OFFSET('Расходный материал'!$X$2,0,0,MAX('Расходный материал'!$K:$K),1)</definedName>
    <definedName name="ВЫП.Список_Расходка_8">OFFSET('Расходный материал'!$Y$2,0,0,MAX('Расходный материал'!$L:$L),1)</definedName>
    <definedName name="ВЫП.Список_Расходка_9">OFFSET('Расходный материал'!$Z$2,0,0,MAX('Расходный материал'!$M:$M),1)</definedName>
    <definedName name="Должность_Сотрудник" localSheetId="1">OFFSET(Сотрудники_2[[#Headers],[Должность]],MATCH(Опер.Бригада12[[#This Row],[Должность]],Сотрудники_2[Должность],0),1,COUNTIF(Сотрудники_2[Должность],Опер.Бригада12[[#This Row],[Должность]]),1)</definedName>
    <definedName name="Должность_Сотрудник">OFFSET(Сотрудники_2[[#Headers],[Должность]],MATCH(Опер.Бригада[[#This Row],[Должность]],Сотрудники_2[Должность],0),1,COUNTIF(Сотрудники_2[Должность],Опер.Бригада[[#This Row],[Должность]]),1)</definedName>
    <definedName name="_xlnm.Print_Area" localSheetId="0">КАГ!$A$1:$H$54</definedName>
    <definedName name="_xlnm.Print_Area" localSheetId="2">'Карта учёта'!$A$2:$D$40</definedName>
    <definedName name="_xlnm.Print_Area" localSheetId="1">ЧКВ!$A$1:$H$54</definedName>
    <definedName name="Размеры_стентов_балонов" localSheetId="1">OFFSET(Размеры[[#Headers],[Тип]],MATCH(Карта_Учёта[[#This Row],[Тип материала ]],Размеры[Тип],0),1,COUNTIF(Размеры[Тип],Карта_Учёта[[#This Row],[Тип материала ]]),1)</definedName>
    <definedName name="Размеры_стентов_балонов">OFFSET(Размеры[[#Headers],[Тип]],MATCH(Карта_Учёта[[#This Row],[Тип материала ]],Размеры[Тип],0),1,COUNTIF(Размеры[Тип],Карта_Учёта[[#This Row],[Тип материала ]]),1)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" i="9" l="1"/>
  <c r="C2" i="3" l="1"/>
  <c r="A16" i="3" l="1"/>
  <c r="B5" i="3" l="1"/>
  <c r="B15" i="9" l="1"/>
  <c r="H20" i="9" l="1"/>
  <c r="G20" i="9"/>
  <c r="G17" i="9" l="1"/>
  <c r="Q2" i="1"/>
  <c r="P2" i="1"/>
  <c r="O2" i="1"/>
  <c r="N2" i="1"/>
  <c r="M2" i="1"/>
  <c r="L2" i="1"/>
  <c r="K2" i="1"/>
  <c r="I2" i="1"/>
  <c r="J2" i="1"/>
  <c r="A10" i="9"/>
  <c r="A9" i="3" s="1"/>
  <c r="G2" i="1"/>
  <c r="H2" i="1"/>
  <c r="F2" i="1"/>
  <c r="E2" i="1"/>
  <c r="A5" i="3"/>
  <c r="B6" i="3"/>
  <c r="G13" i="9"/>
  <c r="G51" i="9" s="1"/>
  <c r="G14" i="9"/>
  <c r="H13" i="9"/>
  <c r="G53" i="9" s="1"/>
  <c r="H14" i="9"/>
  <c r="H15" i="9"/>
  <c r="H16" i="9"/>
  <c r="H17" i="9"/>
  <c r="G16" i="9"/>
  <c r="G15" i="9"/>
  <c r="G53" i="6"/>
  <c r="B22" i="9"/>
  <c r="A22" i="9"/>
  <c r="B12" i="9"/>
  <c r="B16" i="9"/>
  <c r="B18" i="9"/>
  <c r="B19" i="9"/>
  <c r="B20" i="9"/>
  <c r="D37" i="6"/>
  <c r="G51" i="6"/>
  <c r="A8" i="9"/>
  <c r="D10" i="3"/>
  <c r="B2" i="3" s="1"/>
  <c r="D9" i="3"/>
  <c r="D8" i="3"/>
  <c r="D7" i="3"/>
  <c r="D5" i="3"/>
  <c r="D4" i="3"/>
  <c r="AK7" i="1"/>
  <c r="AK8" i="1"/>
  <c r="AK3" i="1"/>
  <c r="AK4" i="1"/>
  <c r="AK5" i="1"/>
  <c r="AK6" i="1"/>
  <c r="AK2" i="1"/>
  <c r="B13" i="6"/>
  <c r="B17" i="9" s="1"/>
  <c r="A7" i="6"/>
  <c r="A25" i="3"/>
  <c r="A26" i="3"/>
  <c r="A27" i="3"/>
  <c r="A13" i="3"/>
  <c r="A14" i="3"/>
  <c r="A15" i="3"/>
  <c r="A17" i="3"/>
  <c r="A18" i="3"/>
  <c r="A19" i="3"/>
  <c r="A20" i="3"/>
  <c r="A21" i="3"/>
  <c r="A22" i="3"/>
  <c r="A23" i="3"/>
  <c r="A24" i="3"/>
  <c r="C12" i="5"/>
  <c r="C3" i="5"/>
  <c r="C4" i="5"/>
  <c r="C5" i="5"/>
  <c r="C6" i="5"/>
  <c r="C7" i="5"/>
  <c r="C8" i="5"/>
  <c r="C9" i="5"/>
  <c r="C10" i="5"/>
  <c r="C11" i="5"/>
  <c r="C13" i="5"/>
  <c r="C14" i="5"/>
  <c r="C15" i="5"/>
  <c r="C2" i="5"/>
  <c r="H22" i="9" l="1"/>
  <c r="A8" i="3"/>
  <c r="H3" i="1"/>
  <c r="I3" i="1"/>
  <c r="L3" i="1"/>
  <c r="L4" i="1" s="1"/>
  <c r="L5" i="1" s="1"/>
  <c r="N3" i="1"/>
  <c r="N4" i="1" s="1"/>
  <c r="N5" i="1" s="1"/>
  <c r="J3" i="1"/>
  <c r="O3" i="1"/>
  <c r="O4" i="1" s="1"/>
  <c r="Q3" i="1"/>
  <c r="P3" i="1"/>
  <c r="P4" i="1" s="1"/>
  <c r="P5" i="1" s="1"/>
  <c r="P6" i="1" s="1"/>
  <c r="P7" i="1" s="1"/>
  <c r="P8" i="1" s="1"/>
  <c r="D6" i="3"/>
  <c r="G22" i="9"/>
  <c r="E3" i="1"/>
  <c r="B37" i="3"/>
  <c r="K3" i="1"/>
  <c r="K4" i="1" s="1"/>
  <c r="M3" i="1"/>
  <c r="AD2" i="1"/>
  <c r="G3" i="1"/>
  <c r="G4" i="1" s="1"/>
  <c r="H4" i="1"/>
  <c r="A6" i="3"/>
  <c r="F3" i="1"/>
  <c r="I4" i="1" l="1"/>
  <c r="Q4" i="1"/>
  <c r="J4" i="1"/>
  <c r="E4" i="1"/>
  <c r="H5" i="1"/>
  <c r="O5" i="1"/>
  <c r="L6" i="1"/>
  <c r="N6" i="1"/>
  <c r="M4" i="1"/>
  <c r="P9" i="1"/>
  <c r="K5" i="1"/>
  <c r="AC2" i="1"/>
  <c r="G5" i="1"/>
  <c r="F4" i="1"/>
  <c r="I5" i="1" l="1"/>
  <c r="J5" i="1"/>
  <c r="N7" i="1"/>
  <c r="Q5" i="1"/>
  <c r="M5" i="1"/>
  <c r="F5" i="1"/>
  <c r="E5" i="1"/>
  <c r="Q6" i="1"/>
  <c r="Q7" i="1" s="1"/>
  <c r="G6" i="1"/>
  <c r="H6" i="1"/>
  <c r="O6" i="1"/>
  <c r="L7" i="1"/>
  <c r="P10" i="1"/>
  <c r="K6" i="1"/>
  <c r="J6" i="1" l="1"/>
  <c r="J7" i="1" s="1"/>
  <c r="N8" i="1"/>
  <c r="F6" i="1"/>
  <c r="I6" i="1"/>
  <c r="G7" i="1"/>
  <c r="E6" i="1"/>
  <c r="J8" i="1"/>
  <c r="M6" i="1"/>
  <c r="H7" i="1"/>
  <c r="O7" i="1"/>
  <c r="Q8" i="1"/>
  <c r="L8" i="1"/>
  <c r="K7" i="1"/>
  <c r="P11" i="1"/>
  <c r="G8" i="1" l="1"/>
  <c r="G9" i="1" s="1"/>
  <c r="N9" i="1"/>
  <c r="E7" i="1"/>
  <c r="E8" i="1" s="1"/>
  <c r="I7" i="1"/>
  <c r="I8" i="1" s="1"/>
  <c r="I9" i="1" s="1"/>
  <c r="N10" i="1"/>
  <c r="F7" i="1"/>
  <c r="J9" i="1"/>
  <c r="J10" i="1" s="1"/>
  <c r="M7" i="1"/>
  <c r="M8" i="1" s="1"/>
  <c r="M9" i="1" s="1"/>
  <c r="O8" i="1"/>
  <c r="H8" i="1"/>
  <c r="E9" i="1"/>
  <c r="O9" i="1"/>
  <c r="O10" i="1" s="1"/>
  <c r="P12" i="1"/>
  <c r="Q9" i="1"/>
  <c r="Q10" i="1" s="1"/>
  <c r="L9" i="1"/>
  <c r="K8" i="1"/>
  <c r="N11" i="1"/>
  <c r="H9" i="1" l="1"/>
  <c r="I10" i="1"/>
  <c r="I11" i="1" s="1"/>
  <c r="I12" i="1" s="1"/>
  <c r="F8" i="1"/>
  <c r="F9" i="1" s="1"/>
  <c r="F10" i="1" s="1"/>
  <c r="F11" i="1" s="1"/>
  <c r="F12" i="1" s="1"/>
  <c r="J11" i="1"/>
  <c r="E10" i="1"/>
  <c r="M10" i="1"/>
  <c r="M11" i="1" s="1"/>
  <c r="M12" i="1" s="1"/>
  <c r="K9" i="1"/>
  <c r="K10" i="1" s="1"/>
  <c r="N12" i="1"/>
  <c r="P13" i="1"/>
  <c r="P14" i="1" s="1"/>
  <c r="Q11" i="1"/>
  <c r="Q12" i="1" s="1"/>
  <c r="Q13" i="1" s="1"/>
  <c r="O11" i="1"/>
  <c r="O12" i="1" s="1"/>
  <c r="G10" i="1"/>
  <c r="L10" i="1"/>
  <c r="J12" i="1" l="1"/>
  <c r="J13" i="1" s="1"/>
  <c r="J14" i="1" s="1"/>
  <c r="J15" i="1" s="1"/>
  <c r="J16" i="1" s="1"/>
  <c r="H10" i="1"/>
  <c r="H11" i="1" s="1"/>
  <c r="H12" i="1" s="1"/>
  <c r="H13" i="1" s="1"/>
  <c r="N13" i="1"/>
  <c r="AA2" i="1" s="1"/>
  <c r="E11" i="1"/>
  <c r="F13" i="1"/>
  <c r="G11" i="1"/>
  <c r="G12" i="1" s="1"/>
  <c r="I13" i="1"/>
  <c r="I14" i="1" s="1"/>
  <c r="N14" i="1"/>
  <c r="N15" i="1" s="1"/>
  <c r="O13" i="1"/>
  <c r="O14" i="1" s="1"/>
  <c r="L11" i="1"/>
  <c r="L12" i="1" s="1"/>
  <c r="Q14" i="1"/>
  <c r="P15" i="1"/>
  <c r="M13" i="1"/>
  <c r="M14" i="1" s="1"/>
  <c r="K11" i="1"/>
  <c r="E12" i="1" l="1"/>
  <c r="H14" i="1"/>
  <c r="H15" i="1" s="1"/>
  <c r="F14" i="1"/>
  <c r="F15" i="1" s="1"/>
  <c r="I15" i="1"/>
  <c r="M15" i="1"/>
  <c r="O15" i="1"/>
  <c r="L13" i="1"/>
  <c r="L14" i="1" s="1"/>
  <c r="L15" i="1" s="1"/>
  <c r="J17" i="1"/>
  <c r="P16" i="1"/>
  <c r="Q15" i="1"/>
  <c r="N16" i="1"/>
  <c r="K12" i="1"/>
  <c r="G13" i="1"/>
  <c r="H16" i="1" l="1"/>
  <c r="H17" i="1" s="1"/>
  <c r="E13" i="1"/>
  <c r="F16" i="1"/>
  <c r="F17" i="1" s="1"/>
  <c r="I16" i="1"/>
  <c r="I17" i="1" s="1"/>
  <c r="M16" i="1"/>
  <c r="M17" i="1" s="1"/>
  <c r="J18" i="1"/>
  <c r="O16" i="1"/>
  <c r="O17" i="1" s="1"/>
  <c r="K13" i="1"/>
  <c r="K14" i="1" s="1"/>
  <c r="P17" i="1"/>
  <c r="Q16" i="1"/>
  <c r="N17" i="1"/>
  <c r="L16" i="1"/>
  <c r="G14" i="1"/>
  <c r="F18" i="1" l="1"/>
  <c r="F19" i="1" s="1"/>
  <c r="H18" i="1"/>
  <c r="H19" i="1" s="1"/>
  <c r="H20" i="1" s="1"/>
  <c r="H21" i="1" s="1"/>
  <c r="H22" i="1" s="1"/>
  <c r="E14" i="1"/>
  <c r="I18" i="1"/>
  <c r="I19" i="1" s="1"/>
  <c r="I20" i="1" s="1"/>
  <c r="I21" i="1" s="1"/>
  <c r="I22" i="1" s="1"/>
  <c r="I23" i="1" s="1"/>
  <c r="I24" i="1" s="1"/>
  <c r="P18" i="1"/>
  <c r="P19" i="1" s="1"/>
  <c r="P20" i="1" s="1"/>
  <c r="M18" i="1"/>
  <c r="M19" i="1" s="1"/>
  <c r="M20" i="1" s="1"/>
  <c r="O18" i="1"/>
  <c r="O19" i="1" s="1"/>
  <c r="J19" i="1"/>
  <c r="J20" i="1" s="1"/>
  <c r="J21" i="1" s="1"/>
  <c r="N18" i="1"/>
  <c r="L17" i="1"/>
  <c r="K15" i="1"/>
  <c r="K16" i="1" s="1"/>
  <c r="K17" i="1" s="1"/>
  <c r="Q17" i="1"/>
  <c r="G15" i="1"/>
  <c r="H23" i="1" l="1"/>
  <c r="E15" i="1"/>
  <c r="K18" i="1"/>
  <c r="K19" i="1" s="1"/>
  <c r="K20" i="1" s="1"/>
  <c r="K21" i="1" s="1"/>
  <c r="K22" i="1" s="1"/>
  <c r="K23" i="1" s="1"/>
  <c r="K24" i="1" s="1"/>
  <c r="Q18" i="1"/>
  <c r="Q19" i="1" s="1"/>
  <c r="Q20" i="1" s="1"/>
  <c r="Q21" i="1" s="1"/>
  <c r="Q22" i="1" s="1"/>
  <c r="Q23" i="1" s="1"/>
  <c r="Q24" i="1" s="1"/>
  <c r="P21" i="1"/>
  <c r="P22" i="1" s="1"/>
  <c r="I25" i="1"/>
  <c r="I26" i="1"/>
  <c r="Q25" i="1"/>
  <c r="Q26" i="1" s="1"/>
  <c r="AD12" i="1"/>
  <c r="AD9" i="1"/>
  <c r="AD11" i="1"/>
  <c r="AD4" i="1"/>
  <c r="AD6" i="1"/>
  <c r="AD3" i="1"/>
  <c r="AD5" i="1"/>
  <c r="AD8" i="1"/>
  <c r="AD10" i="1"/>
  <c r="AD7" i="1"/>
  <c r="AD15" i="1"/>
  <c r="AD13" i="1"/>
  <c r="AD14" i="1"/>
  <c r="M21" i="1"/>
  <c r="O20" i="1"/>
  <c r="AD19" i="1"/>
  <c r="N19" i="1"/>
  <c r="N20" i="1" s="1"/>
  <c r="J22" i="1"/>
  <c r="L18" i="1"/>
  <c r="G16" i="1"/>
  <c r="G17" i="1" s="1"/>
  <c r="F20" i="1"/>
  <c r="K25" i="1" l="1"/>
  <c r="K26" i="1" s="1"/>
  <c r="K27" i="1" s="1"/>
  <c r="E16" i="1"/>
  <c r="E17" i="1" s="1"/>
  <c r="H24" i="1"/>
  <c r="AD24" i="1"/>
  <c r="AD18" i="1"/>
  <c r="AD21" i="1"/>
  <c r="G18" i="1"/>
  <c r="G19" i="1" s="1"/>
  <c r="G20" i="1" s="1"/>
  <c r="AD26" i="1"/>
  <c r="I27" i="1"/>
  <c r="Q27" i="1"/>
  <c r="K28" i="1"/>
  <c r="Q28" i="1"/>
  <c r="M22" i="1"/>
  <c r="O21" i="1"/>
  <c r="N21" i="1"/>
  <c r="N22" i="1" s="1"/>
  <c r="P23" i="1"/>
  <c r="J23" i="1"/>
  <c r="J24" i="1" s="1"/>
  <c r="L19" i="1"/>
  <c r="L20" i="1" s="1"/>
  <c r="F21" i="1"/>
  <c r="G21" i="1" l="1"/>
  <c r="G22" i="1" s="1"/>
  <c r="G23" i="1" s="1"/>
  <c r="H25" i="1"/>
  <c r="E18" i="1"/>
  <c r="AD27" i="1"/>
  <c r="I28" i="1"/>
  <c r="Q29" i="1"/>
  <c r="K29" i="1"/>
  <c r="P24" i="1"/>
  <c r="M23" i="1"/>
  <c r="O22" i="1"/>
  <c r="J25" i="1"/>
  <c r="N23" i="1"/>
  <c r="L21" i="1"/>
  <c r="F22" i="1"/>
  <c r="H26" i="1" l="1"/>
  <c r="H27" i="1" s="1"/>
  <c r="H28" i="1" s="1"/>
  <c r="H29" i="1" s="1"/>
  <c r="E19" i="1"/>
  <c r="L22" i="1"/>
  <c r="L23" i="1" s="1"/>
  <c r="L24" i="1" s="1"/>
  <c r="M24" i="1"/>
  <c r="K30" i="1"/>
  <c r="Q30" i="1"/>
  <c r="AD25" i="1"/>
  <c r="I29" i="1"/>
  <c r="L25" i="1"/>
  <c r="L26" i="1" s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G24" i="1"/>
  <c r="P25" i="1"/>
  <c r="N24" i="1"/>
  <c r="AA9" i="1"/>
  <c r="O23" i="1"/>
  <c r="O24" i="1" s="1"/>
  <c r="AA18" i="1"/>
  <c r="F23" i="1"/>
  <c r="F24" i="1" s="1"/>
  <c r="H30" i="1" l="1"/>
  <c r="H31" i="1" s="1"/>
  <c r="E20" i="1"/>
  <c r="W37" i="1"/>
  <c r="W38" i="1"/>
  <c r="W34" i="1"/>
  <c r="W36" i="1"/>
  <c r="W35" i="1"/>
  <c r="M25" i="1"/>
  <c r="M26" i="1" s="1"/>
  <c r="H32" i="1"/>
  <c r="W33" i="1"/>
  <c r="W32" i="1"/>
  <c r="AD30" i="1"/>
  <c r="Q31" i="1"/>
  <c r="K31" i="1"/>
  <c r="W30" i="1"/>
  <c r="W31" i="1"/>
  <c r="I30" i="1"/>
  <c r="L27" i="1"/>
  <c r="W29" i="1"/>
  <c r="AA13" i="1"/>
  <c r="G25" i="1"/>
  <c r="G26" i="1" s="1"/>
  <c r="W9" i="1"/>
  <c r="W14" i="1"/>
  <c r="W24" i="1"/>
  <c r="W20" i="1"/>
  <c r="W17" i="1"/>
  <c r="W22" i="1"/>
  <c r="W25" i="1"/>
  <c r="W15" i="1"/>
  <c r="W3" i="1"/>
  <c r="W23" i="1"/>
  <c r="W10" i="1"/>
  <c r="W21" i="1"/>
  <c r="W27" i="1"/>
  <c r="W28" i="1"/>
  <c r="W2" i="1"/>
  <c r="W8" i="1"/>
  <c r="W4" i="1"/>
  <c r="W13" i="1"/>
  <c r="W12" i="1"/>
  <c r="W7" i="1"/>
  <c r="W16" i="1"/>
  <c r="W18" i="1"/>
  <c r="W19" i="1"/>
  <c r="W11" i="1"/>
  <c r="W6" i="1"/>
  <c r="W5" i="1"/>
  <c r="W26" i="1"/>
  <c r="P26" i="1"/>
  <c r="N25" i="1"/>
  <c r="AC18" i="1"/>
  <c r="AC24" i="1"/>
  <c r="AC4" i="1"/>
  <c r="AC10" i="1"/>
  <c r="AC3" i="1"/>
  <c r="AC13" i="1"/>
  <c r="AC9" i="1"/>
  <c r="AC5" i="1"/>
  <c r="AC6" i="1"/>
  <c r="AC8" i="1"/>
  <c r="AC14" i="1"/>
  <c r="AC12" i="1"/>
  <c r="AC11" i="1"/>
  <c r="AC7" i="1"/>
  <c r="AC21" i="1"/>
  <c r="AC19" i="1"/>
  <c r="AC15" i="1"/>
  <c r="AA4" i="1"/>
  <c r="AA21" i="1"/>
  <c r="AA15" i="1"/>
  <c r="AA8" i="1"/>
  <c r="AA12" i="1"/>
  <c r="AA10" i="1"/>
  <c r="AA3" i="1"/>
  <c r="AA6" i="1"/>
  <c r="AA24" i="1"/>
  <c r="AA11" i="1"/>
  <c r="AA5" i="1"/>
  <c r="AA14" i="1"/>
  <c r="AA19" i="1"/>
  <c r="O25" i="1"/>
  <c r="O26" i="1" s="1"/>
  <c r="F25" i="1"/>
  <c r="E21" i="1" l="1"/>
  <c r="Q32" i="1"/>
  <c r="Q33" i="1" s="1"/>
  <c r="AD17" i="1" s="1"/>
  <c r="G27" i="1"/>
  <c r="G28" i="1" s="1"/>
  <c r="AD32" i="1"/>
  <c r="H33" i="1"/>
  <c r="H34" i="1" s="1"/>
  <c r="H35" i="1" s="1"/>
  <c r="H36" i="1" s="1"/>
  <c r="H37" i="1" s="1"/>
  <c r="H38" i="1" s="1"/>
  <c r="I31" i="1"/>
  <c r="I32" i="1" s="1"/>
  <c r="I33" i="1" s="1"/>
  <c r="I34" i="1" s="1"/>
  <c r="I35" i="1" s="1"/>
  <c r="I36" i="1" s="1"/>
  <c r="I37" i="1" s="1"/>
  <c r="I38" i="1" s="1"/>
  <c r="V2" i="1" s="1"/>
  <c r="K32" i="1"/>
  <c r="K33" i="1" s="1"/>
  <c r="K34" i="1" s="1"/>
  <c r="K35" i="1" s="1"/>
  <c r="K36" i="1" s="1"/>
  <c r="K37" i="1" s="1"/>
  <c r="K38" i="1" s="1"/>
  <c r="AD31" i="1"/>
  <c r="AD29" i="1"/>
  <c r="AD28" i="1"/>
  <c r="L28" i="1"/>
  <c r="L29" i="1" s="1"/>
  <c r="M27" i="1"/>
  <c r="AB26" i="1"/>
  <c r="O27" i="1"/>
  <c r="AC26" i="1"/>
  <c r="P27" i="1"/>
  <c r="T2" i="1"/>
  <c r="F26" i="1"/>
  <c r="F27" i="1" s="1"/>
  <c r="N26" i="1"/>
  <c r="AB2" i="1"/>
  <c r="AB5" i="1"/>
  <c r="AB4" i="1"/>
  <c r="AB3" i="1"/>
  <c r="AB7" i="1"/>
  <c r="AB6" i="1"/>
  <c r="AB8" i="1"/>
  <c r="AB9" i="1"/>
  <c r="AB13" i="1"/>
  <c r="AB12" i="1"/>
  <c r="AB10" i="1"/>
  <c r="AB11" i="1"/>
  <c r="AB15" i="1"/>
  <c r="AB14" i="1"/>
  <c r="AB18" i="1"/>
  <c r="AB24" i="1"/>
  <c r="AB21" i="1"/>
  <c r="AB19" i="1"/>
  <c r="X2" i="1" l="1"/>
  <c r="U2" i="1"/>
  <c r="E22" i="1"/>
  <c r="E23" i="1" s="1"/>
  <c r="E24" i="1" s="1"/>
  <c r="V37" i="1"/>
  <c r="V38" i="1"/>
  <c r="X37" i="1"/>
  <c r="X38" i="1"/>
  <c r="U37" i="1"/>
  <c r="U38" i="1"/>
  <c r="V34" i="1"/>
  <c r="V36" i="1"/>
  <c r="V35" i="1"/>
  <c r="X34" i="1"/>
  <c r="X35" i="1"/>
  <c r="X36" i="1"/>
  <c r="U34" i="1"/>
  <c r="U35" i="1"/>
  <c r="U36" i="1"/>
  <c r="U10" i="1"/>
  <c r="AD33" i="1"/>
  <c r="Q34" i="1"/>
  <c r="Q35" i="1" s="1"/>
  <c r="Q36" i="1" s="1"/>
  <c r="Q37" i="1" s="1"/>
  <c r="Q38" i="1" s="1"/>
  <c r="AD38" i="1" s="1"/>
  <c r="N27" i="1"/>
  <c r="X18" i="1"/>
  <c r="V24" i="1"/>
  <c r="V13" i="1"/>
  <c r="V23" i="1"/>
  <c r="V4" i="1"/>
  <c r="U17" i="1"/>
  <c r="U31" i="1"/>
  <c r="M28" i="1"/>
  <c r="M29" i="1" s="1"/>
  <c r="X8" i="1"/>
  <c r="X5" i="1"/>
  <c r="X25" i="1"/>
  <c r="X12" i="1"/>
  <c r="V19" i="1"/>
  <c r="V8" i="1"/>
  <c r="V31" i="1"/>
  <c r="V5" i="1"/>
  <c r="U32" i="1"/>
  <c r="U5" i="1"/>
  <c r="U27" i="1"/>
  <c r="U11" i="1"/>
  <c r="X17" i="1"/>
  <c r="X31" i="1"/>
  <c r="X24" i="1"/>
  <c r="X15" i="1"/>
  <c r="X19" i="1"/>
  <c r="X3" i="1"/>
  <c r="X23" i="1"/>
  <c r="X14" i="1"/>
  <c r="X13" i="1"/>
  <c r="X28" i="1"/>
  <c r="X6" i="1"/>
  <c r="X22" i="1"/>
  <c r="X27" i="1"/>
  <c r="X7" i="1"/>
  <c r="X4" i="1"/>
  <c r="X16" i="1"/>
  <c r="X9" i="1"/>
  <c r="X11" i="1"/>
  <c r="X26" i="1"/>
  <c r="X29" i="1"/>
  <c r="X20" i="1"/>
  <c r="X30" i="1"/>
  <c r="X10" i="1"/>
  <c r="X21" i="1"/>
  <c r="V17" i="1"/>
  <c r="V16" i="1"/>
  <c r="V21" i="1"/>
  <c r="V27" i="1"/>
  <c r="V10" i="1"/>
  <c r="V3" i="1"/>
  <c r="V7" i="1"/>
  <c r="V29" i="1"/>
  <c r="V6" i="1"/>
  <c r="V11" i="1"/>
  <c r="V22" i="1"/>
  <c r="V28" i="1"/>
  <c r="V20" i="1"/>
  <c r="V15" i="1"/>
  <c r="V9" i="1"/>
  <c r="V14" i="1"/>
  <c r="V12" i="1"/>
  <c r="V26" i="1"/>
  <c r="V18" i="1"/>
  <c r="V30" i="1"/>
  <c r="V25" i="1"/>
  <c r="U33" i="1"/>
  <c r="U3" i="1"/>
  <c r="U9" i="1"/>
  <c r="U23" i="1"/>
  <c r="U19" i="1"/>
  <c r="U12" i="1"/>
  <c r="U20" i="1"/>
  <c r="U6" i="1"/>
  <c r="U15" i="1"/>
  <c r="U4" i="1"/>
  <c r="U29" i="1"/>
  <c r="U21" i="1"/>
  <c r="U14" i="1"/>
  <c r="U30" i="1"/>
  <c r="U7" i="1"/>
  <c r="U18" i="1"/>
  <c r="U8" i="1"/>
  <c r="U25" i="1"/>
  <c r="U22" i="1"/>
  <c r="U16" i="1"/>
  <c r="U26" i="1"/>
  <c r="U24" i="1"/>
  <c r="U13" i="1"/>
  <c r="U28" i="1"/>
  <c r="X32" i="1"/>
  <c r="X33" i="1"/>
  <c r="V33" i="1"/>
  <c r="V32" i="1"/>
  <c r="L30" i="1"/>
  <c r="G29" i="1"/>
  <c r="G30" i="1" s="1"/>
  <c r="F28" i="1"/>
  <c r="AA27" i="1"/>
  <c r="N28" i="1"/>
  <c r="AC27" i="1"/>
  <c r="P28" i="1"/>
  <c r="AB27" i="1"/>
  <c r="O28" i="1"/>
  <c r="AA26" i="1"/>
  <c r="AA7" i="1"/>
  <c r="E25" i="1" l="1"/>
  <c r="AD37" i="1"/>
  <c r="AD16" i="1"/>
  <c r="AD36" i="1"/>
  <c r="AD35" i="1"/>
  <c r="AD34" i="1"/>
  <c r="AD20" i="1"/>
  <c r="AD23" i="1"/>
  <c r="AD22" i="1"/>
  <c r="G31" i="1"/>
  <c r="G32" i="1" s="1"/>
  <c r="G33" i="1" s="1"/>
  <c r="G34" i="1" s="1"/>
  <c r="G35" i="1" s="1"/>
  <c r="G36" i="1" s="1"/>
  <c r="G37" i="1" s="1"/>
  <c r="G38" i="1" s="1"/>
  <c r="L31" i="1"/>
  <c r="L32" i="1" s="1"/>
  <c r="M30" i="1"/>
  <c r="F29" i="1"/>
  <c r="F30" i="1" s="1"/>
  <c r="N29" i="1"/>
  <c r="P29" i="1"/>
  <c r="O29" i="1"/>
  <c r="E26" i="1" l="1"/>
  <c r="T37" i="1"/>
  <c r="T38" i="1"/>
  <c r="T34" i="1"/>
  <c r="T36" i="1"/>
  <c r="T35" i="1"/>
  <c r="T19" i="1"/>
  <c r="T15" i="1"/>
  <c r="T21" i="1"/>
  <c r="T24" i="1"/>
  <c r="T14" i="1"/>
  <c r="T6" i="1"/>
  <c r="T17" i="1"/>
  <c r="T11" i="1"/>
  <c r="T28" i="1"/>
  <c r="T3" i="1"/>
  <c r="T7" i="1"/>
  <c r="T25" i="1"/>
  <c r="T8" i="1"/>
  <c r="T12" i="1"/>
  <c r="T26" i="1"/>
  <c r="T9" i="1"/>
  <c r="T13" i="1"/>
  <c r="T23" i="1"/>
  <c r="T22" i="1"/>
  <c r="T16" i="1"/>
  <c r="T18" i="1"/>
  <c r="T5" i="1"/>
  <c r="T10" i="1"/>
  <c r="T4" i="1"/>
  <c r="T27" i="1"/>
  <c r="T20" i="1"/>
  <c r="T29" i="1"/>
  <c r="T30" i="1"/>
  <c r="T31" i="1"/>
  <c r="F31" i="1"/>
  <c r="F32" i="1" s="1"/>
  <c r="F33" i="1" s="1"/>
  <c r="F34" i="1" s="1"/>
  <c r="F35" i="1" s="1"/>
  <c r="F36" i="1" s="1"/>
  <c r="F37" i="1" s="1"/>
  <c r="F38" i="1" s="1"/>
  <c r="T32" i="1"/>
  <c r="T33" i="1"/>
  <c r="L33" i="1"/>
  <c r="M31" i="1"/>
  <c r="N30" i="1"/>
  <c r="O30" i="1"/>
  <c r="P30" i="1"/>
  <c r="AC25" i="1"/>
  <c r="AB25" i="1"/>
  <c r="AA25" i="1"/>
  <c r="E27" i="1" l="1"/>
  <c r="S37" i="1"/>
  <c r="S38" i="1"/>
  <c r="S35" i="1"/>
  <c r="S36" i="1"/>
  <c r="M32" i="1"/>
  <c r="M33" i="1" s="1"/>
  <c r="L34" i="1"/>
  <c r="S2" i="1"/>
  <c r="S34" i="1"/>
  <c r="S19" i="1"/>
  <c r="S8" i="1"/>
  <c r="S6" i="1"/>
  <c r="S16" i="1"/>
  <c r="S27" i="1"/>
  <c r="S13" i="1"/>
  <c r="S11" i="1"/>
  <c r="S26" i="1"/>
  <c r="S23" i="1"/>
  <c r="S29" i="1"/>
  <c r="S21" i="1"/>
  <c r="S9" i="1"/>
  <c r="S5" i="1"/>
  <c r="S15" i="1"/>
  <c r="S4" i="1"/>
  <c r="S24" i="1"/>
  <c r="S14" i="1"/>
  <c r="S10" i="1"/>
  <c r="S12" i="1"/>
  <c r="S18" i="1"/>
  <c r="S7" i="1"/>
  <c r="S20" i="1"/>
  <c r="S25" i="1"/>
  <c r="S17" i="1"/>
  <c r="S22" i="1"/>
  <c r="S30" i="1"/>
  <c r="S28" i="1"/>
  <c r="S3" i="1"/>
  <c r="S31" i="1"/>
  <c r="S32" i="1"/>
  <c r="S33" i="1"/>
  <c r="Z31" i="1"/>
  <c r="Z28" i="1"/>
  <c r="AC30" i="1"/>
  <c r="P31" i="1"/>
  <c r="AB30" i="1"/>
  <c r="O31" i="1"/>
  <c r="AA30" i="1"/>
  <c r="N31" i="1"/>
  <c r="E28" i="1" l="1"/>
  <c r="L35" i="1"/>
  <c r="Z32" i="1"/>
  <c r="M34" i="1"/>
  <c r="Z2" i="1"/>
  <c r="Z12" i="1"/>
  <c r="Z10" i="1"/>
  <c r="Z3" i="1"/>
  <c r="Z15" i="1"/>
  <c r="Z23" i="1"/>
  <c r="Z9" i="1"/>
  <c r="Z6" i="1"/>
  <c r="Z19" i="1"/>
  <c r="Z11" i="1"/>
  <c r="Z25" i="1"/>
  <c r="Z5" i="1"/>
  <c r="Z14" i="1"/>
  <c r="Z8" i="1"/>
  <c r="Z27" i="1"/>
  <c r="Z29" i="1"/>
  <c r="Z33" i="1"/>
  <c r="Z17" i="1"/>
  <c r="Z21" i="1"/>
  <c r="Z22" i="1"/>
  <c r="Z26" i="1"/>
  <c r="Z30" i="1"/>
  <c r="Z18" i="1"/>
  <c r="Z24" i="1"/>
  <c r="Z7" i="1"/>
  <c r="Z4" i="1"/>
  <c r="Z13" i="1"/>
  <c r="AB31" i="1"/>
  <c r="O32" i="1"/>
  <c r="O33" i="1" s="1"/>
  <c r="AA31" i="1"/>
  <c r="N32" i="1"/>
  <c r="N33" i="1" s="1"/>
  <c r="AC31" i="1"/>
  <c r="P32" i="1"/>
  <c r="P33" i="1" s="1"/>
  <c r="AA29" i="1"/>
  <c r="AB29" i="1"/>
  <c r="AC29" i="1"/>
  <c r="AC28" i="1"/>
  <c r="AA28" i="1"/>
  <c r="AB28" i="1"/>
  <c r="E29" i="1" l="1"/>
  <c r="E30" i="1" s="1"/>
  <c r="E31" i="1" s="1"/>
  <c r="L36" i="1"/>
  <c r="Y32" i="1"/>
  <c r="Z34" i="1"/>
  <c r="M35" i="1"/>
  <c r="AC17" i="1"/>
  <c r="P34" i="1"/>
  <c r="P35" i="1" s="1"/>
  <c r="P36" i="1" s="1"/>
  <c r="P37" i="1" s="1"/>
  <c r="P38" i="1" s="1"/>
  <c r="AC38" i="1" s="1"/>
  <c r="AA17" i="1"/>
  <c r="N34" i="1"/>
  <c r="N35" i="1" s="1"/>
  <c r="N36" i="1" s="1"/>
  <c r="N37" i="1" s="1"/>
  <c r="N38" i="1" s="1"/>
  <c r="AA38" i="1" s="1"/>
  <c r="AB17" i="1"/>
  <c r="O34" i="1"/>
  <c r="O35" i="1" s="1"/>
  <c r="O36" i="1" s="1"/>
  <c r="O37" i="1" s="1"/>
  <c r="O38" i="1" s="1"/>
  <c r="AB38" i="1" s="1"/>
  <c r="AC33" i="1"/>
  <c r="AC32" i="1"/>
  <c r="AA33" i="1"/>
  <c r="AA32" i="1"/>
  <c r="AB33" i="1"/>
  <c r="AB32" i="1"/>
  <c r="E32" i="1" l="1"/>
  <c r="E33" i="1" s="1"/>
  <c r="E34" i="1" s="1"/>
  <c r="Y16" i="1"/>
  <c r="L37" i="1"/>
  <c r="L38" i="1" s="1"/>
  <c r="Y4" i="1"/>
  <c r="Y30" i="1"/>
  <c r="Y35" i="1"/>
  <c r="Y15" i="1"/>
  <c r="Y38" i="1"/>
  <c r="Y23" i="1"/>
  <c r="Y34" i="1"/>
  <c r="Y18" i="1"/>
  <c r="Y31" i="1"/>
  <c r="Y20" i="1"/>
  <c r="AA37" i="1"/>
  <c r="AA16" i="1"/>
  <c r="AC37" i="1"/>
  <c r="AC16" i="1"/>
  <c r="AB37" i="1"/>
  <c r="AB16" i="1"/>
  <c r="Y37" i="1"/>
  <c r="Y12" i="1"/>
  <c r="Y6" i="1"/>
  <c r="Y5" i="1"/>
  <c r="Y28" i="1"/>
  <c r="Y22" i="1"/>
  <c r="Y26" i="1"/>
  <c r="Y29" i="1"/>
  <c r="Y33" i="1"/>
  <c r="Y8" i="1"/>
  <c r="Y27" i="1"/>
  <c r="Y11" i="1"/>
  <c r="Y13" i="1"/>
  <c r="Y24" i="1"/>
  <c r="Y19" i="1"/>
  <c r="Y21" i="1"/>
  <c r="Y36" i="1"/>
  <c r="Y2" i="1"/>
  <c r="Y3" i="1"/>
  <c r="Y7" i="1"/>
  <c r="Y14" i="1"/>
  <c r="Y10" i="1"/>
  <c r="Y9" i="1"/>
  <c r="Y25" i="1"/>
  <c r="Y17" i="1"/>
  <c r="M36" i="1"/>
  <c r="AB36" i="1"/>
  <c r="AB35" i="1"/>
  <c r="AA36" i="1"/>
  <c r="AA35" i="1"/>
  <c r="AC36" i="1"/>
  <c r="AC35" i="1"/>
  <c r="Z35" i="1"/>
  <c r="AB20" i="1"/>
  <c r="AB23" i="1"/>
  <c r="AA23" i="1"/>
  <c r="AA20" i="1"/>
  <c r="AC23" i="1"/>
  <c r="AC20" i="1"/>
  <c r="AB34" i="1"/>
  <c r="AB22" i="1"/>
  <c r="AA34" i="1"/>
  <c r="AA22" i="1"/>
  <c r="AC34" i="1"/>
  <c r="AC22" i="1"/>
  <c r="E35" i="1" l="1"/>
  <c r="E36" i="1" s="1"/>
  <c r="R2" i="1" s="1"/>
  <c r="Z20" i="1"/>
  <c r="M37" i="1"/>
  <c r="Z36" i="1"/>
  <c r="E37" i="1" l="1"/>
  <c r="E38" i="1" s="1"/>
  <c r="R25" i="1" s="1"/>
  <c r="Z37" i="1"/>
  <c r="M38" i="1"/>
  <c r="Z38" i="1" s="1"/>
  <c r="Z16" i="1"/>
  <c r="R30" i="1" l="1"/>
  <c r="R38" i="1"/>
  <c r="R4" i="1"/>
  <c r="R32" i="1"/>
  <c r="R35" i="1"/>
  <c r="R21" i="1"/>
  <c r="R13" i="1"/>
  <c r="R7" i="1"/>
  <c r="R29" i="1"/>
  <c r="R17" i="1"/>
  <c r="R3" i="1"/>
  <c r="R18" i="1"/>
  <c r="R24" i="1"/>
  <c r="R26" i="1"/>
  <c r="R5" i="1"/>
  <c r="R23" i="1"/>
  <c r="R6" i="1"/>
  <c r="R22" i="1"/>
  <c r="R10" i="1"/>
  <c r="R19" i="1"/>
  <c r="R12" i="1"/>
  <c r="R15" i="1"/>
  <c r="R27" i="1"/>
  <c r="R16" i="1"/>
  <c r="R20" i="1"/>
  <c r="R8" i="1"/>
  <c r="R9" i="1"/>
  <c r="R34" i="1"/>
  <c r="R33" i="1"/>
  <c r="R36" i="1"/>
  <c r="R37" i="1"/>
  <c r="R28" i="1"/>
  <c r="R31" i="1"/>
  <c r="R11" i="1"/>
  <c r="R14" i="1"/>
</calcChain>
</file>

<file path=xl/comments1.xml><?xml version="1.0" encoding="utf-8"?>
<comments xmlns="http://schemas.openxmlformats.org/spreadsheetml/2006/main">
  <authors>
    <author>Андрей Щербаков</author>
  </authors>
  <commentList>
    <comment ref="B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Выбрать...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Ангиограф Экстренный</author>
  </authors>
  <commentList>
    <comment ref="C8" authorId="0" shapeId="0">
      <text>
        <r>
          <rPr>
            <sz val="9"/>
            <color indexed="81"/>
            <rFont val="Tahoma"/>
            <family val="2"/>
            <charset val="204"/>
          </rPr>
          <t xml:space="preserve">Выбрать:
</t>
        </r>
      </text>
    </comment>
    <comment ref="F8" authorId="0" shapeId="0">
      <text>
        <r>
          <rPr>
            <sz val="9"/>
            <color indexed="81"/>
            <rFont val="Tahoma"/>
            <family val="2"/>
            <charset val="204"/>
          </rPr>
          <t>Выбрать</t>
        </r>
        <r>
          <rPr>
            <b/>
            <sz val="9"/>
            <color indexed="81"/>
            <rFont val="Tahoma"/>
            <family val="2"/>
            <charset val="204"/>
          </rPr>
          <t xml:space="preserve">:
</t>
        </r>
      </text>
    </comment>
    <comment ref="G8" authorId="0" shapeId="0">
      <text>
        <r>
          <rPr>
            <sz val="9"/>
            <color indexed="81"/>
            <rFont val="Tahoma"/>
            <family val="2"/>
            <charset val="204"/>
          </rPr>
          <t>Выбрать:</t>
        </r>
      </text>
    </comment>
  </commentList>
</comments>
</file>

<file path=xl/connections.xml><?xml version="1.0" encoding="utf-8"?>
<connections xmlns="http://schemas.openxmlformats.org/spreadsheetml/2006/main">
  <connection id="1" keepAlive="1" name="Запрос — Карта пациента" description="Соединение с запросом &quot;Карта пациента&quot; в книге." type="5" refreshedVersion="0" background="1">
    <dbPr connection="Provider=Microsoft.Mashup.OleDb.1;Data Source=$Workbook$;Location=&quot;Карта пациента&quot;;Extended Properties=&quot;&quot;" command="SELECT * FROM [Карта пациента]"/>
  </connection>
</connections>
</file>

<file path=xl/sharedStrings.xml><?xml version="1.0" encoding="utf-8"?>
<sst xmlns="http://schemas.openxmlformats.org/spreadsheetml/2006/main" count="708" uniqueCount="456">
  <si>
    <t>Наименование расходного материала</t>
  </si>
  <si>
    <t xml:space="preserve">Тип расходного материала </t>
  </si>
  <si>
    <t>№</t>
  </si>
  <si>
    <t xml:space="preserve">Коронарный проводник </t>
  </si>
  <si>
    <t>Проводниковый катетер</t>
  </si>
  <si>
    <t>Баллонный катетер</t>
  </si>
  <si>
    <t xml:space="preserve">Коронарный стент </t>
  </si>
  <si>
    <t>Код услуги</t>
  </si>
  <si>
    <t>Дата рождения</t>
  </si>
  <si>
    <t>042/001</t>
  </si>
  <si>
    <t>Возраст</t>
  </si>
  <si>
    <t/>
  </si>
  <si>
    <t>№ Истории</t>
  </si>
  <si>
    <t>Дата выполнения</t>
  </si>
  <si>
    <t>Размер</t>
  </si>
  <si>
    <t xml:space="preserve">ФИО Пациента </t>
  </si>
  <si>
    <t>Номенклатура мед.услуги</t>
  </si>
  <si>
    <t>Рентгенэндоваскулярная диагностика и лечение</t>
  </si>
  <si>
    <t>042/059</t>
  </si>
  <si>
    <t>042/005</t>
  </si>
  <si>
    <t>Ангиография внутренней сонной артерии</t>
  </si>
  <si>
    <t>042/045</t>
  </si>
  <si>
    <t>Брюшная аортография</t>
  </si>
  <si>
    <t>042/002</t>
  </si>
  <si>
    <t>Ангиография артерии верхней конечности прямая</t>
  </si>
  <si>
    <t>042/004</t>
  </si>
  <si>
    <t>Ангиография артерий нижней конечности прямая</t>
  </si>
  <si>
    <t>042/143</t>
  </si>
  <si>
    <t>Флебография нижней конечности прямая</t>
  </si>
  <si>
    <t>042/028</t>
  </si>
  <si>
    <t>Артериография тазовых органов</t>
  </si>
  <si>
    <t>042/022</t>
  </si>
  <si>
    <t>Ангиография сосудов органов брюшной полости</t>
  </si>
  <si>
    <t>042/024</t>
  </si>
  <si>
    <t>Ангиография сосудов почек</t>
  </si>
  <si>
    <t>042/152</t>
  </si>
  <si>
    <t>042/107</t>
  </si>
  <si>
    <t>A16.12.026.012</t>
  </si>
  <si>
    <t>042/106</t>
  </si>
  <si>
    <t>A16.12.004.009</t>
  </si>
  <si>
    <t>042/033</t>
  </si>
  <si>
    <t>A16.12.026.001</t>
  </si>
  <si>
    <t>Баллонная ангиопластика поверхностной бедренной артерии</t>
  </si>
  <si>
    <t>042/038</t>
  </si>
  <si>
    <t>A16.12.026.003</t>
  </si>
  <si>
    <t>Баллонная ангиопластика со стентированием поверхностной бедренной артерии</t>
  </si>
  <si>
    <t>042/104</t>
  </si>
  <si>
    <t>A16.12.026.005</t>
  </si>
  <si>
    <t>Транслюминальная баллонная ангиопластика внутренней сонной артерии со стентированием</t>
  </si>
  <si>
    <t>042/112</t>
  </si>
  <si>
    <t>A16.12.026.006</t>
  </si>
  <si>
    <t>Транслюминальная баллонная ангиопластика позвоночной артерии со стентированием</t>
  </si>
  <si>
    <t>042/113</t>
  </si>
  <si>
    <t>A16.12.026.009</t>
  </si>
  <si>
    <t>Транслюминальная баллонная ангиопластика почечной артерии</t>
  </si>
  <si>
    <t>042/115</t>
  </si>
  <si>
    <t>A16.12.028.009</t>
  </si>
  <si>
    <t>Стентирование почечных артерий</t>
  </si>
  <si>
    <t>042/116</t>
  </si>
  <si>
    <t>A16.12.028.008</t>
  </si>
  <si>
    <t>Стентирование висцеральных артерий</t>
  </si>
  <si>
    <t>042/064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</si>
  <si>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</si>
  <si>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</si>
  <si>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042/065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</si>
  <si>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</si>
  <si>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</si>
  <si>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042/126</t>
  </si>
  <si>
    <t>042/081</t>
  </si>
  <si>
    <t>A16.28.065.000</t>
  </si>
  <si>
    <t>Селективная и суперселективная эмболизация / химиоэмболизация ветвей внутренней подвзошной артерии</t>
  </si>
  <si>
    <t>042/079</t>
  </si>
  <si>
    <t>A16.12.051.021</t>
  </si>
  <si>
    <t>Селективная и суперселективная эмболизация почечных сосудов</t>
  </si>
  <si>
    <t>042/180</t>
  </si>
  <si>
    <t>Эндоваскулярная эмболизация сосудов</t>
  </si>
  <si>
    <t>042/042</t>
  </si>
  <si>
    <t>Баллонная вазодилятация</t>
  </si>
  <si>
    <t>042/131</t>
  </si>
  <si>
    <t>Установка стента в сосуд</t>
  </si>
  <si>
    <t>A16.12.028.017</t>
  </si>
  <si>
    <t>042/1311</t>
  </si>
  <si>
    <t>A16.12.028.003</t>
  </si>
  <si>
    <t>042/066</t>
  </si>
  <si>
    <t>A16.12.028.004</t>
  </si>
  <si>
    <t>A06.10.006.002</t>
  </si>
  <si>
    <t>A06.12.031.001</t>
  </si>
  <si>
    <t>Церебральная ангиография тотальная селективная</t>
  </si>
  <si>
    <t>Эндоваскулярная тромбэктомия аспирационная</t>
  </si>
  <si>
    <t>Расходный материал</t>
  </si>
  <si>
    <t>Код</t>
  </si>
  <si>
    <t>DES Стент коронарный</t>
  </si>
  <si>
    <t>BMS Стент коронарный</t>
  </si>
  <si>
    <t>BMS Стент для сонной артерии</t>
  </si>
  <si>
    <t>BMS Стент для почечной артерии</t>
  </si>
  <si>
    <t>BMS Стент для перефирических артерий</t>
  </si>
  <si>
    <t>Спираль для эмболизации сосудов ГМ</t>
  </si>
  <si>
    <t>Спираль для эмболизации сосудов вне ГМ</t>
  </si>
  <si>
    <r>
      <t xml:space="preserve">ОКС с </t>
    </r>
    <r>
      <rPr>
        <sz val="11"/>
        <color theme="1"/>
        <rFont val="Calibri"/>
        <family val="2"/>
        <charset val="204"/>
      </rPr>
      <t>↑</t>
    </r>
    <r>
      <rPr>
        <sz val="11"/>
        <color theme="1"/>
        <rFont val="Calibri"/>
        <family val="2"/>
      </rPr>
      <t xml:space="preserve"> ST</t>
    </r>
  </si>
  <si>
    <t>A16.12.026.012. Осл.63</t>
  </si>
  <si>
    <t>1 стент</t>
  </si>
  <si>
    <t>2 стент</t>
  </si>
  <si>
    <t>3 стент</t>
  </si>
  <si>
    <t>1.5 - 15</t>
  </si>
  <si>
    <t>2.0 - 15</t>
  </si>
  <si>
    <t>2.5 - 15</t>
  </si>
  <si>
    <t>3.0 - 6</t>
  </si>
  <si>
    <t>3.0 - 8</t>
  </si>
  <si>
    <t>3.0 - 12</t>
  </si>
  <si>
    <t>3.5 - 6</t>
  </si>
  <si>
    <t>3.5 - 8</t>
  </si>
  <si>
    <t>3.5 - 12</t>
  </si>
  <si>
    <t>3.5 - 15</t>
  </si>
  <si>
    <t>2.75 - 15</t>
  </si>
  <si>
    <t>4.0 - 6</t>
  </si>
  <si>
    <t>4.0 - 8</t>
  </si>
  <si>
    <t>4.0 - 12</t>
  </si>
  <si>
    <t>4.0 - 15</t>
  </si>
  <si>
    <t>4.5 - 6</t>
  </si>
  <si>
    <t>4.5 - 8</t>
  </si>
  <si>
    <t>4.5 - 12</t>
  </si>
  <si>
    <t>4.5 - 15</t>
  </si>
  <si>
    <t>Аспирационный катетер</t>
  </si>
  <si>
    <t>Проводниковый Extension катетер</t>
  </si>
  <si>
    <t>Проводник коронарный  3g, Angioline</t>
  </si>
  <si>
    <t xml:space="preserve">на установку, проведение процедуры, операции пациенту </t>
  </si>
  <si>
    <t xml:space="preserve">АКТ от </t>
  </si>
  <si>
    <t>Приложение №3</t>
  </si>
  <si>
    <t>Количество</t>
  </si>
  <si>
    <t>Индекс1</t>
  </si>
  <si>
    <t>Индекс2</t>
  </si>
  <si>
    <t>Фильтр1</t>
  </si>
  <si>
    <t>Фильтр2</t>
  </si>
  <si>
    <t>Наименование процедуры, манипуляции</t>
  </si>
  <si>
    <t>Диагноз</t>
  </si>
  <si>
    <t xml:space="preserve">Д.В. Карчевский </t>
  </si>
  <si>
    <t xml:space="preserve">Оператор: </t>
  </si>
  <si>
    <t xml:space="preserve">В.Л. Мартынко </t>
  </si>
  <si>
    <t xml:space="preserve">А.С. Щербаков </t>
  </si>
  <si>
    <t>ФИО</t>
  </si>
  <si>
    <t xml:space="preserve">Должность: </t>
  </si>
  <si>
    <t>Должность: ФИО</t>
  </si>
  <si>
    <t xml:space="preserve">А.С. Меренков </t>
  </si>
  <si>
    <t xml:space="preserve">И.А. Московский </t>
  </si>
  <si>
    <t xml:space="preserve">А.В. Воронков </t>
  </si>
  <si>
    <t xml:space="preserve">О.В. Мещеряков </t>
  </si>
  <si>
    <t>В.В. Анохин</t>
  </si>
  <si>
    <t>И.Н. Зимин</t>
  </si>
  <si>
    <t xml:space="preserve">А. Нефёдова </t>
  </si>
  <si>
    <t xml:space="preserve">Старшая мед.сетра: </t>
  </si>
  <si>
    <t>А.Ф. Паращенко</t>
  </si>
  <si>
    <t>О.Н. Черткова</t>
  </si>
  <si>
    <t xml:space="preserve">И/О старшей мед.сетры: </t>
  </si>
  <si>
    <t xml:space="preserve">И/О заведующего отделения: </t>
  </si>
  <si>
    <t>САК</t>
  </si>
  <si>
    <t>Аневризма СГМ</t>
  </si>
  <si>
    <t>АВМ</t>
  </si>
  <si>
    <t>Коронарный проводник</t>
  </si>
  <si>
    <t>Атеросклероз БЦА</t>
  </si>
  <si>
    <t>2.25 - 15</t>
  </si>
  <si>
    <t>Тип</t>
  </si>
  <si>
    <t>2.25 - 18</t>
  </si>
  <si>
    <t>2.5 - 18</t>
  </si>
  <si>
    <t>3.5 - 18</t>
  </si>
  <si>
    <t>4.5 - 18</t>
  </si>
  <si>
    <t>2.5 - 22</t>
  </si>
  <si>
    <t>2.5 - 30</t>
  </si>
  <si>
    <t>2.5 - 26</t>
  </si>
  <si>
    <t>3.5 - 26</t>
  </si>
  <si>
    <t>2.5 - 34</t>
  </si>
  <si>
    <t>2.5 - 38</t>
  </si>
  <si>
    <t>3.0 - 18</t>
  </si>
  <si>
    <t>3.0 - 22</t>
  </si>
  <si>
    <t>3.0 - 26</t>
  </si>
  <si>
    <t>3.0 - 30</t>
  </si>
  <si>
    <t>3.0 - 34</t>
  </si>
  <si>
    <t>3.0 - 38</t>
  </si>
  <si>
    <t>3.0 - 15</t>
  </si>
  <si>
    <t>3.5 - 22</t>
  </si>
  <si>
    <t>3.5 - 30</t>
  </si>
  <si>
    <t>3.5 - 34</t>
  </si>
  <si>
    <t>3.5 - 38</t>
  </si>
  <si>
    <t>4.0 - 18</t>
  </si>
  <si>
    <t>4.0 - 22</t>
  </si>
  <si>
    <t>4.0 - 26</t>
  </si>
  <si>
    <t>4.0 - 30</t>
  </si>
  <si>
    <t>4.0 - 34</t>
  </si>
  <si>
    <t>4.0 - 38</t>
  </si>
  <si>
    <t>4.0 - 9</t>
  </si>
  <si>
    <t>3.5 - 9</t>
  </si>
  <si>
    <t>Размеры</t>
  </si>
  <si>
    <t>Модель</t>
  </si>
  <si>
    <t>Метод</t>
  </si>
  <si>
    <t>ИБС</t>
  </si>
  <si>
    <t>Код модели</t>
  </si>
  <si>
    <t>Код метода</t>
  </si>
  <si>
    <t>Устранение тромба коронарной артерии. Тромбаспирация.</t>
  </si>
  <si>
    <t xml:space="preserve">№ Отделения </t>
  </si>
  <si>
    <t xml:space="preserve">Заведующий отделения: </t>
  </si>
  <si>
    <t xml:space="preserve">ГБУЗ ЯО Областная клиническая больница </t>
  </si>
  <si>
    <t>РЕГИОНАЛЬНЫЙ СОСУДИСТЫЙ ЦЕНТР</t>
  </si>
  <si>
    <t>Отделение рентгенэндоваскулярных методов диагностики и лечения</t>
  </si>
  <si>
    <t>150062 Ярославль. Ул. Яковлевская 7 тел: (4852) 58-97-81</t>
  </si>
  <si>
    <t>Ангиография БЦА</t>
  </si>
  <si>
    <t>Карчевский Д.В.</t>
  </si>
  <si>
    <t>Черткова О.Н.</t>
  </si>
  <si>
    <t>Анисимова Л.Г.</t>
  </si>
  <si>
    <t>Воронков А.В.</t>
  </si>
  <si>
    <t>Александрова И.А.</t>
  </si>
  <si>
    <t>Болотова М.</t>
  </si>
  <si>
    <t>Зимин И.Н.</t>
  </si>
  <si>
    <t>Гайчук В.В.</t>
  </si>
  <si>
    <t>Викулова В.В.</t>
  </si>
  <si>
    <t>Мартынко В.Л.</t>
  </si>
  <si>
    <t>Казанцева А.М.</t>
  </si>
  <si>
    <t>Иванова С.Н.</t>
  </si>
  <si>
    <t>Меренков А.С.</t>
  </si>
  <si>
    <t>Мелека Е.А.</t>
  </si>
  <si>
    <t>Киселева Е.Е.</t>
  </si>
  <si>
    <t>Мещеряков О.В.</t>
  </si>
  <si>
    <t>Мешалкина И.В.</t>
  </si>
  <si>
    <t>Колпакова Н.Н.</t>
  </si>
  <si>
    <t>Московский И.А.</t>
  </si>
  <si>
    <t>Нефёдова А.А.</t>
  </si>
  <si>
    <t>Колоцей Я.А.</t>
  </si>
  <si>
    <t>Паращенко А.Ф.</t>
  </si>
  <si>
    <t>Кольба А.С.</t>
  </si>
  <si>
    <t>Щербаков А.С.</t>
  </si>
  <si>
    <t>Севринова О.В.</t>
  </si>
  <si>
    <t>Лушникова Е.Е.</t>
  </si>
  <si>
    <t>Стрельникова И.В.</t>
  </si>
  <si>
    <t>Сугера И.В.</t>
  </si>
  <si>
    <t>Тарасова Н.В.</t>
  </si>
  <si>
    <t>Трунова А.С.</t>
  </si>
  <si>
    <t>Анестезиолог</t>
  </si>
  <si>
    <t>Операционная М/С</t>
  </si>
  <si>
    <t>Рентгенхирург</t>
  </si>
  <si>
    <t>Операционная м/с</t>
  </si>
  <si>
    <t>Сотрудник</t>
  </si>
  <si>
    <t>Должность</t>
  </si>
  <si>
    <t>Берина Е.В.</t>
  </si>
  <si>
    <t>Мишина Е.А</t>
  </si>
  <si>
    <t>Галамага Н.Е.</t>
  </si>
  <si>
    <t>Оператор</t>
  </si>
  <si>
    <t>Заведующий отделения</t>
  </si>
  <si>
    <t>И/О заведующего отделения</t>
  </si>
  <si>
    <t>Старшая мед.сетра</t>
  </si>
  <si>
    <t>И/О старшей мед.сетры</t>
  </si>
  <si>
    <t>Санитарка</t>
  </si>
  <si>
    <t>Щербакова С.М.</t>
  </si>
  <si>
    <t>Операционная бригада</t>
  </si>
  <si>
    <t>Транслюминальная баллонная ангиопластика коронарных артерий. БАП</t>
  </si>
  <si>
    <t>Рекомендовано:</t>
  </si>
  <si>
    <t>Тип:</t>
  </si>
  <si>
    <t>Доступ:</t>
  </si>
  <si>
    <t xml:space="preserve">Контраст: </t>
  </si>
  <si>
    <t>Дата выполнения:</t>
  </si>
  <si>
    <t>ФИО Пациента:</t>
  </si>
  <si>
    <t>Время начало:</t>
  </si>
  <si>
    <t>Время окончание:</t>
  </si>
  <si>
    <t>Код ЕНМУ</t>
  </si>
  <si>
    <t xml:space="preserve">Контраст </t>
  </si>
  <si>
    <t>Название</t>
  </si>
  <si>
    <t>Сцепление</t>
  </si>
  <si>
    <t xml:space="preserve">Ультравист 370 </t>
  </si>
  <si>
    <t>Омнипак 350</t>
  </si>
  <si>
    <t>Оптирей 350</t>
  </si>
  <si>
    <t>Юнигексол 350</t>
  </si>
  <si>
    <t>Сканлюкс 370</t>
  </si>
  <si>
    <t>Йогексол 350</t>
  </si>
  <si>
    <t>Визипак 320</t>
  </si>
  <si>
    <t xml:space="preserve">Интродьюсер </t>
  </si>
  <si>
    <t>Реканализация:</t>
  </si>
  <si>
    <t xml:space="preserve">Транслюминальная баллонная ангиопластика и стентирование коронарных артерий. </t>
  </si>
  <si>
    <t>ОА</t>
  </si>
  <si>
    <t xml:space="preserve"> Коллатеральный межсистемный кровоток из СВ ЗНА с ретроградным контрастированием дистального сегмента ПНА.</t>
  </si>
  <si>
    <t xml:space="preserve"> </t>
  </si>
  <si>
    <t>Ствол ЛКА:</t>
  </si>
  <si>
    <t>КОРОНАРОГРАФИЯ</t>
  </si>
  <si>
    <t>КОРОНАРОШУНТОГРАФИЯ</t>
  </si>
  <si>
    <t>ШУНТЫ:</t>
  </si>
  <si>
    <t>ПКА</t>
  </si>
  <si>
    <t>Ствол</t>
  </si>
  <si>
    <t>Ствол-ПНА</t>
  </si>
  <si>
    <t>Ствол-ОА</t>
  </si>
  <si>
    <t>Ствол-ПНА-ОА</t>
  </si>
  <si>
    <t>ПНА</t>
  </si>
  <si>
    <t>ИМА</t>
  </si>
  <si>
    <t>ДВ</t>
  </si>
  <si>
    <t>ВТК</t>
  </si>
  <si>
    <t>ЗБВ</t>
  </si>
  <si>
    <t>ЗМЖВ</t>
  </si>
  <si>
    <t>Локализация</t>
  </si>
  <si>
    <t>A06.10.006</t>
  </si>
  <si>
    <t>A16.12.003</t>
  </si>
  <si>
    <t>A06.12.007</t>
  </si>
  <si>
    <t>A06.12.039</t>
  </si>
  <si>
    <t>A06.12.005</t>
  </si>
  <si>
    <t>A06.12.012</t>
  </si>
  <si>
    <t>A06.12.017</t>
  </si>
  <si>
    <t>A06.12.028</t>
  </si>
  <si>
    <t>A06.12.013</t>
  </si>
  <si>
    <t>A06.12.041</t>
  </si>
  <si>
    <t>A06.12.030</t>
  </si>
  <si>
    <t>A16.12.026</t>
  </si>
  <si>
    <t>A16.12.051</t>
  </si>
  <si>
    <t>A16.12.028</t>
  </si>
  <si>
    <t>Стентирование коронарной артерии</t>
  </si>
  <si>
    <t>Стентирование легочных артерий</t>
  </si>
  <si>
    <t>A16.12.030</t>
  </si>
  <si>
    <t>Баллонная внутриаортальная контрпульсация</t>
  </si>
  <si>
    <t>A16.12.003.001</t>
  </si>
  <si>
    <t>Попытка стентирования коронарных артерий</t>
  </si>
  <si>
    <t>Смирнова В.П.</t>
  </si>
  <si>
    <t>Равинская Я.А.</t>
  </si>
  <si>
    <t>Герасимов М.М.</t>
  </si>
  <si>
    <t>Чесноков С.Л.</t>
  </si>
  <si>
    <t>Шевьёв В.А.</t>
  </si>
  <si>
    <t>Селезнёв С.А</t>
  </si>
  <si>
    <t>Молотков А.В.</t>
  </si>
  <si>
    <t xml:space="preserve">Леонтьева </t>
  </si>
  <si>
    <t>Леонова Е.В.</t>
  </si>
  <si>
    <t>Цыбин Н.В.</t>
  </si>
  <si>
    <t>Капралова Е.А.</t>
  </si>
  <si>
    <t>Селезнёва М.В.</t>
  </si>
  <si>
    <t>Баранова В.Б.</t>
  </si>
  <si>
    <t>Билан Н.В.</t>
  </si>
  <si>
    <t>Бричёва И.В.</t>
  </si>
  <si>
    <t>Панченко С.В.</t>
  </si>
  <si>
    <t>Кесарева Е.А.</t>
  </si>
  <si>
    <t>Хаирова А.Р.</t>
  </si>
  <si>
    <t>Станкевич И.В.</t>
  </si>
  <si>
    <t>Александрова О.В.</t>
  </si>
  <si>
    <t>Комаров А.С.</t>
  </si>
  <si>
    <t>Крюкова Н.С.</t>
  </si>
  <si>
    <t>Морозов А.А.</t>
  </si>
  <si>
    <t>Бассейн ПНА:</t>
  </si>
  <si>
    <t>Бассейн  ОА:</t>
  </si>
  <si>
    <t>Бассейн ПКА:</t>
  </si>
  <si>
    <t>Время скопии</t>
  </si>
  <si>
    <t>Доза</t>
  </si>
  <si>
    <t>Белугина Н.М.</t>
  </si>
  <si>
    <t>Синицина И.А.</t>
  </si>
  <si>
    <t>Доза (mGy)</t>
  </si>
  <si>
    <t>Старшая мед.сетра: О.Н. Черткова</t>
  </si>
  <si>
    <t>100 ml</t>
  </si>
  <si>
    <t>Sapphire</t>
  </si>
  <si>
    <t>Euphora</t>
  </si>
  <si>
    <t>BMS, Integtity</t>
  </si>
  <si>
    <t>Индекс3</t>
  </si>
  <si>
    <t>Индекс4</t>
  </si>
  <si>
    <t>Индекс5</t>
  </si>
  <si>
    <t>Индекс6</t>
  </si>
  <si>
    <t>Индекс7</t>
  </si>
  <si>
    <t>Индекс8</t>
  </si>
  <si>
    <t>Индекс9</t>
  </si>
  <si>
    <t>Индекс10</t>
  </si>
  <si>
    <t>Индекс11</t>
  </si>
  <si>
    <t>Индекс12</t>
  </si>
  <si>
    <t>Индекс13</t>
  </si>
  <si>
    <t>Фильтр3</t>
  </si>
  <si>
    <t>Фильтр4</t>
  </si>
  <si>
    <t>Фильтр5</t>
  </si>
  <si>
    <t>Фильтр6</t>
  </si>
  <si>
    <t>Фильтр7</t>
  </si>
  <si>
    <t>Фильтр8</t>
  </si>
  <si>
    <t>Фильтр9</t>
  </si>
  <si>
    <t>Фильтр10</t>
  </si>
  <si>
    <t>Фильтр11</t>
  </si>
  <si>
    <t>Фильтр12</t>
  </si>
  <si>
    <t>Фильтр13</t>
  </si>
  <si>
    <t xml:space="preserve">Система для закрытия м/пункции </t>
  </si>
  <si>
    <t xml:space="preserve">Заведующий отделения: Д.В. Карчевский </t>
  </si>
  <si>
    <t>Медведева А.</t>
  </si>
  <si>
    <t>М/С-анестезист</t>
  </si>
  <si>
    <t>Бородкина С.А.</t>
  </si>
  <si>
    <t>4.5 - 9</t>
  </si>
  <si>
    <t>5.0 - 6</t>
  </si>
  <si>
    <t>5.0 - 8</t>
  </si>
  <si>
    <t>ВМП 1</t>
  </si>
  <si>
    <t>Транслюминальная баллонная ангиопластика коронарных артерий. БАП/попытка.</t>
  </si>
  <si>
    <t>Индефлятор</t>
  </si>
  <si>
    <t>NC Euphora</t>
  </si>
  <si>
    <t>Диагностический проводник</t>
  </si>
  <si>
    <t>DES</t>
  </si>
  <si>
    <t>Hunter® 6F</t>
  </si>
  <si>
    <t>лучевой</t>
  </si>
  <si>
    <t>Извлечён</t>
  </si>
  <si>
    <r>
      <t>ОКС БП</t>
    </r>
    <r>
      <rPr>
        <sz val="11"/>
        <color theme="1"/>
        <rFont val="Calibri"/>
        <family val="2"/>
      </rPr>
      <t>ST</t>
    </r>
  </si>
  <si>
    <t>ОКС БПST</t>
  </si>
  <si>
    <t>Стент для коронарных артерий,
выделяющий лекарственное средство, с
рассасывающимся полимерным покрытием</t>
  </si>
  <si>
    <t>Стент для коронарных артерий,
выделяющий лекарственное средство, с
нерассасывающимся полимерным
покрытием</t>
  </si>
  <si>
    <t>Стент для коронарных артерий
металлический непокрытый</t>
  </si>
  <si>
    <t>NC Accuforce</t>
  </si>
  <si>
    <t>Sprinter Legend</t>
  </si>
  <si>
    <t>Fielder</t>
  </si>
  <si>
    <t>Sion</t>
  </si>
  <si>
    <t>Rinato</t>
  </si>
  <si>
    <t>Thunder</t>
  </si>
  <si>
    <t>ProVia 3 Hydro-Track®</t>
  </si>
  <si>
    <t>ProVia 6 Hydro-Track®</t>
  </si>
  <si>
    <t>ProVia 9 Hydro-Track®</t>
  </si>
  <si>
    <t>Cougar LS Hydro-Track®</t>
  </si>
  <si>
    <t>Intuition</t>
  </si>
  <si>
    <t>DES, Resolute Integtity</t>
  </si>
  <si>
    <t>Guidezilla™ II 6F</t>
  </si>
  <si>
    <t>Launcher 6F EBU 3.5</t>
  </si>
  <si>
    <t>Launcher 6F EBU 4.0</t>
  </si>
  <si>
    <t>Launcher 6F JL 3.5</t>
  </si>
  <si>
    <t>Launcher 6F JL 4.0</t>
  </si>
  <si>
    <t>Launcher 6F JR 3.5</t>
  </si>
  <si>
    <t>Launcher 6F JR 4.0</t>
  </si>
  <si>
    <r>
      <t>Angio-Seal</t>
    </r>
    <r>
      <rPr>
        <sz val="11"/>
        <color theme="1"/>
        <rFont val="Calibri"/>
        <family val="2"/>
        <charset val="204"/>
      </rPr>
      <t>™</t>
    </r>
    <r>
      <rPr>
        <sz val="11"/>
        <color theme="1"/>
        <rFont val="Calibri"/>
        <family val="2"/>
        <scheme val="minor"/>
      </rPr>
      <t xml:space="preserve"> VIP</t>
    </r>
  </si>
  <si>
    <t>BasixCOMPAK</t>
  </si>
  <si>
    <t>Nitrex 260</t>
  </si>
  <si>
    <t>Launcher 6F JL 4.5</t>
  </si>
  <si>
    <t xml:space="preserve">Тип материала </t>
  </si>
  <si>
    <t>ВМП 2</t>
  </si>
  <si>
    <t>ОМС</t>
  </si>
  <si>
    <t>Oscor 7F</t>
  </si>
  <si>
    <t>3.75 - 15</t>
  </si>
  <si>
    <t>Launcher 7F JL 4.0</t>
  </si>
  <si>
    <t>Launcher 7F JL 3.5</t>
  </si>
  <si>
    <t>3.75 - 8</t>
  </si>
  <si>
    <t>2.25 - 22</t>
  </si>
  <si>
    <t>2.75 - 18</t>
  </si>
  <si>
    <t>2.75 - 22</t>
  </si>
  <si>
    <t>2.75 - 26</t>
  </si>
  <si>
    <t>2.75 - 30</t>
  </si>
  <si>
    <t>Анохин В.С.</t>
  </si>
  <si>
    <t>Cougar XT Hydro-Track®</t>
  </si>
  <si>
    <t>1. Контроль места пункции, повязка  на руке 6ч. 2) Консервативная стратегия, наблюдение кардиолога.</t>
  </si>
  <si>
    <t>Telescope ™ II 6F</t>
  </si>
  <si>
    <t>3.5 - 28</t>
  </si>
  <si>
    <t>DES, NanoMed</t>
  </si>
  <si>
    <t>DES, Calipso</t>
  </si>
  <si>
    <t>2.25 - 28</t>
  </si>
  <si>
    <t>3.0 - 32</t>
  </si>
  <si>
    <t>3.5 - 32</t>
  </si>
  <si>
    <t>2.5 - 28</t>
  </si>
  <si>
    <t>2.5 - 32</t>
  </si>
  <si>
    <t>Проводник коронарный  1g, Angioline</t>
  </si>
  <si>
    <t>2.75 - 28</t>
  </si>
  <si>
    <t>2.75 - 32</t>
  </si>
  <si>
    <t>4.5 - 22</t>
  </si>
  <si>
    <t>Транслюминальная баллонная ангиопластика и стентирование коронарных артерий с тромбаспирацией.</t>
  </si>
  <si>
    <t>Хлопов М.И.</t>
  </si>
  <si>
    <t>19:24</t>
  </si>
  <si>
    <t>Правый</t>
  </si>
  <si>
    <t>стенозы проксимального и среднего сегментов 30%. Антеградный кровоток TIMI III.</t>
  </si>
  <si>
    <t>стеноз дистальной трети 40%.</t>
  </si>
  <si>
    <t>С учётом клинических данных, ЭКГ, КАГ совместно с деж.кардиологом Дубровской Я.А. принято решение  о целесообразности реваскуляризации ПНА.</t>
  </si>
  <si>
    <t>неровность контуров устья и проксимального сегмента. Антеградный кровоток TIMI III.</t>
  </si>
  <si>
    <t xml:space="preserve">стеноз устья 50%, субтотальный стеноз проксимального сегмента, стеноз среднего сегмента 40%. Антеградный кровоток TIMI II.  Ретроградное контрастирование СВ ПНА и дистального сегмента за счет умеренно развитых межсистемных коллатералей из ПКА. </t>
  </si>
  <si>
    <t>200 ml</t>
  </si>
  <si>
    <t>Устье ствола ЛКА катетеризировано проводниковым катетером Launcher EBU 3.5 6Fr. Коронарный проводники Intuition (2 шт) заведены в дистальный сегмент ПНА и ОА. БК Sprinter Legend 2.0-15 выполнена предилатация субокклюзирующего стеноза пркосимального сегмента ПНА. В зону значимого стеноза из ПНА в ствол ЛКА имплантирован DES Resolute Integrity 3,5-34 mm, давлением 12 атм. Рекроссинг проводников. Оптимизация ячейки в ОА БК Sprinter Legend 3,0-15 мм. Постдилатация стента проксимального сегмента БК NC Euphora 4.5-8 мм. На контрольных съёмках ангиографический результат удовлетворительный, признаков краевых диссекций, тромбоза ПНА нет. Устье ОА нескомпрометировано, диссекции и тромбоза нет. Антеградный кровоток по ПНА и ОА TIMI III. Пациент в стабильном состоянии переводится в ПРИТ для дальнейшего наблюдения и лечения.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</si>
</sst>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[$-F800]dddd\,\ mmmm\ dd\,\ yyyy"/>
    <numFmt numFmtId="166" formatCode="h:mm;@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Times New Roman"/>
      <family val="1"/>
      <charset val="204"/>
    </font>
    <font>
      <b/>
      <sz val="10"/>
      <color theme="0"/>
      <name val="Arial Cyr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2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1"/>
      <name val="Gadugi"/>
      <family val="2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Bahnschrift"/>
      <family val="2"/>
      <charset val="204"/>
    </font>
    <font>
      <u/>
      <sz val="12"/>
      <color theme="1"/>
      <name val="Times New Roman"/>
      <family val="1"/>
      <charset val="204"/>
    </font>
    <font>
      <sz val="10"/>
      <color theme="1"/>
      <name val="Calibri Light"/>
      <family val="2"/>
      <charset val="204"/>
      <scheme val="major"/>
    </font>
    <font>
      <u/>
      <sz val="14"/>
      <color theme="1"/>
      <name val="Times New Roman"/>
      <family val="1"/>
      <charset val="204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Bahnschrift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2"/>
      <color theme="1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i/>
      <sz val="7"/>
      <color theme="1"/>
      <name val="Calibri"/>
      <family val="2"/>
      <charset val="204"/>
      <scheme val="minor"/>
    </font>
    <font>
      <b/>
      <u/>
      <sz val="12"/>
      <color theme="1"/>
      <name val="Arial Narrow"/>
      <family val="2"/>
      <charset val="204"/>
    </font>
    <font>
      <b/>
      <sz val="12"/>
      <color theme="1"/>
      <name val="Verdan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Gadugi"/>
      <family val="2"/>
    </font>
    <font>
      <b/>
      <sz val="11"/>
      <color rgb="FF3F3F3F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2"/>
      <color theme="1"/>
      <name val="Arial Narrow"/>
      <family val="2"/>
      <charset val="204"/>
    </font>
    <font>
      <b/>
      <u/>
      <sz val="12"/>
      <color theme="1"/>
      <name val="Times New Roman"/>
      <family val="1"/>
      <charset val="204"/>
    </font>
    <font>
      <b/>
      <sz val="10"/>
      <color rgb="FF3F3F3F"/>
      <name val="Times New Roman"/>
      <family val="1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</fills>
  <borders count="40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hair">
        <color auto="1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hair">
        <color auto="1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/>
    <xf numFmtId="164" fontId="8" fillId="3" borderId="0" applyNumberFormat="0" applyFill="0" applyAlignment="0"/>
    <xf numFmtId="0" fontId="13" fillId="0" borderId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47" fillId="9" borderId="21" applyNumberFormat="0" applyAlignment="0" applyProtection="0"/>
  </cellStyleXfs>
  <cellXfs count="2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justify" vertical="justify" wrapText="1"/>
    </xf>
    <xf numFmtId="0" fontId="0" fillId="0" borderId="0" xfId="0" applyFill="1" applyAlignment="1">
      <alignment horizontal="justify" vertical="justify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fill" vertical="center"/>
    </xf>
    <xf numFmtId="0" fontId="0" fillId="0" borderId="0" xfId="0" applyNumberFormat="1"/>
    <xf numFmtId="0" fontId="21" fillId="0" borderId="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0" xfId="0" applyBorder="1"/>
    <xf numFmtId="0" fontId="22" fillId="7" borderId="6" xfId="5" applyFont="1" applyBorder="1" applyAlignment="1">
      <alignment vertical="center"/>
    </xf>
    <xf numFmtId="0" fontId="28" fillId="0" borderId="6" xfId="0" applyFont="1" applyBorder="1" applyAlignment="1">
      <alignment vertical="center"/>
    </xf>
    <xf numFmtId="0" fontId="22" fillId="7" borderId="10" xfId="5" applyFont="1" applyBorder="1" applyAlignment="1">
      <alignment horizontal="centerContinuous" vertical="center"/>
    </xf>
    <xf numFmtId="0" fontId="7" fillId="7" borderId="5" xfId="5" applyBorder="1" applyAlignment="1">
      <alignment horizontal="centerContinuous" vertical="center"/>
    </xf>
    <xf numFmtId="0" fontId="7" fillId="7" borderId="11" xfId="5" applyBorder="1" applyAlignment="1">
      <alignment horizontal="centerContinuous" vertical="center"/>
    </xf>
    <xf numFmtId="0" fontId="15" fillId="0" borderId="7" xfId="0" applyFont="1" applyBorder="1" applyAlignment="1" applyProtection="1">
      <alignment horizontal="left" vertical="center"/>
      <protection locked="0"/>
    </xf>
    <xf numFmtId="14" fontId="31" fillId="6" borderId="7" xfId="4" applyNumberFormat="1" applyFont="1" applyBorder="1" applyAlignment="1" applyProtection="1">
      <alignment horizontal="left" vertical="center"/>
      <protection locked="0"/>
    </xf>
    <xf numFmtId="0" fontId="11" fillId="7" borderId="8" xfId="5" applyFont="1" applyBorder="1" applyAlignment="1">
      <alignment horizontal="left" vertical="center"/>
    </xf>
    <xf numFmtId="166" fontId="11" fillId="6" borderId="9" xfId="4" applyNumberFormat="1" applyFont="1" applyBorder="1" applyAlignment="1" applyProtection="1">
      <alignment horizontal="left" vertical="center"/>
      <protection locked="0"/>
    </xf>
    <xf numFmtId="0" fontId="15" fillId="0" borderId="3" xfId="0" applyFont="1" applyBorder="1" applyAlignment="1" applyProtection="1">
      <alignment vertical="center"/>
      <protection locked="0"/>
    </xf>
    <xf numFmtId="0" fontId="15" fillId="0" borderId="4" xfId="0" applyFont="1" applyBorder="1" applyAlignment="1" applyProtection="1">
      <alignment vertical="center"/>
      <protection locked="0"/>
    </xf>
    <xf numFmtId="0" fontId="15" fillId="0" borderId="9" xfId="0" applyFont="1" applyBorder="1" applyAlignment="1" applyProtection="1">
      <alignment vertical="center"/>
      <protection locked="0"/>
    </xf>
    <xf numFmtId="0" fontId="15" fillId="0" borderId="7" xfId="0" applyFont="1" applyBorder="1" applyAlignment="1" applyProtection="1">
      <alignment vertical="center"/>
      <protection locked="0"/>
    </xf>
    <xf numFmtId="0" fontId="0" fillId="0" borderId="10" xfId="0" applyBorder="1"/>
    <xf numFmtId="0" fontId="32" fillId="0" borderId="0" xfId="0" applyFont="1" applyBorder="1" applyAlignment="1">
      <alignment vertical="top" wrapText="1"/>
    </xf>
    <xf numFmtId="0" fontId="22" fillId="7" borderId="5" xfId="5" applyFont="1" applyBorder="1" applyAlignment="1">
      <alignment horizontal="centerContinuous" vertical="center"/>
    </xf>
    <xf numFmtId="0" fontId="29" fillId="0" borderId="7" xfId="0" applyFont="1" applyBorder="1" applyAlignment="1" applyProtection="1">
      <alignment horizontal="left" vertical="center"/>
    </xf>
    <xf numFmtId="0" fontId="0" fillId="0" borderId="3" xfId="0" applyBorder="1"/>
    <xf numFmtId="0" fontId="32" fillId="0" borderId="12" xfId="0" applyFont="1" applyBorder="1" applyAlignment="1">
      <alignment vertical="top" wrapText="1"/>
    </xf>
    <xf numFmtId="0" fontId="32" fillId="0" borderId="8" xfId="0" applyFont="1" applyBorder="1" applyAlignment="1">
      <alignment vertical="top" wrapText="1"/>
    </xf>
    <xf numFmtId="0" fontId="32" fillId="0" borderId="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3" fillId="0" borderId="0" xfId="0" applyFont="1" applyBorder="1" applyAlignment="1" applyProtection="1">
      <alignment vertical="center"/>
      <protection locked="0"/>
    </xf>
    <xf numFmtId="0" fontId="15" fillId="0" borderId="0" xfId="0" applyFont="1" applyBorder="1" applyAlignment="1" applyProtection="1">
      <alignment vertical="center"/>
      <protection locked="0"/>
    </xf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40" fillId="0" borderId="0" xfId="0" applyFont="1" applyBorder="1" applyAlignment="1">
      <alignment horizontal="centerContinuous" vertical="center" wrapText="1"/>
    </xf>
    <xf numFmtId="0" fontId="27" fillId="0" borderId="10" xfId="0" applyFont="1" applyBorder="1" applyAlignment="1">
      <alignment horizontal="centerContinuous" vertical="top" wrapText="1"/>
    </xf>
    <xf numFmtId="0" fontId="22" fillId="0" borderId="5" xfId="0" applyFont="1" applyBorder="1" applyAlignment="1">
      <alignment horizontal="centerContinuous" vertical="distributed" wrapText="1"/>
    </xf>
    <xf numFmtId="0" fontId="22" fillId="0" borderId="11" xfId="0" applyFont="1" applyBorder="1" applyAlignment="1">
      <alignment horizontal="centerContinuous" vertical="distributed" wrapText="1"/>
    </xf>
    <xf numFmtId="0" fontId="22" fillId="0" borderId="12" xfId="0" applyFont="1" applyBorder="1" applyAlignment="1">
      <alignment horizontal="centerContinuous" vertical="distributed" wrapText="1"/>
    </xf>
    <xf numFmtId="0" fontId="22" fillId="0" borderId="0" xfId="0" applyFont="1" applyBorder="1" applyAlignment="1">
      <alignment horizontal="centerContinuous" vertical="distributed" wrapText="1"/>
    </xf>
    <xf numFmtId="0" fontId="22" fillId="0" borderId="13" xfId="0" applyFont="1" applyBorder="1" applyAlignment="1">
      <alignment horizontal="centerContinuous" vertical="distributed" wrapText="1"/>
    </xf>
    <xf numFmtId="0" fontId="25" fillId="0" borderId="12" xfId="0" applyFont="1" applyBorder="1" applyAlignment="1">
      <alignment horizontal="centerContinuous" vertical="distributed" wrapText="1"/>
    </xf>
    <xf numFmtId="0" fontId="26" fillId="0" borderId="0" xfId="0" applyFont="1" applyBorder="1" applyAlignment="1">
      <alignment horizontal="centerContinuous" vertical="distributed" wrapText="1"/>
    </xf>
    <xf numFmtId="0" fontId="26" fillId="0" borderId="13" xfId="0" applyFont="1" applyBorder="1" applyAlignment="1">
      <alignment horizontal="centerContinuous" vertical="distributed" wrapText="1"/>
    </xf>
    <xf numFmtId="0" fontId="37" fillId="0" borderId="12" xfId="0" applyFont="1" applyBorder="1" applyAlignment="1">
      <alignment vertical="center"/>
    </xf>
    <xf numFmtId="0" fontId="0" fillId="0" borderId="0" xfId="0" applyNumberFormat="1" applyBorder="1" applyAlignment="1">
      <alignment vertical="distributed"/>
    </xf>
    <xf numFmtId="0" fontId="0" fillId="0" borderId="0" xfId="0" applyBorder="1" applyAlignment="1">
      <alignment vertical="distributed"/>
    </xf>
    <xf numFmtId="20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5" fillId="0" borderId="13" xfId="0" applyFont="1" applyBorder="1" applyAlignment="1" applyProtection="1">
      <alignment vertical="center"/>
      <protection locked="0"/>
    </xf>
    <xf numFmtId="0" fontId="38" fillId="0" borderId="12" xfId="0" applyFont="1" applyBorder="1" applyAlignment="1">
      <alignment horizontal="left" vertical="center"/>
    </xf>
    <xf numFmtId="0" fontId="30" fillId="0" borderId="8" xfId="0" applyFont="1" applyBorder="1" applyAlignment="1">
      <alignment vertical="top" wrapText="1"/>
    </xf>
    <xf numFmtId="0" fontId="38" fillId="0" borderId="10" xfId="0" applyFont="1" applyBorder="1" applyAlignment="1">
      <alignment horizontal="left" vertical="top" wrapText="1"/>
    </xf>
    <xf numFmtId="0" fontId="30" fillId="0" borderId="12" xfId="0" applyFont="1" applyBorder="1" applyAlignment="1">
      <alignment vertical="top" wrapText="1"/>
    </xf>
    <xf numFmtId="0" fontId="40" fillId="0" borderId="13" xfId="0" applyFont="1" applyBorder="1" applyAlignment="1">
      <alignment horizontal="centerContinuous" vertical="center" wrapText="1"/>
    </xf>
    <xf numFmtId="0" fontId="0" fillId="0" borderId="1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4" xfId="0" applyBorder="1"/>
    <xf numFmtId="0" fontId="34" fillId="0" borderId="12" xfId="0" applyFont="1" applyBorder="1"/>
    <xf numFmtId="0" fontId="0" fillId="0" borderId="0" xfId="0" applyBorder="1" applyProtection="1">
      <protection locked="0"/>
    </xf>
    <xf numFmtId="165" fontId="15" fillId="0" borderId="7" xfId="0" applyNumberFormat="1" applyFont="1" applyBorder="1" applyAlignment="1" applyProtection="1">
      <alignment horizontal="left" vertical="center"/>
    </xf>
    <xf numFmtId="0" fontId="28" fillId="0" borderId="6" xfId="0" applyFont="1" applyBorder="1" applyAlignment="1" applyProtection="1">
      <alignment vertical="center"/>
    </xf>
    <xf numFmtId="0" fontId="29" fillId="0" borderId="7" xfId="0" applyNumberFormat="1" applyFont="1" applyBorder="1" applyAlignment="1" applyProtection="1">
      <alignment horizontal="left" vertical="center"/>
    </xf>
    <xf numFmtId="0" fontId="15" fillId="0" borderId="7" xfId="0" applyNumberFormat="1" applyFont="1" applyBorder="1" applyAlignment="1" applyProtection="1">
      <alignment horizontal="left" vertical="center"/>
    </xf>
    <xf numFmtId="0" fontId="34" fillId="0" borderId="12" xfId="0" applyFont="1" applyBorder="1" applyProtection="1"/>
    <xf numFmtId="0" fontId="27" fillId="0" borderId="0" xfId="0" applyFont="1" applyBorder="1" applyAlignment="1">
      <alignment horizontal="centerContinuous" vertical="top" wrapText="1"/>
    </xf>
    <xf numFmtId="0" fontId="15" fillId="0" borderId="12" xfId="0" applyFont="1" applyBorder="1" applyAlignment="1" applyProtection="1">
      <alignment vertical="top" wrapText="1"/>
      <protection locked="0"/>
    </xf>
    <xf numFmtId="0" fontId="15" fillId="0" borderId="0" xfId="0" applyFont="1" applyBorder="1" applyAlignment="1" applyProtection="1">
      <alignment vertical="top" wrapText="1"/>
      <protection locked="0"/>
    </xf>
    <xf numFmtId="0" fontId="34" fillId="0" borderId="3" xfId="0" applyNumberFormat="1" applyFont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centerContinuous" vertical="top" wrapText="1"/>
      <protection locked="0"/>
    </xf>
    <xf numFmtId="20" fontId="29" fillId="0" borderId="13" xfId="0" applyNumberFormat="1" applyFont="1" applyBorder="1" applyAlignment="1">
      <alignment horizontal="left" vertical="center" wrapText="1"/>
    </xf>
    <xf numFmtId="0" fontId="18" fillId="0" borderId="0" xfId="0" applyFont="1" applyBorder="1" applyAlignment="1">
      <alignment horizontal="centerContinuous" vertical="center"/>
    </xf>
    <xf numFmtId="0" fontId="32" fillId="0" borderId="0" xfId="0" applyFont="1" applyBorder="1" applyAlignment="1">
      <alignment vertical="top"/>
    </xf>
    <xf numFmtId="0" fontId="32" fillId="0" borderId="13" xfId="0" applyFont="1" applyBorder="1" applyAlignment="1">
      <alignment vertical="top"/>
    </xf>
    <xf numFmtId="0" fontId="22" fillId="0" borderId="0" xfId="0" applyFont="1" applyBorder="1"/>
    <xf numFmtId="0" fontId="22" fillId="7" borderId="6" xfId="5" applyFont="1" applyBorder="1" applyAlignment="1" applyProtection="1">
      <alignment vertical="center"/>
    </xf>
    <xf numFmtId="0" fontId="11" fillId="7" borderId="8" xfId="5" applyFont="1" applyBorder="1" applyAlignment="1" applyProtection="1">
      <alignment horizontal="left" vertical="center"/>
    </xf>
    <xf numFmtId="0" fontId="35" fillId="0" borderId="0" xfId="0" applyFont="1" applyBorder="1" applyAlignment="1" applyProtection="1">
      <alignment horizontal="left"/>
      <protection locked="0"/>
    </xf>
    <xf numFmtId="20" fontId="0" fillId="0" borderId="0" xfId="0" applyNumberFormat="1" applyBorder="1" applyAlignment="1" applyProtection="1">
      <alignment vertical="center"/>
      <protection locked="0"/>
    </xf>
    <xf numFmtId="0" fontId="44" fillId="0" borderId="0" xfId="0" applyFont="1" applyAlignment="1">
      <alignment horizontal="left" vertical="center"/>
    </xf>
    <xf numFmtId="0" fontId="15" fillId="0" borderId="3" xfId="0" applyFont="1" applyBorder="1" applyAlignment="1" applyProtection="1">
      <alignment vertical="center"/>
    </xf>
    <xf numFmtId="0" fontId="15" fillId="0" borderId="4" xfId="0" applyFont="1" applyBorder="1" applyAlignment="1" applyProtection="1">
      <alignment vertical="center"/>
    </xf>
    <xf numFmtId="0" fontId="28" fillId="0" borderId="8" xfId="0" applyFont="1" applyBorder="1" applyAlignment="1">
      <alignment vertical="center"/>
    </xf>
    <xf numFmtId="165" fontId="15" fillId="0" borderId="9" xfId="0" applyNumberFormat="1" applyFont="1" applyBorder="1" applyAlignment="1" applyProtection="1">
      <alignment horizontal="left" vertical="center"/>
      <protection locked="0"/>
    </xf>
    <xf numFmtId="0" fontId="11" fillId="7" borderId="15" xfId="5" applyFont="1" applyBorder="1" applyAlignment="1">
      <alignment horizontal="left" vertical="center"/>
    </xf>
    <xf numFmtId="166" fontId="11" fillId="6" borderId="16" xfId="4" applyNumberFormat="1" applyFont="1" applyBorder="1" applyAlignment="1" applyProtection="1">
      <alignment horizontal="left" vertical="center"/>
      <protection locked="0"/>
    </xf>
    <xf numFmtId="0" fontId="38" fillId="0" borderId="0" xfId="0" applyFont="1" applyBorder="1" applyAlignment="1">
      <alignment horizontal="left" vertical="center"/>
    </xf>
    <xf numFmtId="0" fontId="35" fillId="0" borderId="13" xfId="0" applyFont="1" applyBorder="1" applyAlignment="1" applyProtection="1">
      <alignment horizontal="left"/>
      <protection locked="0"/>
    </xf>
    <xf numFmtId="0" fontId="22" fillId="0" borderId="19" xfId="0" applyFont="1" applyBorder="1" applyAlignment="1" applyProtection="1">
      <alignment horizontal="center" vertical="center"/>
      <protection locked="0"/>
    </xf>
    <xf numFmtId="0" fontId="35" fillId="0" borderId="0" xfId="0" applyFont="1" applyBorder="1" applyAlignment="1" applyProtection="1">
      <alignment vertical="center"/>
      <protection locked="0"/>
    </xf>
    <xf numFmtId="0" fontId="0" fillId="0" borderId="3" xfId="0" applyBorder="1" applyAlignment="1">
      <alignment vertical="top" wrapText="1"/>
    </xf>
    <xf numFmtId="0" fontId="15" fillId="8" borderId="17" xfId="6" applyFont="1" applyBorder="1" applyAlignment="1">
      <alignment horizontal="left" vertical="center"/>
    </xf>
    <xf numFmtId="0" fontId="36" fillId="8" borderId="18" xfId="6" applyFont="1" applyBorder="1" applyAlignment="1" applyProtection="1">
      <alignment horizontal="left" vertical="center"/>
      <protection locked="0"/>
    </xf>
    <xf numFmtId="0" fontId="15" fillId="0" borderId="9" xfId="0" applyFont="1" applyBorder="1" applyAlignment="1" applyProtection="1">
      <alignment vertical="center"/>
    </xf>
    <xf numFmtId="0" fontId="15" fillId="0" borderId="7" xfId="0" applyFont="1" applyBorder="1" applyAlignment="1" applyProtection="1">
      <alignment vertical="center"/>
    </xf>
    <xf numFmtId="0" fontId="22" fillId="0" borderId="20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vertical="center"/>
      <protection locked="0"/>
    </xf>
    <xf numFmtId="0" fontId="28" fillId="0" borderId="4" xfId="0" applyFont="1" applyBorder="1" applyAlignment="1" applyProtection="1">
      <alignment vertical="center"/>
      <protection locked="0"/>
    </xf>
    <xf numFmtId="0" fontId="45" fillId="0" borderId="19" xfId="0" applyFont="1" applyBorder="1" applyAlignment="1" applyProtection="1">
      <alignment horizontal="center" vertical="center"/>
      <protection locked="0"/>
    </xf>
    <xf numFmtId="0" fontId="45" fillId="0" borderId="20" xfId="0" applyFont="1" applyBorder="1" applyAlignment="1" applyProtection="1">
      <alignment horizontal="center" vertical="center"/>
      <protection locked="0"/>
    </xf>
    <xf numFmtId="0" fontId="28" fillId="0" borderId="8" xfId="0" applyFont="1" applyBorder="1" applyAlignment="1" applyProtection="1">
      <alignment vertical="center"/>
      <protection locked="0"/>
    </xf>
    <xf numFmtId="0" fontId="28" fillId="0" borderId="6" xfId="0" applyFont="1" applyBorder="1" applyAlignment="1" applyProtection="1">
      <alignment vertical="center"/>
      <protection locked="0"/>
    </xf>
    <xf numFmtId="0" fontId="46" fillId="0" borderId="20" xfId="0" applyNumberFormat="1" applyFont="1" applyBorder="1" applyAlignment="1" applyProtection="1">
      <alignment horizontal="center" vertical="center" wrapText="1"/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0" fontId="17" fillId="0" borderId="10" xfId="0" applyFont="1" applyBorder="1" applyAlignment="1">
      <alignment horizontal="right"/>
    </xf>
    <xf numFmtId="165" fontId="17" fillId="0" borderId="5" xfId="0" applyNumberFormat="1" applyFont="1" applyBorder="1" applyAlignment="1">
      <alignment horizontal="center"/>
    </xf>
    <xf numFmtId="0" fontId="19" fillId="0" borderId="11" xfId="0" applyFont="1" applyBorder="1" applyAlignment="1">
      <alignment horizontal="right" vertical="top"/>
    </xf>
    <xf numFmtId="0" fontId="18" fillId="0" borderId="12" xfId="0" applyFont="1" applyBorder="1" applyAlignment="1">
      <alignment horizontal="centerContinuous" vertical="top"/>
    </xf>
    <xf numFmtId="0" fontId="16" fillId="0" borderId="0" xfId="0" applyFont="1" applyBorder="1" applyAlignment="1">
      <alignment horizontal="centerContinuous"/>
    </xf>
    <xf numFmtId="0" fontId="49" fillId="9" borderId="21" xfId="7" applyFont="1" applyBorder="1" applyAlignment="1">
      <alignment horizontal="left" vertical="center"/>
    </xf>
    <xf numFmtId="14" fontId="48" fillId="9" borderId="22" xfId="7" applyNumberFormat="1" applyFont="1" applyBorder="1" applyAlignment="1" applyProtection="1">
      <alignment horizontal="right" vertical="center"/>
    </xf>
    <xf numFmtId="0" fontId="48" fillId="9" borderId="22" xfId="7" applyFont="1" applyBorder="1" applyAlignment="1" applyProtection="1">
      <alignment horizontal="right" vertical="center"/>
    </xf>
    <xf numFmtId="0" fontId="22" fillId="0" borderId="12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49" fillId="9" borderId="21" xfId="7" applyFont="1" applyBorder="1" applyAlignment="1" applyProtection="1">
      <alignment horizontal="left" vertical="center"/>
    </xf>
    <xf numFmtId="0" fontId="23" fillId="0" borderId="12" xfId="0" applyNumberFormat="1" applyFont="1" applyFill="1" applyBorder="1" applyAlignment="1">
      <alignment horizontal="justify" vertical="center" wrapText="1"/>
    </xf>
    <xf numFmtId="0" fontId="24" fillId="0" borderId="13" xfId="0" applyFont="1" applyFill="1" applyBorder="1" applyAlignment="1" applyProtection="1">
      <alignment horizontal="center" vertical="center"/>
      <protection locked="0"/>
    </xf>
    <xf numFmtId="0" fontId="24" fillId="0" borderId="0" xfId="0" applyFont="1" applyFill="1" applyBorder="1" applyAlignment="1" applyProtection="1">
      <alignment horizontal="justify" vertical="center" wrapText="1"/>
      <protection locked="0"/>
    </xf>
    <xf numFmtId="0" fontId="24" fillId="0" borderId="0" xfId="0" applyFont="1" applyFill="1" applyBorder="1" applyAlignment="1" applyProtection="1">
      <alignment vertical="center"/>
      <protection locked="0"/>
    </xf>
    <xf numFmtId="0" fontId="22" fillId="0" borderId="0" xfId="0" applyFont="1" applyFill="1" applyBorder="1" applyAlignment="1" applyProtection="1">
      <alignment horizontal="left" vertical="top" wrapText="1"/>
      <protection locked="0"/>
    </xf>
    <xf numFmtId="0" fontId="22" fillId="0" borderId="0" xfId="0" applyFont="1" applyFill="1" applyBorder="1" applyAlignment="1" applyProtection="1">
      <alignment horizontal="left" wrapText="1"/>
      <protection locked="0"/>
    </xf>
    <xf numFmtId="0" fontId="0" fillId="0" borderId="5" xfId="0" applyBorder="1"/>
    <xf numFmtId="0" fontId="0" fillId="0" borderId="11" xfId="0" applyBorder="1"/>
    <xf numFmtId="0" fontId="21" fillId="0" borderId="2" xfId="0" applyFont="1" applyBorder="1" applyAlignment="1">
      <alignment horizontal="left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shrinkToFit="1"/>
    </xf>
    <xf numFmtId="0" fontId="22" fillId="0" borderId="0" xfId="0" applyFont="1" applyFill="1" applyBorder="1" applyAlignment="1" applyProtection="1">
      <alignment horizontal="left" vertical="center" wrapText="1"/>
    </xf>
    <xf numFmtId="0" fontId="0" fillId="0" borderId="0" xfId="0" applyNumberFormat="1" applyAlignment="1">
      <alignment shrinkToFit="1"/>
    </xf>
    <xf numFmtId="20" fontId="16" fillId="0" borderId="0" xfId="0" applyNumberFormat="1" applyFont="1" applyBorder="1" applyAlignment="1" applyProtection="1">
      <alignment vertical="center"/>
      <protection locked="0"/>
    </xf>
    <xf numFmtId="0" fontId="0" fillId="0" borderId="0" xfId="0" applyBorder="1" applyAlignment="1"/>
    <xf numFmtId="0" fontId="0" fillId="0" borderId="0" xfId="0" applyBorder="1" applyAlignment="1">
      <alignment vertical="top" wrapText="1"/>
    </xf>
    <xf numFmtId="0" fontId="41" fillId="0" borderId="0" xfId="0" applyFont="1" applyBorder="1" applyAlignment="1" applyProtection="1">
      <alignment vertical="top" wrapText="1"/>
      <protection locked="0"/>
    </xf>
    <xf numFmtId="0" fontId="53" fillId="0" borderId="0" xfId="0" applyFont="1" applyBorder="1" applyAlignment="1">
      <alignment vertical="top"/>
    </xf>
    <xf numFmtId="0" fontId="54" fillId="0" borderId="0" xfId="0" applyFont="1" applyBorder="1" applyAlignment="1">
      <alignment vertical="top"/>
    </xf>
    <xf numFmtId="0" fontId="0" fillId="0" borderId="12" xfId="0" applyBorder="1" applyAlignment="1"/>
    <xf numFmtId="0" fontId="0" fillId="0" borderId="13" xfId="0" applyBorder="1" applyAlignment="1">
      <alignment vertical="top" wrapText="1"/>
    </xf>
    <xf numFmtId="0" fontId="0" fillId="0" borderId="0" xfId="0" applyBorder="1" applyAlignment="1" applyProtection="1">
      <alignment vertical="top" wrapText="1"/>
      <protection locked="0"/>
    </xf>
    <xf numFmtId="0" fontId="38" fillId="0" borderId="0" xfId="0" applyFont="1" applyBorder="1" applyAlignment="1">
      <alignment horizontal="centerContinuous" vertical="center"/>
    </xf>
    <xf numFmtId="0" fontId="50" fillId="0" borderId="0" xfId="0" applyFont="1" applyBorder="1" applyAlignment="1" applyProtection="1">
      <alignment vertical="top" wrapText="1"/>
      <protection locked="0"/>
    </xf>
    <xf numFmtId="0" fontId="50" fillId="0" borderId="3" xfId="0" applyFont="1" applyBorder="1" applyAlignment="1" applyProtection="1">
      <alignment vertical="top" wrapText="1"/>
      <protection locked="0"/>
    </xf>
    <xf numFmtId="0" fontId="54" fillId="0" borderId="0" xfId="0" applyFont="1" applyBorder="1" applyAlignment="1">
      <alignment horizontal="centerContinuous" vertical="center" wrapText="1"/>
    </xf>
    <xf numFmtId="0" fontId="15" fillId="0" borderId="13" xfId="0" applyFont="1" applyBorder="1" applyAlignment="1" applyProtection="1">
      <alignment vertical="top" wrapText="1"/>
      <protection locked="0"/>
    </xf>
    <xf numFmtId="49" fontId="46" fillId="0" borderId="19" xfId="0" applyNumberFormat="1" applyFont="1" applyBorder="1" applyAlignment="1" applyProtection="1">
      <alignment horizontal="center" vertical="center" wrapText="1"/>
      <protection locked="0"/>
    </xf>
    <xf numFmtId="49" fontId="6" fillId="0" borderId="19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top" wrapText="1"/>
    </xf>
    <xf numFmtId="0" fontId="4" fillId="0" borderId="0" xfId="0" applyFont="1"/>
    <xf numFmtId="0" fontId="49" fillId="9" borderId="23" xfId="7" applyFont="1" applyBorder="1" applyAlignment="1">
      <alignment horizontal="left" vertical="center"/>
    </xf>
    <xf numFmtId="0" fontId="47" fillId="9" borderId="12" xfId="7" applyBorder="1" applyAlignment="1" applyProtection="1">
      <alignment horizontal="left" vertical="center"/>
    </xf>
    <xf numFmtId="0" fontId="47" fillId="9" borderId="24" xfId="7" applyBorder="1" applyAlignment="1" applyProtection="1">
      <alignment horizontal="justify" vertical="justify" wrapText="1"/>
    </xf>
    <xf numFmtId="0" fontId="47" fillId="9" borderId="24" xfId="7" applyBorder="1" applyAlignment="1" applyProtection="1">
      <alignment horizontal="justify" vertical="top" wrapText="1"/>
    </xf>
    <xf numFmtId="0" fontId="56" fillId="0" borderId="25" xfId="0" applyFont="1" applyBorder="1" applyAlignment="1" applyProtection="1">
      <alignment horizontal="center" vertical="center"/>
      <protection locked="0"/>
    </xf>
    <xf numFmtId="0" fontId="56" fillId="0" borderId="25" xfId="0" applyFont="1" applyFill="1" applyBorder="1" applyAlignment="1" applyProtection="1">
      <alignment horizontal="center" vertical="center"/>
      <protection locked="0"/>
    </xf>
    <xf numFmtId="0" fontId="56" fillId="0" borderId="26" xfId="0" applyFont="1" applyBorder="1" applyAlignment="1" applyProtection="1">
      <alignment horizontal="center" vertical="center"/>
      <protection locked="0"/>
    </xf>
    <xf numFmtId="0" fontId="57" fillId="4" borderId="28" xfId="0" applyFont="1" applyFill="1" applyBorder="1" applyAlignment="1">
      <alignment horizontal="center" vertical="center"/>
    </xf>
    <xf numFmtId="0" fontId="57" fillId="4" borderId="29" xfId="0" applyFont="1" applyFill="1" applyBorder="1" applyAlignment="1">
      <alignment horizontal="center" vertical="center"/>
    </xf>
    <xf numFmtId="0" fontId="57" fillId="4" borderId="27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justify" vertical="center" wrapText="1"/>
    </xf>
    <xf numFmtId="0" fontId="56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>
      <alignment horizontal="justify" vertical="center" wrapText="1"/>
    </xf>
    <xf numFmtId="0" fontId="56" fillId="0" borderId="33" xfId="0" applyFont="1" applyBorder="1" applyAlignment="1" applyProtection="1">
      <alignment horizontal="center" vertical="center"/>
      <protection locked="0"/>
    </xf>
    <xf numFmtId="0" fontId="56" fillId="0" borderId="33" xfId="0" applyFont="1" applyFill="1" applyBorder="1" applyAlignment="1" applyProtection="1">
      <alignment horizontal="center" vertical="center"/>
      <protection locked="0"/>
    </xf>
    <xf numFmtId="0" fontId="11" fillId="0" borderId="32" xfId="0" applyNumberFormat="1" applyFont="1" applyFill="1" applyBorder="1" applyAlignment="1">
      <alignment horizontal="justify" vertical="center" wrapText="1"/>
    </xf>
    <xf numFmtId="0" fontId="23" fillId="0" borderId="32" xfId="0" applyNumberFormat="1" applyFont="1" applyFill="1" applyBorder="1" applyAlignment="1">
      <alignment horizontal="justify" vertical="center" wrapText="1"/>
    </xf>
    <xf numFmtId="0" fontId="23" fillId="0" borderId="34" xfId="0" applyNumberFormat="1" applyFont="1" applyFill="1" applyBorder="1" applyAlignment="1">
      <alignment horizontal="justify" vertical="center" wrapText="1"/>
    </xf>
    <xf numFmtId="0" fontId="56" fillId="0" borderId="35" xfId="0" applyFont="1" applyFill="1" applyBorder="1" applyAlignment="1" applyProtection="1">
      <alignment horizontal="center" vertical="center"/>
      <protection locked="0"/>
    </xf>
    <xf numFmtId="0" fontId="56" fillId="0" borderId="36" xfId="0" applyFont="1" applyFill="1" applyBorder="1" applyAlignment="1" applyProtection="1">
      <alignment horizontal="center" vertical="center"/>
      <protection locked="0"/>
    </xf>
    <xf numFmtId="0" fontId="20" fillId="5" borderId="10" xfId="0" applyFont="1" applyFill="1" applyBorder="1" applyAlignment="1">
      <alignment horizontal="left" vertical="center"/>
    </xf>
    <xf numFmtId="0" fontId="20" fillId="5" borderId="34" xfId="0" applyFont="1" applyFill="1" applyBorder="1" applyAlignment="1">
      <alignment horizontal="left" vertical="center"/>
    </xf>
    <xf numFmtId="0" fontId="15" fillId="8" borderId="37" xfId="6" applyFont="1" applyBorder="1" applyAlignment="1">
      <alignment horizontal="left" vertical="center"/>
    </xf>
    <xf numFmtId="0" fontId="36" fillId="8" borderId="16" xfId="6" applyFont="1" applyBorder="1" applyAlignment="1" applyProtection="1">
      <alignment horizontal="left" vertical="center"/>
      <protection locked="0"/>
    </xf>
    <xf numFmtId="14" fontId="55" fillId="9" borderId="38" xfId="7" applyNumberFormat="1" applyFont="1" applyBorder="1" applyAlignment="1">
      <alignment horizontal="left" vertical="center"/>
    </xf>
    <xf numFmtId="14" fontId="48" fillId="9" borderId="39" xfId="7" applyNumberFormat="1" applyFont="1" applyBorder="1" applyAlignment="1" applyProtection="1">
      <alignment horizontal="right" vertical="center"/>
    </xf>
    <xf numFmtId="0" fontId="18" fillId="0" borderId="5" xfId="0" applyFont="1" applyBorder="1" applyAlignment="1" applyProtection="1">
      <alignment horizontal="center"/>
    </xf>
    <xf numFmtId="0" fontId="36" fillId="8" borderId="18" xfId="6" applyFont="1" applyBorder="1" applyAlignment="1" applyProtection="1">
      <alignment horizontal="left" vertical="center"/>
    </xf>
    <xf numFmtId="0" fontId="56" fillId="0" borderId="26" xfId="0" applyFont="1" applyBorder="1" applyAlignment="1" applyProtection="1">
      <alignment horizontal="justify" vertical="center" wrapText="1"/>
      <protection locked="0"/>
    </xf>
    <xf numFmtId="0" fontId="56" fillId="0" borderId="25" xfId="0" applyFont="1" applyBorder="1" applyAlignment="1" applyProtection="1">
      <alignment horizontal="justify" vertical="center" wrapText="1"/>
      <protection locked="0"/>
    </xf>
    <xf numFmtId="16" fontId="56" fillId="0" borderId="25" xfId="0" applyNumberFormat="1" applyFont="1" applyBorder="1" applyAlignment="1" applyProtection="1">
      <alignment horizontal="justify" vertical="center" wrapText="1"/>
      <protection locked="0"/>
    </xf>
    <xf numFmtId="0" fontId="56" fillId="0" borderId="25" xfId="0" applyFont="1" applyFill="1" applyBorder="1" applyAlignment="1" applyProtection="1">
      <alignment horizontal="justify" vertical="center" wrapText="1"/>
      <protection locked="0"/>
    </xf>
    <xf numFmtId="0" fontId="56" fillId="0" borderId="35" xfId="0" applyFont="1" applyFill="1" applyBorder="1" applyAlignment="1" applyProtection="1">
      <alignment horizontal="justify" vertical="center" wrapText="1"/>
      <protection locked="0"/>
    </xf>
    <xf numFmtId="0" fontId="2" fillId="0" borderId="0" xfId="0" applyFo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5" fillId="0" borderId="0" xfId="0" applyFont="1" applyBorder="1" applyAlignment="1" applyProtection="1">
      <alignment horizontal="justify" vertical="top" wrapText="1"/>
      <protection locked="0"/>
    </xf>
    <xf numFmtId="0" fontId="5" fillId="0" borderId="13" xfId="0" applyFont="1" applyBorder="1" applyAlignment="1" applyProtection="1">
      <alignment horizontal="justify" vertical="top" wrapText="1"/>
      <protection locked="0"/>
    </xf>
    <xf numFmtId="0" fontId="38" fillId="0" borderId="0" xfId="0" applyFont="1" applyBorder="1" applyAlignment="1">
      <alignment horizontal="left" vertical="center" wrapText="1"/>
    </xf>
    <xf numFmtId="0" fontId="52" fillId="0" borderId="0" xfId="0" applyFont="1" applyBorder="1" applyAlignment="1" applyProtection="1">
      <alignment horizontal="justify" vertical="top" wrapText="1"/>
      <protection locked="0"/>
    </xf>
    <xf numFmtId="0" fontId="52" fillId="0" borderId="13" xfId="0" applyFont="1" applyBorder="1" applyAlignment="1" applyProtection="1">
      <alignment horizontal="justify" vertical="top" wrapText="1"/>
      <protection locked="0"/>
    </xf>
    <xf numFmtId="0" fontId="39" fillId="0" borderId="12" xfId="0" applyFont="1" applyBorder="1" applyAlignment="1" applyProtection="1">
      <alignment horizontal="center" vertical="center" wrapText="1"/>
      <protection locked="0"/>
    </xf>
    <xf numFmtId="0" fontId="39" fillId="0" borderId="0" xfId="0" applyFont="1" applyBorder="1" applyAlignment="1" applyProtection="1">
      <alignment horizontal="center" vertical="center" wrapText="1"/>
      <protection locked="0"/>
    </xf>
    <xf numFmtId="0" fontId="39" fillId="0" borderId="13" xfId="0" applyFont="1" applyBorder="1" applyAlignment="1" applyProtection="1">
      <alignment horizontal="center" vertical="center" wrapText="1"/>
      <protection locked="0"/>
    </xf>
    <xf numFmtId="0" fontId="16" fillId="0" borderId="0" xfId="0" applyFont="1" applyBorder="1" applyAlignment="1" applyProtection="1">
      <alignment horizontal="justify" vertical="top" wrapText="1"/>
      <protection locked="0"/>
    </xf>
    <xf numFmtId="0" fontId="16" fillId="0" borderId="13" xfId="0" applyFont="1" applyBorder="1" applyAlignment="1" applyProtection="1">
      <alignment horizontal="justify" vertical="top" wrapText="1"/>
      <protection locked="0"/>
    </xf>
    <xf numFmtId="0" fontId="16" fillId="0" borderId="3" xfId="0" applyFont="1" applyBorder="1" applyAlignment="1" applyProtection="1">
      <alignment horizontal="justify" vertical="top" wrapText="1"/>
      <protection locked="0"/>
    </xf>
    <xf numFmtId="0" fontId="16" fillId="0" borderId="9" xfId="0" applyFont="1" applyBorder="1" applyAlignment="1" applyProtection="1">
      <alignment horizontal="justify" vertical="top" wrapText="1"/>
      <protection locked="0"/>
    </xf>
    <xf numFmtId="0" fontId="46" fillId="0" borderId="5" xfId="0" applyFont="1" applyBorder="1" applyAlignment="1" applyProtection="1">
      <alignment horizontal="justify" vertical="top" wrapText="1"/>
      <protection locked="0"/>
    </xf>
    <xf numFmtId="0" fontId="46" fillId="0" borderId="11" xfId="0" applyFont="1" applyBorder="1" applyAlignment="1" applyProtection="1">
      <alignment horizontal="justify" vertical="top" wrapText="1"/>
      <protection locked="0"/>
    </xf>
    <xf numFmtId="0" fontId="46" fillId="0" borderId="0" xfId="0" applyFont="1" applyBorder="1" applyAlignment="1" applyProtection="1">
      <alignment horizontal="justify" vertical="top" wrapText="1"/>
      <protection locked="0"/>
    </xf>
    <xf numFmtId="0" fontId="46" fillId="0" borderId="13" xfId="0" applyFont="1" applyBorder="1" applyAlignment="1" applyProtection="1">
      <alignment horizontal="justify" vertical="top" wrapText="1"/>
      <protection locked="0"/>
    </xf>
    <xf numFmtId="0" fontId="46" fillId="0" borderId="3" xfId="0" applyFont="1" applyBorder="1" applyAlignment="1" applyProtection="1">
      <alignment horizontal="justify" vertical="top" wrapText="1"/>
      <protection locked="0"/>
    </xf>
    <xf numFmtId="0" fontId="46" fillId="0" borderId="9" xfId="0" applyFont="1" applyBorder="1" applyAlignment="1" applyProtection="1">
      <alignment horizontal="justify" vertical="top" wrapText="1"/>
      <protection locked="0"/>
    </xf>
    <xf numFmtId="0" fontId="51" fillId="0" borderId="3" xfId="0" applyFont="1" applyBorder="1" applyAlignment="1" applyProtection="1">
      <alignment horizontal="left" vertical="center"/>
      <protection locked="0"/>
    </xf>
    <xf numFmtId="0" fontId="36" fillId="0" borderId="12" xfId="0" applyFont="1" applyBorder="1" applyAlignment="1" applyProtection="1">
      <alignment horizontal="center" vertical="distributed" wrapText="1"/>
      <protection locked="0"/>
    </xf>
    <xf numFmtId="0" fontId="36" fillId="0" borderId="0" xfId="0" applyFont="1" applyBorder="1" applyAlignment="1" applyProtection="1">
      <alignment horizontal="center" vertical="distributed" wrapText="1"/>
      <protection locked="0"/>
    </xf>
    <xf numFmtId="0" fontId="36" fillId="0" borderId="13" xfId="0" applyFont="1" applyBorder="1" applyAlignment="1" applyProtection="1">
      <alignment horizontal="center" vertical="distributed" wrapText="1"/>
      <protection locked="0"/>
    </xf>
    <xf numFmtId="0" fontId="3" fillId="0" borderId="0" xfId="0" applyFont="1" applyBorder="1" applyAlignment="1" applyProtection="1">
      <alignment horizontal="justify" vertical="top" wrapText="1"/>
      <protection locked="0"/>
    </xf>
    <xf numFmtId="0" fontId="41" fillId="0" borderId="0" xfId="0" applyFont="1" applyBorder="1" applyAlignment="1" applyProtection="1">
      <alignment horizontal="justify" vertical="top" wrapText="1"/>
      <protection locked="0"/>
    </xf>
    <xf numFmtId="0" fontId="41" fillId="0" borderId="13" xfId="0" applyFont="1" applyBorder="1" applyAlignment="1" applyProtection="1">
      <alignment horizontal="justify" vertical="top" wrapText="1"/>
      <protection locked="0"/>
    </xf>
    <xf numFmtId="0" fontId="11" fillId="0" borderId="12" xfId="0" applyFont="1" applyBorder="1" applyAlignment="1" applyProtection="1">
      <alignment horizontal="justify" vertical="top" wrapText="1"/>
      <protection locked="0"/>
    </xf>
    <xf numFmtId="0" fontId="15" fillId="0" borderId="0" xfId="0" applyFont="1" applyBorder="1" applyAlignment="1" applyProtection="1">
      <alignment horizontal="justify" vertical="top" wrapText="1"/>
      <protection locked="0"/>
    </xf>
    <xf numFmtId="0" fontId="15" fillId="0" borderId="13" xfId="0" applyFont="1" applyBorder="1" applyAlignment="1" applyProtection="1">
      <alignment horizontal="justify" vertical="top" wrapText="1"/>
      <protection locked="0"/>
    </xf>
    <xf numFmtId="0" fontId="15" fillId="0" borderId="12" xfId="0" applyFont="1" applyBorder="1" applyAlignment="1" applyProtection="1">
      <alignment horizontal="justify" vertical="top" wrapText="1"/>
      <protection locked="0"/>
    </xf>
  </cellXfs>
  <cellStyles count="8">
    <cellStyle name="1" xfId="1"/>
    <cellStyle name="20% — акцент2" xfId="4" builtinId="34"/>
    <cellStyle name="20% — акцент3" xfId="6" builtinId="38"/>
    <cellStyle name="20% — акцент6" xfId="5" builtinId="50"/>
    <cellStyle name="Вывод" xfId="7" builtinId="21"/>
    <cellStyle name="Обычный" xfId="0" builtinId="0"/>
    <cellStyle name="Обычный 2_К 1932 сформированный ЦДЗ ПМУ - мой файл" xfId="3"/>
    <cellStyle name="Стиль 1" xfId="2"/>
  </cellStyles>
  <dxfs count="93">
    <dxf>
      <numFmt numFmtId="0" formatCode="General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justify" vertical="justify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 Cyr"/>
        <scheme val="none"/>
      </font>
    </dxf>
    <dxf>
      <numFmt numFmtId="0" formatCode="General"/>
      <alignment horizontal="justify" vertical="justify" textRotation="0" wrapText="1" indent="0" justifyLastLine="0" shrinkToFit="0" readingOrder="0"/>
      <protection locked="1" hidden="0"/>
    </dxf>
    <dxf>
      <numFmt numFmtId="0" formatCode="General"/>
      <alignment horizontal="left" vertical="center" textRotation="0" wrapText="0" indent="0" justifyLastLine="0" shrinkToFit="0" readingOrder="0"/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9"/>
          <bgColor theme="9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auto="1"/>
        </top>
        <bottom style="hair">
          <color auto="1"/>
        </bottom>
        <vertical style="thin">
          <color indexed="64"/>
        </vertical>
        <horizontal style="hair">
          <color auto="1"/>
        </horizontal>
      </border>
      <protection locked="0" hidden="0"/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b/>
        <i val="0"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justify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5" formatCode="[$-F800]dddd\,\ mmmm\ dd\,\ yyyy"/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0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66</xdr:row>
      <xdr:rowOff>5291</xdr:rowOff>
    </xdr:from>
    <xdr:to>
      <xdr:col>0</xdr:col>
      <xdr:colOff>708718</xdr:colOff>
      <xdr:row>67</xdr:row>
      <xdr:rowOff>135042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AAC6DAFB-C2F6-44E2-8058-E0AD6E982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92566"/>
          <a:ext cx="708718" cy="320251"/>
        </a:xfrm>
        <a:prstGeom prst="rect">
          <a:avLst/>
        </a:prstGeom>
      </xdr:spPr>
    </xdr:pic>
    <xdr:clientData/>
  </xdr:twoCellAnchor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7" name="Рисунок 6">
          <a:extLst>
            <a:ext uri="{FF2B5EF4-FFF2-40B4-BE49-F238E27FC236}">
              <a16:creationId xmlns="" xmlns:a16="http://schemas.microsoft.com/office/drawing/2014/main" id="{78FF242C-8228-497E-8399-1D2BC6138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626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36</xdr:row>
      <xdr:rowOff>22860</xdr:rowOff>
    </xdr:from>
    <xdr:to>
      <xdr:col>3</xdr:col>
      <xdr:colOff>0</xdr:colOff>
      <xdr:row>49</xdr:row>
      <xdr:rowOff>167640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20E7513B-7EC9-4BA6-88CF-12A53D3E6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6911340"/>
          <a:ext cx="3093720" cy="252222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304801</xdr:colOff>
      <xdr:row>0</xdr:row>
      <xdr:rowOff>109106</xdr:rowOff>
    </xdr:from>
    <xdr:to>
      <xdr:col>7</xdr:col>
      <xdr:colOff>1028701</xdr:colOff>
      <xdr:row>4</xdr:row>
      <xdr:rowOff>42531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6" y="109106"/>
          <a:ext cx="723900" cy="704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80C092EE-12C8-497E-9DEB-2A73290FC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2882"/>
        </a:xfrm>
        <a:prstGeom prst="rect">
          <a:avLst/>
        </a:prstGeom>
      </xdr:spPr>
    </xdr:pic>
    <xdr:clientData/>
  </xdr:twoCellAnchor>
  <xdr:twoCellAnchor editAs="oneCell">
    <xdr:from>
      <xdr:col>0</xdr:col>
      <xdr:colOff>30478</xdr:colOff>
      <xdr:row>37</xdr:row>
      <xdr:rowOff>7620</xdr:rowOff>
    </xdr:from>
    <xdr:to>
      <xdr:col>3</xdr:col>
      <xdr:colOff>4393</xdr:colOff>
      <xdr:row>49</xdr:row>
      <xdr:rowOff>167640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47F70CD2-0658-477E-83BE-491935AB2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8" y="7078980"/>
          <a:ext cx="3092400" cy="2369820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0</xdr:row>
      <xdr:rowOff>114300</xdr:rowOff>
    </xdr:from>
    <xdr:to>
      <xdr:col>7</xdr:col>
      <xdr:colOff>1047750</xdr:colOff>
      <xdr:row>4</xdr:row>
      <xdr:rowOff>47725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14300"/>
          <a:ext cx="723900" cy="704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3" name="Опер.Бригада" displayName="Опер.Бригада" ref="D9:H13" headerRowCount="0" totalsRowShown="0" headerRowDxfId="92" dataDxfId="91" tableBorderDxfId="90" totalsRowBorderDxfId="89">
  <tableColumns count="5">
    <tableColumn id="1" name="Должность" headerRowDxfId="88" dataDxfId="87"/>
    <tableColumn id="5" name="Столбец2" headerRowDxfId="86" dataDxfId="85"/>
    <tableColumn id="4" name="Столбец1" headerRowDxfId="84" dataDxfId="83"/>
    <tableColumn id="2" name="Бригада_1" headerRowDxfId="82" dataDxfId="81"/>
    <tableColumn id="3" name="Бригада_2" headerRowDxfId="80" dataDxfId="7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4" name="Таблица24" displayName="Таблица24" ref="A12:B16" headerRowCount="0" totalsRowShown="0" headerRowDxfId="78" dataDxfId="77">
  <tableColumns count="2">
    <tableColumn id="1" name="Столбец1" headerRowDxfId="76" dataDxfId="75"/>
    <tableColumn id="2" name="Столбец2" headerRowDxfId="74" dataDxfId="7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1" name="Опер.Бригада12" displayName="Опер.Бригада12" ref="D13:H17" headerRowCount="0" totalsRowShown="0" headerRowDxfId="72" dataDxfId="71" tableBorderDxfId="70" totalsRowBorderDxfId="69">
  <tableColumns count="5">
    <tableColumn id="1" name="Должность" headerRowDxfId="68" dataDxfId="67"/>
    <tableColumn id="5" name="Столбец2" headerRowDxfId="66" dataDxfId="65"/>
    <tableColumn id="4" name="Столбец1" headerRowDxfId="64" dataDxfId="63"/>
    <tableColumn id="2" name="Бригада_1" headerRowDxfId="62" dataDxfId="61"/>
    <tableColumn id="3" name="Бригада_2" headerRowDxfId="60" dataDxfId="59">
      <calculatedColumnFormula>IF(ISBLANK(КАГ!H9),"",КАГ!H9)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5" name="Таблица2416" displayName="Таблица2416" ref="A16:B20" headerRowCount="0" totalsRowShown="0" headerRowDxfId="58" dataDxfId="57">
  <tableColumns count="2">
    <tableColumn id="1" name="Столбец1" headerRowDxfId="56" dataDxfId="55"/>
    <tableColumn id="2" name="Столбец2" headerRowDxfId="54" dataDxfId="53">
      <calculatedColumnFormula>КАГ!B12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Карта_Учёта" displayName="Карта_Учёта" ref="A12:D25" totalsRowShown="0" headerRowDxfId="52" headerRowBorderDxfId="51" tableBorderDxfId="50">
  <tableColumns count="4">
    <tableColumn id="1" name="Тип материала " dataDxfId="49">
      <calculatedColumnFormula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calculatedColumnFormula>
    </tableColumn>
    <tableColumn id="2" name="Наименование расходного материала" dataDxfId="48"/>
    <tableColumn id="3" name="Размер" dataDxfId="47"/>
    <tableColumn id="4" name="Количество" dataDxfId="46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9" name="Манипуляции" displayName="Манипуляции" ref="A4:B6" headerRowDxfId="45" dataDxfId="44">
  <tableColumns count="2">
    <tableColumn id="1" name="Код ЕНМУ" totalsRowFunction="custom" dataDxfId="43">
      <calculatedColumnFormula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calculatedColumnFormula>
      <totalsRowFormula>INDEX(Вмешательства!J2:J3,MATCH('Карта учёта'!D9,Вмешательства!J2:J3,0))</totalsRowFormula>
    </tableColumn>
    <tableColumn id="2" name="Наименование процедуры, манипуляции" dataDxfId="4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2" name="Вмешательства" displayName="Вмешательства" ref="A1:D37" totalsRowShown="0" headerRowDxfId="41" tableBorderDxfId="40">
  <tableColumns count="4">
    <tableColumn id="1" name="№" dataDxfId="39"/>
    <tableColumn id="2" name="Код услуги" dataDxfId="38"/>
    <tableColumn id="3" name="Номенклатура мед.услуги" dataDxfId="37"/>
    <tableColumn id="4" name="Рентгенэндоваскулярная диагностика и лечение" dataDxfId="36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3" name="Коды_расходки" displayName="Коды_расходки" ref="F1:G8" totalsRowShown="0" headerRowDxfId="35">
  <tableColumns count="2">
    <tableColumn id="1" name="Расходный материал"/>
    <tableColumn id="2" name="Код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Диагноз" displayName="Диагноз" ref="F10:F18" totalsRowShown="0" dataDxfId="34">
  <tableColumns count="1">
    <tableColumn id="1" name="Диагноз" dataDxfId="3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7" name="Модель_Метод" displayName="Модель_Метод" ref="I1:L4" totalsRowShown="0" headerRowDxfId="32">
  <tableColumns count="4">
    <tableColumn id="1" name="Модель"/>
    <tableColumn id="2" name="Код модели" dataDxfId="31"/>
    <tableColumn id="3" name="Метод"/>
    <tableColumn id="4" name="Код метода" dataDxfId="3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Локализация" displayName="Локализация" ref="I7:I19">
  <autoFilter ref="I7:I19"/>
  <tableColumns count="1">
    <tableColumn id="1" name="Локализация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" name="Расходка" displayName="Расходка" ref="A1:C38" totalsRowShown="0">
  <sortState ref="A2:C26">
    <sortCondition ref="B2:B26"/>
  </sortState>
  <tableColumns count="3">
    <tableColumn id="1" name="№"/>
    <tableColumn id="2" name="Тип расходного материала "/>
    <tableColumn id="3" name="Наименование расходного материала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6" name="Размеры" displayName="Размеры" ref="AF1:AG74" totalsRowShown="0" headerRowDxfId="29">
  <sortState ref="AF2:AG57">
    <sortCondition ref="AF2:AF57"/>
    <sortCondition ref="AG2:AG57"/>
  </sortState>
  <tableColumns count="2">
    <tableColumn id="3" name="Тип" dataDxfId="28"/>
    <tableColumn id="1" name="Размеры" dataDxfId="2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8" name="Контраст" displayName="Контраст" ref="AI1:AK8" totalsRowShown="0">
  <autoFilter ref="AI1:AK8"/>
  <tableColumns count="3">
    <tableColumn id="1" name="Контраст "/>
    <tableColumn id="2" name="Название"/>
    <tableColumn id="3" name="Сцепление">
      <calculatedColumnFormula>CONCATENATE(AI2,AJ2)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Поиск_расходки" displayName="Поиск_расходки" ref="E1:AD38" totalsRowShown="0">
  <tableColumns count="26">
    <tableColumn id="1" name="Индекс1" dataDxfId="26">
      <calculatedColumnFormula>IF(ISNUMBER(SEARCH('Карта учёта'!$B$13,Расходка[[#This Row],[Наименование расходного материала]])),MAX($E$1:E1)+1,0)</calculatedColumnFormula>
    </tableColumn>
    <tableColumn id="2" name="Индекс2" dataDxfId="25">
      <calculatedColumnFormula>IF(ISNUMBER(SEARCH('Карта учёта'!$B$14,Расходка[[#This Row],[Наименование расходного материала]])),MAX($F$1:F1)+1,0)</calculatedColumnFormula>
    </tableColumn>
    <tableColumn id="3" name="Индекс3" dataDxfId="24">
      <calculatedColumnFormula>IF(ISNUMBER(SEARCH('Карта учёта'!$B$15,Расходка[Наименование расходного материала])),MAX($G$1:G1)+1,0)</calculatedColumnFormula>
    </tableColumn>
    <tableColumn id="4" name="Индекс4" dataDxfId="23">
      <calculatedColumnFormula>IF(ISNUMBER(SEARCH('Карта учёта'!$B$16,Расходка[Наименование расходного материала])),MAX($H$1:H1)+1,0)</calculatedColumnFormula>
    </tableColumn>
    <tableColumn id="5" name="Индекс5" dataDxfId="22">
      <calculatedColumnFormula>IF(ISNUMBER(SEARCH('Карта учёта'!$B$17,Расходка[Наименование расходного материала])),MAX($I$1:I1)+1,0)</calculatedColumnFormula>
    </tableColumn>
    <tableColumn id="6" name="Индекс6" dataDxfId="21">
      <calculatedColumnFormula>IF(ISNUMBER(SEARCH('Карта учёта'!$B$18,Расходка[Наименование расходного материала])),MAX($J$1:J1)+1,0)</calculatedColumnFormula>
    </tableColumn>
    <tableColumn id="7" name="Индекс7" dataDxfId="20">
      <calculatedColumnFormula>IF(ISNUMBER(SEARCH('Карта учёта'!$B$19,Расходка[Наименование расходного материала])),MAX($K$1:K1)+1,0)</calculatedColumnFormula>
    </tableColumn>
    <tableColumn id="8" name="Индекс8" dataDxfId="19">
      <calculatedColumnFormula>IF(ISNUMBER(SEARCH('Карта учёта'!$B$20,Расходка[Наименование расходного материала])),MAX($L$1:L1)+1,0)</calculatedColumnFormula>
    </tableColumn>
    <tableColumn id="9" name="Индекс9" dataDxfId="18">
      <calculatedColumnFormula>IF(ISNUMBER(SEARCH('Карта учёта'!$B$21,Расходка[Наименование расходного материала])),MAX($M$1:M1)+1,0)</calculatedColumnFormula>
    </tableColumn>
    <tableColumn id="10" name="Индекс10" dataDxfId="17">
      <calculatedColumnFormula>IF(ISNUMBER(SEARCH('Карта учёта'!$B$22,Расходка[Наименование расходного материала])),MAX($N$1:N1)+1,0)</calculatedColumnFormula>
    </tableColumn>
    <tableColumn id="11" name="Индекс11" dataDxfId="16">
      <calculatedColumnFormula>IF(ISNUMBER(SEARCH('Карта учёта'!$B$23,Расходка[Наименование расходного материала])),MAX($O$1:O1)+1,0)</calculatedColumnFormula>
    </tableColumn>
    <tableColumn id="12" name="Индекс12" dataDxfId="15">
      <calculatedColumnFormula>IF(ISNUMBER(SEARCH('Карта учёта'!$B$24,Расходка[Наименование расходного материала])),MAX($P$1:P1)+1,0)</calculatedColumnFormula>
    </tableColumn>
    <tableColumn id="13" name="Индекс13" dataDxfId="14">
      <calculatedColumnFormula>IF(ISNUMBER(SEARCH('Карта учёта'!$B$25,Расходка[Наименование расходного материала])),MAX($Q$1:Q1)+1,0)</calculatedColumnFormula>
    </tableColumn>
    <tableColumn id="14" name="Фильтр1" dataDxfId="13">
      <calculatedColumnFormula>IFERROR(INDEX(Расходка[Наименование расходного материала],MATCH(Расходка[№],Поиск_расходки[Индекс1],0)),"")</calculatedColumnFormula>
    </tableColumn>
    <tableColumn id="15" name="Фильтр2" dataDxfId="12">
      <calculatedColumnFormula>IFERROR(INDEX(Расходка[Наименование расходного материала],MATCH(Расходка[№],Поиск_расходки[Индекс2],0)),"")</calculatedColumnFormula>
    </tableColumn>
    <tableColumn id="16" name="Фильтр3" dataDxfId="11">
      <calculatedColumnFormula>IFERROR(INDEX(Расходка[Наименование расходного материала],MATCH(Расходка[№],Поиск_расходки[Индекс3],0)),"")</calculatedColumnFormula>
    </tableColumn>
    <tableColumn id="17" name="Фильтр4" dataDxfId="10">
      <calculatedColumnFormula>IFERROR(INDEX(Расходка[Наименование расходного материала],MATCH(Расходка[№],Поиск_расходки[Индекс4],0)),"")</calculatedColumnFormula>
    </tableColumn>
    <tableColumn id="18" name="Фильтр5" dataDxfId="9">
      <calculatedColumnFormula>IFERROR(INDEX(Расходка[Наименование расходного материала],MATCH(Расходка[№],Поиск_расходки[Индекс5],0)),"")</calculatedColumnFormula>
    </tableColumn>
    <tableColumn id="19" name="Фильтр6" dataDxfId="8">
      <calculatedColumnFormula>IFERROR(INDEX(Расходка[Наименование расходного материала],MATCH(Расходка[№],Поиск_расходки[Индекс6],0)),"")</calculatedColumnFormula>
    </tableColumn>
    <tableColumn id="20" name="Фильтр7" dataDxfId="7">
      <calculatedColumnFormula>IFERROR(INDEX(Расходка[Наименование расходного материала],MATCH(Расходка[№],Поиск_расходки[Индекс7],0)),"")</calculatedColumnFormula>
    </tableColumn>
    <tableColumn id="21" name="Фильтр8" dataDxfId="6">
      <calculatedColumnFormula>IFERROR(INDEX(Расходка[Наименование расходного материала],MATCH(Расходка[№],Поиск_расходки[Индекс8],0)),"")</calculatedColumnFormula>
    </tableColumn>
    <tableColumn id="22" name="Фильтр9" dataDxfId="5">
      <calculatedColumnFormula>IFERROR(INDEX(Расходка[Наименование расходного материала],MATCH(Расходка[№],Поиск_расходки[Индекс9],0)),"")</calculatedColumnFormula>
    </tableColumn>
    <tableColumn id="23" name="Фильтр10" dataDxfId="4">
      <calculatedColumnFormula>IFERROR(INDEX(Расходка[Наименование расходного материала],MATCH(Расходка[№],Поиск_расходки[Индекс10],0)),"")</calculatedColumnFormula>
    </tableColumn>
    <tableColumn id="24" name="Фильтр11" dataDxfId="3">
      <calculatedColumnFormula>IFERROR(INDEX(Расходка[Наименование расходного материала],MATCH(Расходка[№],Поиск_расходки[Индекс11],0)),"")</calculatedColumnFormula>
    </tableColumn>
    <tableColumn id="25" name="Фильтр12" dataDxfId="2">
      <calculatedColumnFormula>IFERROR(INDEX(Расходка[Наименование расходного материала],MATCH(Расходка[№],Поиск_расходки[Индекс12],0)),"")</calculatedColumnFormula>
    </tableColumn>
    <tableColumn id="26" name="Фильтр13" dataDxfId="1">
      <calculatedColumnFormula>IFERROR(INDEX(Расходка[Наименование расходного материала],MATCH(Расходка[№],Поиск_расходки[Индекс13],0)),"")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5" name="Сотрудники" displayName="Сотрудники" ref="A1:C15" totalsRowShown="0">
  <autoFilter ref="A1:C15"/>
  <tableColumns count="3">
    <tableColumn id="1" name="Должность: "/>
    <tableColumn id="2" name="ФИО"/>
    <tableColumn id="3" name="Должность: ФИО" dataDxfId="0">
      <calculatedColumnFormula>CONCATENATE(A2,B2)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0" name="Сотрудники_2" displayName="Сотрудники_2" ref="A17:B79" totalsRowShown="0">
  <autoFilter ref="A17:B79"/>
  <sortState ref="A18:B79">
    <sortCondition ref="A18:A79"/>
    <sortCondition ref="B18:B79"/>
  </sortState>
  <tableColumns count="2">
    <tableColumn id="1" name="Должность"/>
    <tableColumn id="2" name="Сотрудник"/>
  </tableColumns>
  <tableStyleInfo name="TableStyleMedium3" showFirstColumn="0" showLastColumn="0" showRowStripes="1" showColumnStripes="0"/>
</table>
</file>

<file path=xl/tables/table18.xml><?xml version="1.0" encoding="utf-8"?>
<table xmlns="http://schemas.openxmlformats.org/spreadsheetml/2006/main" id="14" name="Должность" displayName="Должность" ref="E1:E11" totalsRowShown="0">
  <autoFilter ref="E1:E11"/>
  <tableColumns count="1">
    <tableColumn id="1" name="Долж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showGridLines="0" showWhiteSpace="0" view="pageBreakPreview" zoomScaleNormal="100" zoomScaleSheetLayoutView="100" zoomScalePageLayoutView="90" workbookViewId="0">
      <selection activeCell="K21" sqref="K21"/>
    </sheetView>
  </sheetViews>
  <sheetFormatPr defaultColWidth="8.85546875" defaultRowHeight="1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.28515625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8" t="s">
        <v>199</v>
      </c>
      <c r="B1" s="49"/>
      <c r="C1" s="49"/>
      <c r="D1" s="49"/>
      <c r="E1" s="49"/>
      <c r="F1" s="49"/>
      <c r="G1" s="49"/>
      <c r="H1" s="50"/>
    </row>
    <row r="2" spans="1:8">
      <c r="A2" s="51" t="s">
        <v>200</v>
      </c>
      <c r="B2" s="52"/>
      <c r="C2" s="52"/>
      <c r="D2" s="52"/>
      <c r="E2" s="52"/>
      <c r="F2" s="52"/>
      <c r="G2" s="52"/>
      <c r="H2" s="53"/>
    </row>
    <row r="3" spans="1:8">
      <c r="A3" s="51" t="s">
        <v>201</v>
      </c>
      <c r="B3" s="52"/>
      <c r="C3" s="52"/>
      <c r="D3" s="52"/>
      <c r="E3" s="52"/>
      <c r="F3" s="52"/>
      <c r="G3" s="52"/>
      <c r="H3" s="53"/>
    </row>
    <row r="4" spans="1:8">
      <c r="A4" s="54" t="s">
        <v>202</v>
      </c>
      <c r="B4" s="55"/>
      <c r="C4" s="55"/>
      <c r="D4" s="55"/>
      <c r="E4" s="55"/>
      <c r="F4" s="55"/>
      <c r="G4" s="55"/>
      <c r="H4" s="56"/>
    </row>
    <row r="5" spans="1:8">
      <c r="A5" s="43"/>
      <c r="B5" s="18"/>
      <c r="C5" s="18"/>
      <c r="D5" s="18"/>
      <c r="E5" s="18"/>
      <c r="F5" s="18"/>
      <c r="G5" s="18"/>
      <c r="H5" s="44"/>
    </row>
    <row r="6" spans="1:8">
      <c r="A6" s="204" t="s">
        <v>278</v>
      </c>
      <c r="B6" s="205"/>
      <c r="C6" s="205"/>
      <c r="D6" s="205"/>
      <c r="E6" s="205"/>
      <c r="F6" s="205"/>
      <c r="G6" s="205"/>
      <c r="H6" s="206"/>
    </row>
    <row r="7" spans="1:8">
      <c r="A7" s="57" t="str">
        <f>"Код по ЕНМУ:"&amp;" "&amp;IFERROR(INDEX(Вмешательства[Номенклатура мед.услуги],MATCH(КАГ!A6,Вмешательства[Рентгенэндоваскулярная диагностика и лечение],0)),"")</f>
        <v>Код по ЕНМУ: A06.10.006</v>
      </c>
      <c r="B7" s="18"/>
      <c r="C7" s="58"/>
      <c r="D7" s="59"/>
      <c r="E7" s="59"/>
      <c r="F7" s="59"/>
      <c r="G7" s="18"/>
      <c r="H7" s="44"/>
    </row>
    <row r="8" spans="1:8" ht="18.75">
      <c r="A8" s="19" t="s">
        <v>256</v>
      </c>
      <c r="B8" s="25">
        <v>44685</v>
      </c>
      <c r="C8" s="60"/>
      <c r="D8" s="21" t="s">
        <v>250</v>
      </c>
      <c r="E8" s="34"/>
      <c r="F8" s="34"/>
      <c r="G8" s="22"/>
      <c r="H8" s="23"/>
    </row>
    <row r="9" spans="1:8" ht="15.6" customHeight="1">
      <c r="A9" s="26" t="s">
        <v>258</v>
      </c>
      <c r="B9" s="27">
        <v>0.84722222222222221</v>
      </c>
      <c r="C9" s="60"/>
      <c r="D9" s="115" t="s">
        <v>236</v>
      </c>
      <c r="E9" s="111"/>
      <c r="F9" s="111"/>
      <c r="G9" s="28" t="s">
        <v>227</v>
      </c>
      <c r="H9" s="30"/>
    </row>
    <row r="10" spans="1:8" ht="15.6" customHeight="1" thickBot="1">
      <c r="A10" s="99" t="s">
        <v>259</v>
      </c>
      <c r="B10" s="100">
        <v>0.85069444444444453</v>
      </c>
      <c r="C10" s="61"/>
      <c r="D10" s="116" t="s">
        <v>237</v>
      </c>
      <c r="E10" s="112"/>
      <c r="F10" s="112"/>
      <c r="G10" s="29" t="s">
        <v>342</v>
      </c>
      <c r="H10" s="31"/>
    </row>
    <row r="11" spans="1:8" ht="18" thickTop="1" thickBot="1">
      <c r="A11" s="106" t="s">
        <v>257</v>
      </c>
      <c r="B11" s="107" t="s">
        <v>446</v>
      </c>
      <c r="C11" s="62"/>
      <c r="D11" s="116" t="s">
        <v>234</v>
      </c>
      <c r="E11" s="112"/>
      <c r="F11" s="112"/>
      <c r="G11" s="29" t="s">
        <v>318</v>
      </c>
      <c r="H11" s="31"/>
    </row>
    <row r="12" spans="1:8" ht="16.5" thickTop="1">
      <c r="A12" s="97" t="s">
        <v>8</v>
      </c>
      <c r="B12" s="98">
        <v>27104</v>
      </c>
      <c r="C12" s="63"/>
      <c r="D12" s="116" t="s">
        <v>374</v>
      </c>
      <c r="E12" s="112"/>
      <c r="F12" s="112"/>
      <c r="G12" s="29" t="s">
        <v>241</v>
      </c>
      <c r="H12" s="31"/>
    </row>
    <row r="13" spans="1:8" ht="15.75">
      <c r="A13" s="20" t="s">
        <v>10</v>
      </c>
      <c r="B13" s="35">
        <f>DATEDIF(B12,B8,"y")</f>
        <v>48</v>
      </c>
      <c r="C13" s="63"/>
      <c r="D13" s="116" t="s">
        <v>248</v>
      </c>
      <c r="E13" s="112"/>
      <c r="F13" s="112"/>
      <c r="G13" s="29"/>
      <c r="H13" s="31"/>
    </row>
    <row r="14" spans="1:8" ht="15.75">
      <c r="A14" s="20" t="s">
        <v>12</v>
      </c>
      <c r="B14" s="24">
        <v>6718</v>
      </c>
      <c r="C14" s="63"/>
      <c r="D14" s="41"/>
      <c r="E14" s="41"/>
      <c r="F14" s="41"/>
      <c r="G14" s="42"/>
      <c r="H14" s="64"/>
    </row>
    <row r="15" spans="1:8" ht="15.75">
      <c r="A15" s="20" t="s">
        <v>197</v>
      </c>
      <c r="B15" s="24">
        <v>35</v>
      </c>
      <c r="C15" s="18"/>
      <c r="D15" s="41"/>
      <c r="E15" s="41"/>
      <c r="F15" s="41"/>
      <c r="G15" s="113" t="s">
        <v>339</v>
      </c>
      <c r="H15" s="114" t="s">
        <v>343</v>
      </c>
    </row>
    <row r="16" spans="1:8" ht="15.6" customHeight="1">
      <c r="A16" s="20" t="s">
        <v>134</v>
      </c>
      <c r="B16" s="24" t="s">
        <v>389</v>
      </c>
      <c r="C16" s="18"/>
      <c r="D16" s="41"/>
      <c r="E16" s="41"/>
      <c r="F16" s="41"/>
      <c r="G16" s="159" t="s">
        <v>447</v>
      </c>
      <c r="H16" s="117">
        <v>1607</v>
      </c>
    </row>
    <row r="17" spans="1:8" ht="14.45" customHeight="1">
      <c r="A17" s="45"/>
      <c r="B17" s="36"/>
      <c r="C17" s="36"/>
      <c r="D17" s="105"/>
      <c r="E17" s="105"/>
      <c r="F17" s="105"/>
      <c r="G17" s="36"/>
      <c r="H17" s="46"/>
    </row>
    <row r="18" spans="1:8" ht="14.45" customHeight="1">
      <c r="A18" s="65" t="s">
        <v>253</v>
      </c>
      <c r="B18" s="104" t="s">
        <v>448</v>
      </c>
      <c r="C18" s="18"/>
      <c r="D18" s="33" t="s">
        <v>275</v>
      </c>
      <c r="E18" s="33"/>
      <c r="F18" s="33"/>
      <c r="G18" s="101" t="s">
        <v>254</v>
      </c>
      <c r="H18" s="102" t="s">
        <v>386</v>
      </c>
    </row>
    <row r="19" spans="1:8" ht="14.45" customHeight="1">
      <c r="A19" s="45"/>
      <c r="B19" s="36"/>
      <c r="C19" s="36"/>
      <c r="D19" s="39"/>
      <c r="E19" s="39"/>
      <c r="F19" s="39"/>
      <c r="G19" s="36"/>
      <c r="H19" s="46"/>
    </row>
    <row r="20" spans="1:8" ht="14.45" customHeight="1">
      <c r="A20" s="65" t="s">
        <v>277</v>
      </c>
      <c r="B20" s="207" t="s">
        <v>450</v>
      </c>
      <c r="C20" s="207"/>
      <c r="D20" s="207"/>
      <c r="E20" s="207"/>
      <c r="F20" s="207"/>
      <c r="G20" s="207"/>
      <c r="H20" s="208"/>
    </row>
    <row r="21" spans="1:8">
      <c r="A21" s="66"/>
      <c r="B21" s="209"/>
      <c r="C21" s="209"/>
      <c r="D21" s="209"/>
      <c r="E21" s="209"/>
      <c r="F21" s="209"/>
      <c r="G21" s="209"/>
      <c r="H21" s="210"/>
    </row>
    <row r="22" spans="1:8" ht="15.6" customHeight="1">
      <c r="A22" s="67" t="s">
        <v>336</v>
      </c>
      <c r="B22" s="211" t="s">
        <v>453</v>
      </c>
      <c r="C22" s="211"/>
      <c r="D22" s="211"/>
      <c r="E22" s="211"/>
      <c r="F22" s="211"/>
      <c r="G22" s="211"/>
      <c r="H22" s="212"/>
    </row>
    <row r="23" spans="1:8" ht="14.45" customHeight="1">
      <c r="A23" s="43"/>
      <c r="B23" s="213"/>
      <c r="C23" s="213"/>
      <c r="D23" s="213"/>
      <c r="E23" s="213"/>
      <c r="F23" s="213"/>
      <c r="G23" s="213"/>
      <c r="H23" s="214"/>
    </row>
    <row r="24" spans="1:8" ht="14.45" customHeight="1">
      <c r="A24" s="68"/>
      <c r="B24" s="213"/>
      <c r="C24" s="213"/>
      <c r="D24" s="213"/>
      <c r="E24" s="213"/>
      <c r="F24" s="213"/>
      <c r="G24" s="213"/>
      <c r="H24" s="214"/>
    </row>
    <row r="25" spans="1:8" ht="14.45" customHeight="1">
      <c r="A25" s="43"/>
      <c r="B25" s="213"/>
      <c r="C25" s="213"/>
      <c r="D25" s="213"/>
      <c r="E25" s="213"/>
      <c r="F25" s="213"/>
      <c r="G25" s="213"/>
      <c r="H25" s="214"/>
    </row>
    <row r="26" spans="1:8" ht="14.45" customHeight="1">
      <c r="A26" s="45"/>
      <c r="B26" s="215"/>
      <c r="C26" s="215"/>
      <c r="D26" s="215"/>
      <c r="E26" s="215"/>
      <c r="F26" s="215"/>
      <c r="G26" s="215"/>
      <c r="H26" s="216"/>
    </row>
    <row r="27" spans="1:8" ht="14.45" customHeight="1">
      <c r="A27" s="67" t="s">
        <v>337</v>
      </c>
      <c r="B27" s="211" t="s">
        <v>452</v>
      </c>
      <c r="C27" s="211"/>
      <c r="D27" s="211"/>
      <c r="E27" s="211"/>
      <c r="F27" s="211"/>
      <c r="G27" s="211"/>
      <c r="H27" s="212"/>
    </row>
    <row r="28" spans="1:8" ht="15.6" customHeight="1">
      <c r="A28" s="43"/>
      <c r="B28" s="213"/>
      <c r="C28" s="213"/>
      <c r="D28" s="213"/>
      <c r="E28" s="213"/>
      <c r="F28" s="213"/>
      <c r="G28" s="213"/>
      <c r="H28" s="214"/>
    </row>
    <row r="29" spans="1:8" ht="14.45" customHeight="1">
      <c r="A29" s="43"/>
      <c r="B29" s="213"/>
      <c r="C29" s="213"/>
      <c r="D29" s="213"/>
      <c r="E29" s="213"/>
      <c r="F29" s="213"/>
      <c r="G29" s="213"/>
      <c r="H29" s="214"/>
    </row>
    <row r="30" spans="1:8" ht="14.45" customHeight="1">
      <c r="A30" s="37"/>
      <c r="B30" s="213"/>
      <c r="C30" s="213"/>
      <c r="D30" s="213"/>
      <c r="E30" s="213"/>
      <c r="F30" s="213"/>
      <c r="G30" s="213"/>
      <c r="H30" s="214"/>
    </row>
    <row r="31" spans="1:8" ht="14.45" customHeight="1">
      <c r="A31" s="38"/>
      <c r="B31" s="215"/>
      <c r="C31" s="215"/>
      <c r="D31" s="215"/>
      <c r="E31" s="215"/>
      <c r="F31" s="215"/>
      <c r="G31" s="215"/>
      <c r="H31" s="216"/>
    </row>
    <row r="32" spans="1:8" ht="14.45" customHeight="1">
      <c r="A32" s="67" t="s">
        <v>338</v>
      </c>
      <c r="B32" s="211" t="s">
        <v>449</v>
      </c>
      <c r="C32" s="211"/>
      <c r="D32" s="211"/>
      <c r="E32" s="211"/>
      <c r="F32" s="211"/>
      <c r="G32" s="211"/>
      <c r="H32" s="212"/>
    </row>
    <row r="33" spans="1:8" ht="14.45" customHeight="1">
      <c r="A33" s="43"/>
      <c r="B33" s="213"/>
      <c r="C33" s="213"/>
      <c r="D33" s="213"/>
      <c r="E33" s="213"/>
      <c r="F33" s="213"/>
      <c r="G33" s="213"/>
      <c r="H33" s="214"/>
    </row>
    <row r="34" spans="1:8" ht="15.6" customHeight="1">
      <c r="A34" s="43"/>
      <c r="B34" s="213"/>
      <c r="C34" s="213"/>
      <c r="D34" s="213"/>
      <c r="E34" s="213"/>
      <c r="F34" s="213"/>
      <c r="G34" s="213"/>
      <c r="H34" s="214"/>
    </row>
    <row r="35" spans="1:8" ht="14.45" customHeight="1">
      <c r="A35" s="43"/>
      <c r="B35" s="213"/>
      <c r="C35" s="213"/>
      <c r="D35" s="213"/>
      <c r="E35" s="213"/>
      <c r="F35" s="213"/>
      <c r="G35" s="213"/>
      <c r="H35" s="214"/>
    </row>
    <row r="36" spans="1:8" ht="15.6" customHeight="1">
      <c r="A36" s="151"/>
      <c r="B36" s="213"/>
      <c r="C36" s="213"/>
      <c r="D36" s="213"/>
      <c r="E36" s="213"/>
      <c r="F36" s="213"/>
      <c r="G36" s="213"/>
      <c r="H36" s="214"/>
    </row>
    <row r="37" spans="1:8" ht="14.45" customHeight="1">
      <c r="A37" s="43"/>
      <c r="B37" s="146"/>
      <c r="C37" s="18"/>
      <c r="D37" s="201" t="str">
        <f>IF($A$6=Вмешательства!$D$3,Вмешательства!$N$2,"")</f>
        <v/>
      </c>
      <c r="E37" s="201"/>
      <c r="F37" s="147"/>
      <c r="G37" s="147"/>
      <c r="H37" s="152"/>
    </row>
    <row r="38" spans="1:8" ht="14.45" customHeight="1">
      <c r="A38" s="43"/>
      <c r="B38" s="146"/>
      <c r="C38" s="153"/>
      <c r="D38" s="202"/>
      <c r="E38" s="202"/>
      <c r="F38" s="202"/>
      <c r="G38" s="202"/>
      <c r="H38" s="203"/>
    </row>
    <row r="39" spans="1:8" ht="14.45" customHeight="1">
      <c r="A39" s="40"/>
      <c r="B39" s="147"/>
      <c r="C39" s="153"/>
      <c r="D39" s="202"/>
      <c r="E39" s="202"/>
      <c r="F39" s="202"/>
      <c r="G39" s="202"/>
      <c r="H39" s="203"/>
    </row>
    <row r="40" spans="1:8" ht="14.45" customHeight="1">
      <c r="A40" s="40"/>
      <c r="B40" s="147"/>
      <c r="C40" s="153"/>
      <c r="D40" s="202"/>
      <c r="E40" s="202"/>
      <c r="F40" s="202"/>
      <c r="G40" s="202"/>
      <c r="H40" s="203"/>
    </row>
    <row r="41" spans="1:8" ht="14.45" customHeight="1">
      <c r="A41" s="40"/>
      <c r="B41" s="147"/>
      <c r="C41" s="153"/>
      <c r="D41" s="202"/>
      <c r="E41" s="202"/>
      <c r="F41" s="202"/>
      <c r="G41" s="202"/>
      <c r="H41" s="203"/>
    </row>
    <row r="42" spans="1:8" ht="14.45" customHeight="1">
      <c r="A42" s="40"/>
      <c r="B42" s="147"/>
      <c r="C42" s="154"/>
      <c r="D42" s="157" t="s">
        <v>252</v>
      </c>
      <c r="E42" s="47"/>
      <c r="F42" s="47"/>
      <c r="G42" s="47"/>
      <c r="H42" s="69"/>
    </row>
    <row r="43" spans="1:8" ht="14.45" customHeight="1">
      <c r="A43" s="40"/>
      <c r="B43" s="147"/>
      <c r="C43" s="155"/>
      <c r="D43" s="198" t="s">
        <v>451</v>
      </c>
      <c r="E43" s="199"/>
      <c r="F43" s="199"/>
      <c r="G43" s="199"/>
      <c r="H43" s="200"/>
    </row>
    <row r="44" spans="1:8" ht="14.45" customHeight="1">
      <c r="A44" s="40"/>
      <c r="B44" s="147"/>
      <c r="C44" s="155"/>
      <c r="D44" s="199"/>
      <c r="E44" s="199"/>
      <c r="F44" s="199"/>
      <c r="G44" s="199"/>
      <c r="H44" s="200"/>
    </row>
    <row r="45" spans="1:8" ht="14.45" customHeight="1">
      <c r="A45" s="40"/>
      <c r="B45" s="147"/>
      <c r="C45" s="155"/>
      <c r="D45" s="199"/>
      <c r="E45" s="199"/>
      <c r="F45" s="199"/>
      <c r="G45" s="199"/>
      <c r="H45" s="200"/>
    </row>
    <row r="46" spans="1:8">
      <c r="A46" s="40"/>
      <c r="B46" s="147"/>
      <c r="C46" s="155"/>
      <c r="D46" s="199"/>
      <c r="E46" s="199"/>
      <c r="F46" s="199"/>
      <c r="G46" s="199"/>
      <c r="H46" s="200"/>
    </row>
    <row r="47" spans="1:8">
      <c r="A47" s="43"/>
      <c r="B47" s="18"/>
      <c r="C47" s="155"/>
      <c r="D47" s="199"/>
      <c r="E47" s="199"/>
      <c r="F47" s="199"/>
      <c r="G47" s="199"/>
      <c r="H47" s="200"/>
    </row>
    <row r="48" spans="1:8">
      <c r="A48" s="43"/>
      <c r="B48" s="18"/>
      <c r="C48" s="155"/>
      <c r="D48" s="199"/>
      <c r="E48" s="199"/>
      <c r="F48" s="199"/>
      <c r="G48" s="199"/>
      <c r="H48" s="200"/>
    </row>
    <row r="49" spans="1:13">
      <c r="A49" s="45"/>
      <c r="B49" s="36"/>
      <c r="C49" s="156"/>
      <c r="D49" s="199"/>
      <c r="E49" s="199"/>
      <c r="F49" s="199"/>
      <c r="G49" s="199"/>
      <c r="H49" s="200"/>
    </row>
    <row r="50" spans="1:13">
      <c r="A50" s="43"/>
      <c r="B50" s="18"/>
      <c r="C50" s="18"/>
      <c r="D50" s="199"/>
      <c r="E50" s="199"/>
      <c r="F50" s="199"/>
      <c r="G50" s="199"/>
      <c r="H50" s="200"/>
      <c r="M50" t="s">
        <v>276</v>
      </c>
    </row>
    <row r="51" spans="1:13">
      <c r="A51" s="70" t="s">
        <v>264</v>
      </c>
      <c r="B51" s="71" t="s">
        <v>345</v>
      </c>
      <c r="C51" s="18"/>
      <c r="D51" s="18"/>
      <c r="E51" s="18"/>
      <c r="F51" s="18"/>
      <c r="G51" s="89" t="str">
        <f>$G$9</f>
        <v>Щербаков А.С.</v>
      </c>
      <c r="H51" s="72"/>
    </row>
    <row r="52" spans="1:13">
      <c r="A52" s="43"/>
      <c r="B52" s="18"/>
      <c r="C52" s="18"/>
      <c r="D52" s="18"/>
      <c r="E52" s="18"/>
      <c r="F52" s="18"/>
      <c r="G52" s="18"/>
      <c r="H52" s="44"/>
    </row>
    <row r="53" spans="1:13">
      <c r="A53" s="73" t="s">
        <v>271</v>
      </c>
      <c r="B53" s="74" t="s">
        <v>387</v>
      </c>
      <c r="C53" s="18"/>
      <c r="D53" s="18"/>
      <c r="E53" s="18"/>
      <c r="F53" s="18"/>
      <c r="G53" s="89" t="str">
        <f>IF(ISBLANK(H9),"",H9)</f>
        <v/>
      </c>
      <c r="H53" s="72"/>
    </row>
    <row r="54" spans="1:13">
      <c r="A54" s="45"/>
      <c r="B54" s="36"/>
      <c r="C54" s="36"/>
      <c r="D54" s="36"/>
      <c r="E54" s="36"/>
      <c r="F54" s="36"/>
      <c r="G54" s="36"/>
      <c r="H54" s="46"/>
    </row>
  </sheetData>
  <sheetProtection sheet="1" objects="1" scenarios="1" formatCells="0" formatColumns="0"/>
  <mergeCells count="8">
    <mergeCell ref="D43:H50"/>
    <mergeCell ref="D37:E37"/>
    <mergeCell ref="D38:H41"/>
    <mergeCell ref="A6:H6"/>
    <mergeCell ref="B20:H21"/>
    <mergeCell ref="B22:H26"/>
    <mergeCell ref="B27:H31"/>
    <mergeCell ref="B32:H36"/>
  </mergeCells>
  <dataValidations count="10">
    <dataValidation type="list" allowBlank="1" showInputMessage="1" showErrorMessage="1" sqref="B16">
      <formula1>INDIRECT("Диагноз[Диагноз]")</formula1>
    </dataValidation>
    <dataValidation type="list" allowBlank="1" showInputMessage="1" showErrorMessage="1" sqref="D9:F13">
      <formula1>INDIRECT("Должность[Должность]")</formula1>
    </dataValidation>
    <dataValidation type="list" allowBlank="1" showInputMessage="1" showErrorMessage="1" sqref="H9:H13">
      <formula1>Должность_Сотрудник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H18">
      <formula1>"лучевой,бедренный,дистальный,rad et femoral"</formula1>
    </dataValidation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E15:F15 B18">
      <formula1>"Правый,Левый,Сбалансированный "</formula1>
    </dataValidation>
    <dataValidation type="list" allowBlank="1" showInputMessage="1" showErrorMessage="1" sqref="A6:H6">
      <formula1>INDIRECT("Вмешательства[Рентгенэндоваскулярная диагностика и лечение]")</formula1>
    </dataValidation>
    <dataValidation type="list" errorStyle="warning" allowBlank="1" showInputMessage="1" showErrorMessage="1" errorTitle="Нет в базе данных" error="Убедитесь что ФИО заполнено верно!" sqref="G9:G13">
      <formula1>Должность_Сотрудник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drawing r:id="rId2"/>
  <legacy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showGridLines="0" tabSelected="1" showWhiteSpace="0" view="pageBreakPreview" topLeftCell="A4" zoomScaleNormal="100" zoomScaleSheetLayoutView="100" zoomScalePageLayoutView="90" workbookViewId="0">
      <selection activeCell="K12" sqref="K12"/>
    </sheetView>
  </sheetViews>
  <sheetFormatPr defaultColWidth="8.85546875" defaultRowHeight="1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8" t="s">
        <v>199</v>
      </c>
      <c r="B1" s="49"/>
      <c r="C1" s="49"/>
      <c r="D1" s="49"/>
      <c r="E1" s="49"/>
      <c r="F1" s="49"/>
      <c r="G1" s="49"/>
      <c r="H1" s="50"/>
    </row>
    <row r="2" spans="1:8">
      <c r="A2" s="51" t="s">
        <v>200</v>
      </c>
      <c r="B2" s="52"/>
      <c r="C2" s="52"/>
      <c r="D2" s="52"/>
      <c r="E2" s="52"/>
      <c r="F2" s="52"/>
      <c r="G2" s="52"/>
      <c r="H2" s="53"/>
    </row>
    <row r="3" spans="1:8">
      <c r="A3" s="51" t="s">
        <v>201</v>
      </c>
      <c r="B3" s="52"/>
      <c r="C3" s="52"/>
      <c r="D3" s="52"/>
      <c r="E3" s="52"/>
      <c r="F3" s="52"/>
      <c r="G3" s="52"/>
      <c r="H3" s="53"/>
    </row>
    <row r="4" spans="1:8">
      <c r="A4" s="54" t="s">
        <v>202</v>
      </c>
      <c r="B4" s="55"/>
      <c r="C4" s="55"/>
      <c r="D4" s="55"/>
      <c r="E4" s="55"/>
      <c r="F4" s="55"/>
      <c r="G4" s="55"/>
      <c r="H4" s="56"/>
    </row>
    <row r="5" spans="1:8">
      <c r="A5" s="43"/>
      <c r="B5" s="18"/>
      <c r="C5" s="18"/>
      <c r="D5" s="18"/>
      <c r="E5" s="18"/>
      <c r="F5" s="18"/>
      <c r="G5" s="18"/>
      <c r="H5" s="44"/>
    </row>
    <row r="6" spans="1:8" ht="15.6" customHeight="1">
      <c r="A6" s="218" t="s">
        <v>273</v>
      </c>
      <c r="B6" s="219"/>
      <c r="C6" s="219"/>
      <c r="D6" s="219"/>
      <c r="E6" s="219"/>
      <c r="F6" s="219"/>
      <c r="G6" s="219"/>
      <c r="H6" s="220"/>
    </row>
    <row r="7" spans="1:8" ht="21.6" customHeight="1">
      <c r="A7" s="218"/>
      <c r="B7" s="219"/>
      <c r="C7" s="219"/>
      <c r="D7" s="219"/>
      <c r="E7" s="219"/>
      <c r="F7" s="219"/>
      <c r="G7" s="219"/>
      <c r="H7" s="220"/>
    </row>
    <row r="8" spans="1:8">
      <c r="A8" s="57" t="str">
        <f>"Код по ЕНМУ:"&amp;" "&amp;IFERROR(INDEX(Вмешательства[Номенклатура мед.услуги],MATCH(ЧКВ!A6,Вмешательства[Рентгенэндоваскулярная диагностика и лечение],0)),"")</f>
        <v>Код по ЕНМУ: A16.12.004.009</v>
      </c>
      <c r="B8" s="18"/>
      <c r="C8" s="217" t="s">
        <v>283</v>
      </c>
      <c r="D8" s="217"/>
      <c r="E8" s="217"/>
      <c r="F8" s="83">
        <v>1</v>
      </c>
      <c r="G8" s="145" t="s">
        <v>384</v>
      </c>
      <c r="H8" s="44"/>
    </row>
    <row r="9" spans="1:8">
      <c r="A9" s="57" t="str">
        <f>"Код модели:"&amp;" "&amp;IF(ISBLANK(H8),IF(A6=Вмешательства!D4,INDEX(Модель_Метод[Код модели],MATCH(ЧКВ!B20,Модель_Метод[Модель],0)),IF(ЧКВ!A6=Вмешательства!D5,INDEX(Модель_Метод[Код модели],MATCH(ЧКВ!B20,Модель_Метод[Модель],0)),"")),"")</f>
        <v>Код модели: 21167</v>
      </c>
      <c r="B9" s="18"/>
      <c r="C9" s="217"/>
      <c r="D9" s="217"/>
      <c r="E9" s="217"/>
      <c r="F9" s="83"/>
      <c r="G9" s="93"/>
      <c r="H9" s="44"/>
    </row>
    <row r="10" spans="1:8">
      <c r="A10" s="57" t="str">
        <f>"Код метода:"&amp;" "&amp;IF(SUM(F8:F10)=1,47,IF(SUM(F8:F10)=2,46,IF(SUM(F8:F10)&gt;=3,45,"")))</f>
        <v>Код метода: 47</v>
      </c>
      <c r="B10" s="18"/>
      <c r="C10" s="217"/>
      <c r="D10" s="217"/>
      <c r="E10" s="217"/>
      <c r="F10" s="83"/>
      <c r="G10" s="93"/>
      <c r="H10" s="44"/>
    </row>
    <row r="11" spans="1:8">
      <c r="A11" s="43"/>
      <c r="B11" s="18"/>
      <c r="C11" s="62"/>
      <c r="D11" s="18"/>
      <c r="E11" s="18"/>
      <c r="F11" s="18"/>
      <c r="G11" s="18"/>
      <c r="H11" s="44"/>
    </row>
    <row r="12" spans="1:8" ht="18.75">
      <c r="A12" s="90" t="s">
        <v>256</v>
      </c>
      <c r="B12" s="25">
        <f>КАГ!B8</f>
        <v>44685</v>
      </c>
      <c r="C12" s="63"/>
      <c r="D12" s="21" t="s">
        <v>250</v>
      </c>
      <c r="E12" s="34"/>
      <c r="F12" s="34"/>
      <c r="G12" s="22"/>
      <c r="H12" s="23"/>
    </row>
    <row r="13" spans="1:8" ht="15.75">
      <c r="A13" s="91" t="s">
        <v>258</v>
      </c>
      <c r="B13" s="27">
        <v>0.85069444444444453</v>
      </c>
      <c r="C13" s="63"/>
      <c r="D13" s="115" t="s">
        <v>236</v>
      </c>
      <c r="E13" s="111"/>
      <c r="F13" s="111"/>
      <c r="G13" s="95" t="str">
        <f>КАГ!G9</f>
        <v>Щербаков А.С.</v>
      </c>
      <c r="H13" s="108" t="str">
        <f>IF(ISBLANK(КАГ!H9),"",КАГ!H9)</f>
        <v/>
      </c>
    </row>
    <row r="14" spans="1:8" ht="16.5" thickBot="1">
      <c r="A14" s="91" t="s">
        <v>259</v>
      </c>
      <c r="B14" s="27">
        <v>0.90277777777777779</v>
      </c>
      <c r="C14" s="63"/>
      <c r="D14" s="116" t="s">
        <v>237</v>
      </c>
      <c r="E14" s="112"/>
      <c r="F14" s="112"/>
      <c r="G14" s="96" t="str">
        <f>КАГ!G10</f>
        <v>Синицина И.А.</v>
      </c>
      <c r="H14" s="109" t="str">
        <f>IF(ISBLANK(КАГ!H10),"",КАГ!H10)</f>
        <v/>
      </c>
    </row>
    <row r="15" spans="1:8" ht="18" thickTop="1" thickBot="1">
      <c r="A15" s="106" t="s">
        <v>257</v>
      </c>
      <c r="B15" s="191" t="str">
        <f>КАГ!B11</f>
        <v>Хлопов М.И.</v>
      </c>
      <c r="C15" s="18"/>
      <c r="D15" s="116" t="s">
        <v>234</v>
      </c>
      <c r="E15" s="112"/>
      <c r="F15" s="112"/>
      <c r="G15" s="96" t="str">
        <f>КАГ!G11</f>
        <v>Селезнёв С.А</v>
      </c>
      <c r="H15" s="109" t="str">
        <f>IF(ISBLANK(КАГ!H11),"",КАГ!H11)</f>
        <v/>
      </c>
    </row>
    <row r="16" spans="1:8" ht="16.5" thickTop="1">
      <c r="A16" s="76" t="s">
        <v>8</v>
      </c>
      <c r="B16" s="75">
        <f>КАГ!B12</f>
        <v>27104</v>
      </c>
      <c r="C16" s="18"/>
      <c r="D16" s="116" t="s">
        <v>374</v>
      </c>
      <c r="E16" s="112"/>
      <c r="F16" s="112"/>
      <c r="G16" s="96" t="str">
        <f>КАГ!G12</f>
        <v>Мишина Е.А</v>
      </c>
      <c r="H16" s="109" t="str">
        <f>IF(ISBLANK(КАГ!H12),"",КАГ!H12)</f>
        <v/>
      </c>
    </row>
    <row r="17" spans="1:8" ht="15.75">
      <c r="A17" s="76" t="s">
        <v>10</v>
      </c>
      <c r="B17" s="77">
        <f>КАГ!B13</f>
        <v>48</v>
      </c>
      <c r="C17" s="18"/>
      <c r="D17" s="116" t="s">
        <v>248</v>
      </c>
      <c r="E17" s="112"/>
      <c r="F17" s="112"/>
      <c r="G17" s="96" t="str">
        <f>IF(ISBLANK(КАГ!G13),"",КАГ!G13)</f>
        <v/>
      </c>
      <c r="H17" s="109" t="str">
        <f>IF(ISBLANK(КАГ!H13),"",КАГ!H13)</f>
        <v/>
      </c>
    </row>
    <row r="18" spans="1:8" ht="15.75">
      <c r="A18" s="76" t="s">
        <v>12</v>
      </c>
      <c r="B18" s="78">
        <f>КАГ!B14</f>
        <v>6718</v>
      </c>
      <c r="C18" s="18"/>
      <c r="D18" s="18"/>
      <c r="E18" s="18"/>
      <c r="F18" s="18"/>
      <c r="G18" s="18"/>
      <c r="H18" s="44"/>
    </row>
    <row r="19" spans="1:8" ht="14.45" customHeight="1">
      <c r="A19" s="76" t="s">
        <v>197</v>
      </c>
      <c r="B19" s="78">
        <f>КАГ!B15</f>
        <v>35</v>
      </c>
      <c r="C19" s="80"/>
      <c r="D19" s="80"/>
      <c r="E19" s="80"/>
      <c r="F19" s="80"/>
      <c r="G19" s="103" t="s">
        <v>339</v>
      </c>
      <c r="H19" s="110" t="s">
        <v>340</v>
      </c>
    </row>
    <row r="20" spans="1:8" ht="14.45" customHeight="1">
      <c r="A20" s="76" t="s">
        <v>134</v>
      </c>
      <c r="B20" s="75" t="str">
        <f>КАГ!B16</f>
        <v>ОКС БПST</v>
      </c>
      <c r="C20" s="82"/>
      <c r="D20" s="82"/>
      <c r="E20" s="82"/>
      <c r="F20" s="82"/>
      <c r="G20" s="160" t="str">
        <f>КАГ!G16</f>
        <v>19:24</v>
      </c>
      <c r="H20" s="118">
        <f>КАГ!H16</f>
        <v>1607</v>
      </c>
    </row>
    <row r="21" spans="1:8" ht="14.45" customHeight="1">
      <c r="A21" s="81"/>
      <c r="B21" s="82"/>
      <c r="C21" s="82"/>
      <c r="D21" s="18"/>
      <c r="E21" s="84"/>
      <c r="F21" s="84"/>
      <c r="G21" s="18"/>
      <c r="H21" s="44"/>
    </row>
    <row r="22" spans="1:8" ht="14.45" customHeight="1">
      <c r="A22" s="65" t="str">
        <f>КАГ!G18</f>
        <v>Доступ:</v>
      </c>
      <c r="B22" s="92" t="str">
        <f>КАГ!H18</f>
        <v>лучевой</v>
      </c>
      <c r="C22" s="82"/>
      <c r="D22" s="82"/>
      <c r="E22" s="82"/>
      <c r="F22" s="82"/>
      <c r="G22" s="86" t="str">
        <f>IF(B20=Вмешательства!I2,Вмешательства!N3,"")</f>
        <v/>
      </c>
      <c r="H22" s="85" t="str">
        <f>IFERROR(SUM(IF($B$20=Вмешательства!F11,SUM(КАГ!$B$9+0.01),"")),"")</f>
        <v/>
      </c>
    </row>
    <row r="23" spans="1:8" ht="14.45" customHeight="1">
      <c r="A23" s="224" t="s">
        <v>455</v>
      </c>
      <c r="B23" s="225"/>
      <c r="C23" s="225"/>
      <c r="D23" s="225"/>
      <c r="E23" s="225"/>
      <c r="F23" s="225"/>
      <c r="G23" s="225"/>
      <c r="H23" s="226"/>
    </row>
    <row r="24" spans="1:8" ht="14.45" customHeight="1">
      <c r="A24" s="227"/>
      <c r="B24" s="225"/>
      <c r="C24" s="225"/>
      <c r="D24" s="225"/>
      <c r="E24" s="225"/>
      <c r="F24" s="225"/>
      <c r="G24" s="225"/>
      <c r="H24" s="226"/>
    </row>
    <row r="25" spans="1:8" ht="14.45" customHeight="1">
      <c r="A25" s="227"/>
      <c r="B25" s="225"/>
      <c r="C25" s="225"/>
      <c r="D25" s="225"/>
      <c r="E25" s="225"/>
      <c r="F25" s="225"/>
      <c r="G25" s="225"/>
      <c r="H25" s="226"/>
    </row>
    <row r="26" spans="1:8" ht="14.45" customHeight="1">
      <c r="A26" s="227"/>
      <c r="B26" s="225"/>
      <c r="C26" s="225"/>
      <c r="D26" s="225"/>
      <c r="E26" s="225"/>
      <c r="F26" s="225"/>
      <c r="G26" s="225"/>
      <c r="H26" s="226"/>
    </row>
    <row r="27" spans="1:8" ht="14.45" customHeight="1">
      <c r="A27" s="227"/>
      <c r="B27" s="225"/>
      <c r="C27" s="225"/>
      <c r="D27" s="225"/>
      <c r="E27" s="225"/>
      <c r="F27" s="225"/>
      <c r="G27" s="225"/>
      <c r="H27" s="226"/>
    </row>
    <row r="28" spans="1:8" ht="14.45" customHeight="1">
      <c r="A28" s="227"/>
      <c r="B28" s="225"/>
      <c r="C28" s="225"/>
      <c r="D28" s="225"/>
      <c r="E28" s="225"/>
      <c r="F28" s="225"/>
      <c r="G28" s="225"/>
      <c r="H28" s="226"/>
    </row>
    <row r="29" spans="1:8" ht="14.45" customHeight="1">
      <c r="A29" s="227"/>
      <c r="B29" s="225"/>
      <c r="C29" s="225"/>
      <c r="D29" s="225"/>
      <c r="E29" s="225"/>
      <c r="F29" s="225"/>
      <c r="G29" s="225"/>
      <c r="H29" s="226"/>
    </row>
    <row r="30" spans="1:8" ht="14.45" customHeight="1">
      <c r="A30" s="227"/>
      <c r="B30" s="225"/>
      <c r="C30" s="225"/>
      <c r="D30" s="225"/>
      <c r="E30" s="225"/>
      <c r="F30" s="225"/>
      <c r="G30" s="225"/>
      <c r="H30" s="226"/>
    </row>
    <row r="31" spans="1:8" ht="14.45" customHeight="1">
      <c r="A31" s="227"/>
      <c r="B31" s="225"/>
      <c r="C31" s="225"/>
      <c r="D31" s="225"/>
      <c r="E31" s="225"/>
      <c r="F31" s="225"/>
      <c r="G31" s="225"/>
      <c r="H31" s="226"/>
    </row>
    <row r="32" spans="1:8" ht="14.45" customHeight="1">
      <c r="A32" s="227"/>
      <c r="B32" s="225"/>
      <c r="C32" s="225"/>
      <c r="D32" s="225"/>
      <c r="E32" s="225"/>
      <c r="F32" s="225"/>
      <c r="G32" s="225"/>
      <c r="H32" s="226"/>
    </row>
    <row r="33" spans="1:8" ht="14.45" customHeight="1">
      <c r="A33" s="227"/>
      <c r="B33" s="225"/>
      <c r="C33" s="225"/>
      <c r="D33" s="225"/>
      <c r="E33" s="225"/>
      <c r="F33" s="225"/>
      <c r="G33" s="225"/>
      <c r="H33" s="226"/>
    </row>
    <row r="34" spans="1:8" ht="14.45" customHeight="1">
      <c r="A34" s="227"/>
      <c r="B34" s="225"/>
      <c r="C34" s="225"/>
      <c r="D34" s="225"/>
      <c r="E34" s="225"/>
      <c r="F34" s="225"/>
      <c r="G34" s="225"/>
      <c r="H34" s="226"/>
    </row>
    <row r="35" spans="1:8" ht="14.45" customHeight="1">
      <c r="A35" s="227"/>
      <c r="B35" s="225"/>
      <c r="C35" s="225"/>
      <c r="D35" s="225"/>
      <c r="E35" s="225"/>
      <c r="F35" s="225"/>
      <c r="G35" s="225"/>
      <c r="H35" s="226"/>
    </row>
    <row r="36" spans="1:8" ht="14.45" customHeight="1">
      <c r="A36" s="227"/>
      <c r="B36" s="225"/>
      <c r="C36" s="225"/>
      <c r="D36" s="225"/>
      <c r="E36" s="225"/>
      <c r="F36" s="225"/>
      <c r="G36" s="225"/>
      <c r="H36" s="226"/>
    </row>
    <row r="37" spans="1:8" ht="14.45" customHeight="1">
      <c r="A37" s="227"/>
      <c r="B37" s="225"/>
      <c r="C37" s="225"/>
      <c r="D37" s="225"/>
      <c r="E37" s="225"/>
      <c r="F37" s="225"/>
      <c r="G37" s="225"/>
      <c r="H37" s="226"/>
    </row>
    <row r="38" spans="1:8" ht="14.45" customHeight="1">
      <c r="A38" s="81"/>
      <c r="B38" s="82"/>
      <c r="C38" s="82"/>
      <c r="D38" s="82"/>
      <c r="E38" s="82"/>
      <c r="F38" s="82"/>
      <c r="G38" s="82"/>
      <c r="H38" s="158"/>
    </row>
    <row r="39" spans="1:8" ht="15.75">
      <c r="A39" s="37"/>
      <c r="B39" s="33"/>
      <c r="C39" s="149"/>
      <c r="D39" s="150" t="s">
        <v>252</v>
      </c>
      <c r="E39" s="87"/>
      <c r="F39" s="87"/>
      <c r="G39" s="87"/>
      <c r="H39" s="88"/>
    </row>
    <row r="40" spans="1:8" ht="14.45" customHeight="1">
      <c r="A40" s="37"/>
      <c r="B40" s="33"/>
      <c r="C40" s="148"/>
      <c r="D40" s="221" t="s">
        <v>431</v>
      </c>
      <c r="E40" s="222"/>
      <c r="F40" s="222"/>
      <c r="G40" s="222"/>
      <c r="H40" s="223"/>
    </row>
    <row r="41" spans="1:8" ht="14.45" customHeight="1">
      <c r="A41" s="37"/>
      <c r="B41" s="33"/>
      <c r="C41" s="148"/>
      <c r="D41" s="222"/>
      <c r="E41" s="222"/>
      <c r="F41" s="222"/>
      <c r="G41" s="222"/>
      <c r="H41" s="223"/>
    </row>
    <row r="42" spans="1:8" ht="14.45" customHeight="1">
      <c r="A42" s="37"/>
      <c r="B42" s="33"/>
      <c r="C42" s="148"/>
      <c r="D42" s="222"/>
      <c r="E42" s="222"/>
      <c r="F42" s="222"/>
      <c r="G42" s="222"/>
      <c r="H42" s="223"/>
    </row>
    <row r="43" spans="1:8" ht="14.45" customHeight="1">
      <c r="A43" s="37"/>
      <c r="B43" s="33"/>
      <c r="C43" s="148"/>
      <c r="D43" s="222"/>
      <c r="E43" s="222"/>
      <c r="F43" s="222"/>
      <c r="G43" s="222"/>
      <c r="H43" s="223"/>
    </row>
    <row r="44" spans="1:8" ht="14.45" customHeight="1">
      <c r="A44" s="37"/>
      <c r="B44" s="33"/>
      <c r="C44" s="148"/>
      <c r="D44" s="222"/>
      <c r="E44" s="222"/>
      <c r="F44" s="222"/>
      <c r="G44" s="222"/>
      <c r="H44" s="223"/>
    </row>
    <row r="45" spans="1:8" ht="14.45" customHeight="1">
      <c r="A45" s="37"/>
      <c r="B45" s="33"/>
      <c r="C45" s="148"/>
      <c r="D45" s="222"/>
      <c r="E45" s="222"/>
      <c r="F45" s="222"/>
      <c r="G45" s="222"/>
      <c r="H45" s="223"/>
    </row>
    <row r="46" spans="1:8" ht="14.45" customHeight="1">
      <c r="A46" s="37"/>
      <c r="B46" s="33"/>
      <c r="C46" s="148"/>
      <c r="D46" s="222"/>
      <c r="E46" s="222"/>
      <c r="F46" s="222"/>
      <c r="G46" s="222"/>
      <c r="H46" s="223"/>
    </row>
    <row r="47" spans="1:8" ht="14.45" customHeight="1">
      <c r="A47" s="43"/>
      <c r="B47" s="18"/>
      <c r="C47" s="148"/>
      <c r="D47" s="222"/>
      <c r="E47" s="222"/>
      <c r="F47" s="222"/>
      <c r="G47" s="222"/>
      <c r="H47" s="223"/>
    </row>
    <row r="48" spans="1:8" ht="14.45" customHeight="1">
      <c r="A48" s="43"/>
      <c r="B48" s="18"/>
      <c r="C48" s="148"/>
      <c r="D48" s="222"/>
      <c r="E48" s="222"/>
      <c r="F48" s="222"/>
      <c r="G48" s="222"/>
      <c r="H48" s="223"/>
    </row>
    <row r="49" spans="1:8" ht="14.45" customHeight="1">
      <c r="A49" s="43"/>
      <c r="B49" s="18"/>
      <c r="C49" s="148"/>
      <c r="D49" s="222"/>
      <c r="E49" s="222"/>
      <c r="F49" s="222"/>
      <c r="G49" s="222"/>
      <c r="H49" s="223"/>
    </row>
    <row r="50" spans="1:8">
      <c r="A50" s="43"/>
      <c r="B50" s="18"/>
      <c r="C50" s="18"/>
      <c r="D50" s="18"/>
      <c r="E50" s="18"/>
      <c r="F50" s="18"/>
      <c r="G50" s="18"/>
      <c r="H50" s="44"/>
    </row>
    <row r="51" spans="1:8">
      <c r="A51" s="70" t="s">
        <v>264</v>
      </c>
      <c r="B51" s="71" t="s">
        <v>454</v>
      </c>
      <c r="C51" s="18"/>
      <c r="D51" s="18"/>
      <c r="E51" s="18"/>
      <c r="F51" s="18"/>
      <c r="G51" s="89" t="str">
        <f>$G$13</f>
        <v>Щербаков А.С.</v>
      </c>
      <c r="H51" s="72"/>
    </row>
    <row r="52" spans="1:8">
      <c r="A52" s="43"/>
      <c r="B52" s="18"/>
      <c r="C52" s="18"/>
      <c r="D52" s="18"/>
      <c r="E52" s="18"/>
      <c r="F52" s="18"/>
      <c r="G52" s="18"/>
      <c r="H52" s="44"/>
    </row>
    <row r="53" spans="1:8">
      <c r="A53" s="79" t="s">
        <v>271</v>
      </c>
      <c r="B53" s="74" t="s">
        <v>387</v>
      </c>
      <c r="C53" s="18"/>
      <c r="D53" s="18"/>
      <c r="E53" s="18"/>
      <c r="F53" s="18"/>
      <c r="G53" s="89" t="str">
        <f>IF(ISBLANK(H13),"",H13)</f>
        <v/>
      </c>
      <c r="H53" s="72"/>
    </row>
    <row r="54" spans="1:8">
      <c r="A54" s="45"/>
      <c r="B54" s="36"/>
      <c r="C54" s="36"/>
      <c r="D54" s="36"/>
      <c r="E54" s="36"/>
      <c r="F54" s="36"/>
      <c r="G54" s="36"/>
      <c r="H54" s="46"/>
    </row>
  </sheetData>
  <sheetProtection sheet="1" objects="1" scenarios="1" formatCells="0" formatColumns="0"/>
  <mergeCells count="6">
    <mergeCell ref="C8:E8"/>
    <mergeCell ref="A6:H7"/>
    <mergeCell ref="C9:E9"/>
    <mergeCell ref="C10:E10"/>
    <mergeCell ref="D40:H49"/>
    <mergeCell ref="A23:H37"/>
  </mergeCells>
  <dataValidations count="8"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A6">
      <formula1>INDIRECT("Вмешательства[Рентгенэндоваскулярная диагностика и лечение]")</formula1>
    </dataValidation>
    <dataValidation type="list" allowBlank="1" showInputMessage="1" showErrorMessage="1" sqref="D13:F17">
      <formula1>INDIRECT("Должность[Должность]")</formula1>
    </dataValidation>
    <dataValidation type="list" allowBlank="1" showInputMessage="1" showErrorMessage="1" sqref="C8:E10">
      <formula1>INDIRECT("Локализация[Локализация]")</formula1>
    </dataValidation>
    <dataValidation type="list" allowBlank="1" showInputMessage="1" showErrorMessage="1" sqref="F8:F10">
      <formula1>"1,2,3,4,5,6,7,8"</formula1>
    </dataValidation>
    <dataValidation type="list" allowBlank="1" showInputMessage="1" showErrorMessage="1" sqref="G8:G10">
      <formula1>"DES,BMS"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ignoredErrors>
    <ignoredError sqref="B12 B22" unlockedFormula="1"/>
  </ignoredErrors>
  <drawing r:id="rId2"/>
  <legacyDrawing r:id="rId3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showWhiteSpace="0" view="pageBreakPreview" zoomScaleNormal="90" zoomScaleSheetLayoutView="100" zoomScalePageLayoutView="80" workbookViewId="0">
      <selection activeCell="C3" sqref="C3"/>
    </sheetView>
  </sheetViews>
  <sheetFormatPr defaultRowHeight="15"/>
  <cols>
    <col min="1" max="1" width="18.7109375" customWidth="1"/>
    <col min="2" max="2" width="45.5703125" customWidth="1"/>
    <col min="3" max="3" width="15.7109375" customWidth="1"/>
    <col min="4" max="4" width="21.140625" customWidth="1"/>
    <col min="5" max="5" width="7.7109375" bestFit="1" customWidth="1"/>
    <col min="6" max="8" width="10.7109375" bestFit="1" customWidth="1"/>
    <col min="9" max="13" width="11.7109375" bestFit="1" customWidth="1"/>
  </cols>
  <sheetData>
    <row r="1" spans="1:4">
      <c r="A1" s="32"/>
      <c r="B1" s="136"/>
      <c r="C1" s="136"/>
      <c r="D1" s="137"/>
    </row>
    <row r="2" spans="1:4" ht="19.899999999999999" customHeight="1">
      <c r="A2" s="119" t="s">
        <v>126</v>
      </c>
      <c r="B2" s="120">
        <f>$D$10</f>
        <v>44685</v>
      </c>
      <c r="C2" s="190" t="str">
        <f>IF(ЧКВ!A6=Вмешательства!D4,Вмешательства!K7,IF(ЧКВ!A6=Вмешательства!D5,Вмешательства!K7,Вмешательства!K9))</f>
        <v>ВМП 1</v>
      </c>
      <c r="D2" s="121" t="s">
        <v>127</v>
      </c>
    </row>
    <row r="3" spans="1:4" ht="20.45" customHeight="1">
      <c r="A3" s="122" t="s">
        <v>125</v>
      </c>
      <c r="B3" s="123"/>
      <c r="C3" s="18"/>
      <c r="D3" s="44"/>
    </row>
    <row r="4" spans="1:4" ht="17.25" thickBot="1">
      <c r="A4" s="184" t="s">
        <v>260</v>
      </c>
      <c r="B4" s="185" t="s">
        <v>133</v>
      </c>
      <c r="C4" s="186" t="s">
        <v>15</v>
      </c>
      <c r="D4" s="187" t="str">
        <f>КАГ!$B$11</f>
        <v>Хлопов М.И.</v>
      </c>
    </row>
    <row r="5" spans="1:4" ht="15.75" thickTop="1">
      <c r="A5" s="165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A06.10.006</v>
      </c>
      <c r="B5" s="166" t="str">
        <f>IF(ISBLANK(КАГ!A6),"",КАГ!A6)</f>
        <v>КОРОНАРОГРАФИЯ</v>
      </c>
      <c r="C5" s="164" t="s">
        <v>8</v>
      </c>
      <c r="D5" s="125">
        <f>КАГ!$B$12</f>
        <v>27104</v>
      </c>
    </row>
    <row r="6" spans="1:4" ht="30">
      <c r="A6" s="165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A16.12.004.009</v>
      </c>
      <c r="B6" s="167" t="str">
        <f>ЧКВ!A6</f>
        <v xml:space="preserve">Транслюминальная баллонная ангиопластика и стентирование коронарных артерий. </v>
      </c>
      <c r="C6" s="164" t="s">
        <v>10</v>
      </c>
      <c r="D6" s="126">
        <f>DATEDIF(D5,D10,"y")</f>
        <v>48</v>
      </c>
    </row>
    <row r="7" spans="1:4">
      <c r="A7" s="43"/>
      <c r="B7" s="18"/>
      <c r="C7" s="124" t="s">
        <v>12</v>
      </c>
      <c r="D7" s="126">
        <f>КАГ!$B$14</f>
        <v>6718</v>
      </c>
    </row>
    <row r="8" spans="1:4">
      <c r="A8" s="127" t="str">
        <f>ЧКВ!$A$9</f>
        <v>Код модели: 21167</v>
      </c>
      <c r="B8" s="128"/>
      <c r="C8" s="124" t="s">
        <v>197</v>
      </c>
      <c r="D8" s="126">
        <f>КАГ!$B$15</f>
        <v>35</v>
      </c>
    </row>
    <row r="9" spans="1:4">
      <c r="A9" s="127" t="str">
        <f>ЧКВ!$A$10</f>
        <v>Код метода: 47</v>
      </c>
      <c r="B9" s="18"/>
      <c r="C9" s="129" t="s">
        <v>134</v>
      </c>
      <c r="D9" s="126" t="str">
        <f>КАГ!$B$16</f>
        <v>ОКС БПST</v>
      </c>
    </row>
    <row r="10" spans="1:4">
      <c r="A10" s="45"/>
      <c r="B10" s="36"/>
      <c r="C10" s="188" t="s">
        <v>13</v>
      </c>
      <c r="D10" s="189">
        <f>КАГ!$B$8</f>
        <v>44685</v>
      </c>
    </row>
    <row r="11" spans="1:4">
      <c r="A11" s="32"/>
      <c r="B11" s="136"/>
      <c r="C11" s="136"/>
      <c r="D11" s="137"/>
    </row>
    <row r="12" spans="1:4" ht="18.75" customHeight="1">
      <c r="A12" s="171" t="s">
        <v>416</v>
      </c>
      <c r="B12" s="172" t="s">
        <v>0</v>
      </c>
      <c r="C12" s="172" t="s">
        <v>14</v>
      </c>
      <c r="D12" s="173" t="s">
        <v>128</v>
      </c>
    </row>
    <row r="13" spans="1:4" ht="27.75" customHeight="1">
      <c r="A13" s="174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Проводниковый катетер</v>
      </c>
      <c r="B13" s="192" t="s">
        <v>406</v>
      </c>
      <c r="C13" s="170"/>
      <c r="D13" s="175">
        <v>1</v>
      </c>
    </row>
    <row r="14" spans="1:4" ht="27.75" customHeight="1">
      <c r="A14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проводник </v>
      </c>
      <c r="B14" s="193" t="s">
        <v>403</v>
      </c>
      <c r="C14" s="168"/>
      <c r="D14" s="175">
        <v>2</v>
      </c>
    </row>
    <row r="15" spans="1:4" ht="27.75" customHeight="1">
      <c r="A15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Баллонный катетер</v>
      </c>
      <c r="B15" s="193" t="s">
        <v>394</v>
      </c>
      <c r="C15" s="168" t="s">
        <v>104</v>
      </c>
      <c r="D15" s="175">
        <v>1</v>
      </c>
    </row>
    <row r="16" spans="1:4" ht="27.75" customHeight="1">
      <c r="A16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Баллонный катетер</v>
      </c>
      <c r="B16" s="193" t="s">
        <v>394</v>
      </c>
      <c r="C16" s="168" t="s">
        <v>177</v>
      </c>
      <c r="D16" s="175">
        <v>1</v>
      </c>
    </row>
    <row r="17" spans="1:4" ht="27.75" customHeight="1">
      <c r="A17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Баллонный катетер</v>
      </c>
      <c r="B17" s="193" t="s">
        <v>393</v>
      </c>
      <c r="C17" s="168" t="s">
        <v>119</v>
      </c>
      <c r="D17" s="175">
        <v>1</v>
      </c>
    </row>
    <row r="18" spans="1:4" ht="27.75" customHeight="1">
      <c r="A18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18" s="193" t="s">
        <v>404</v>
      </c>
      <c r="C18" s="168" t="s">
        <v>180</v>
      </c>
      <c r="D18" s="175">
        <v>1</v>
      </c>
    </row>
    <row r="19" spans="1:4" ht="27.75" customHeight="1">
      <c r="A19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Индефлятор</v>
      </c>
      <c r="B19" s="193" t="s">
        <v>413</v>
      </c>
      <c r="C19" s="168"/>
      <c r="D19" s="177">
        <v>1</v>
      </c>
    </row>
    <row r="20" spans="1:4" ht="27.75" customHeight="1">
      <c r="A20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0" s="194"/>
      <c r="C20" s="168"/>
      <c r="D20" s="177"/>
    </row>
    <row r="21" spans="1:4" ht="27.75" customHeight="1">
      <c r="A21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1" s="193"/>
      <c r="C21" s="168"/>
      <c r="D21" s="178"/>
    </row>
    <row r="22" spans="1:4" ht="27.75" customHeight="1">
      <c r="A22" s="179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2" s="195"/>
      <c r="C22" s="168"/>
      <c r="D22" s="178"/>
    </row>
    <row r="23" spans="1:4" ht="27.75" customHeight="1">
      <c r="A23" s="179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3" s="195"/>
      <c r="C23" s="168"/>
      <c r="D23" s="178"/>
    </row>
    <row r="24" spans="1:4" ht="27.75" customHeight="1">
      <c r="A24" s="18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4" s="195"/>
      <c r="C24" s="169"/>
      <c r="D24" s="178"/>
    </row>
    <row r="25" spans="1:4" ht="27.75" customHeight="1">
      <c r="A25" s="181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5" s="196"/>
      <c r="C25" s="182"/>
      <c r="D25" s="183"/>
    </row>
    <row r="26" spans="1:4" ht="14.45" customHeight="1">
      <c r="A26" s="13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6" s="132"/>
      <c r="C26" s="133"/>
      <c r="D26" s="131"/>
    </row>
    <row r="27" spans="1:4" ht="14.45" customHeight="1">
      <c r="A27" s="13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7" s="132"/>
      <c r="C27" s="133"/>
      <c r="D27" s="131"/>
    </row>
    <row r="28" spans="1:4" ht="14.45" customHeight="1">
      <c r="A28" s="43" t="s">
        <v>11</v>
      </c>
      <c r="B28" s="18" t="s">
        <v>11</v>
      </c>
      <c r="C28" s="18"/>
      <c r="D28" s="44"/>
    </row>
    <row r="29" spans="1:4" ht="14.45" customHeight="1">
      <c r="A29" s="43" t="s">
        <v>11</v>
      </c>
      <c r="B29" s="18" t="s">
        <v>11</v>
      </c>
      <c r="C29" s="18"/>
      <c r="D29" s="44"/>
    </row>
    <row r="30" spans="1:4" ht="14.45" customHeight="1">
      <c r="A30" s="43" t="s">
        <v>11</v>
      </c>
      <c r="B30" s="18" t="s">
        <v>11</v>
      </c>
      <c r="C30" s="18"/>
      <c r="D30" s="44"/>
    </row>
    <row r="31" spans="1:4" ht="14.45" customHeight="1">
      <c r="A31" s="43" t="s">
        <v>11</v>
      </c>
      <c r="B31" s="18" t="s">
        <v>11</v>
      </c>
      <c r="C31" s="18"/>
      <c r="D31" s="44"/>
    </row>
    <row r="32" spans="1:4" ht="14.45" customHeight="1">
      <c r="A32" s="43" t="s">
        <v>11</v>
      </c>
      <c r="B32" s="18"/>
      <c r="C32" s="18"/>
      <c r="D32" s="44"/>
    </row>
    <row r="33" spans="1:4" ht="14.45" customHeight="1">
      <c r="A33" s="43"/>
      <c r="B33" s="18"/>
      <c r="C33" s="18"/>
      <c r="D33" s="44"/>
    </row>
    <row r="34" spans="1:4" ht="14.45" customHeight="1">
      <c r="A34" s="43"/>
      <c r="B34" s="18"/>
      <c r="C34" s="18"/>
      <c r="D34" s="44"/>
    </row>
    <row r="35" spans="1:4" ht="19.899999999999999" customHeight="1">
      <c r="A35" s="43"/>
      <c r="B35" s="134" t="s">
        <v>372</v>
      </c>
      <c r="C35" s="17"/>
      <c r="D35" s="44"/>
    </row>
    <row r="36" spans="1:4" ht="19.899999999999999" customHeight="1">
      <c r="A36" s="43"/>
      <c r="C36" s="18"/>
      <c r="D36" s="44"/>
    </row>
    <row r="37" spans="1:4" ht="19.899999999999999" customHeight="1">
      <c r="A37" s="43"/>
      <c r="B37" s="143" t="str">
        <f>"Оператор:"&amp;" "&amp;ЧКВ!$G$13</f>
        <v>Оператор: Щербаков А.С.</v>
      </c>
      <c r="C37" s="17"/>
      <c r="D37" s="44"/>
    </row>
    <row r="38" spans="1:4" ht="19.899999999999999" customHeight="1">
      <c r="A38" s="43"/>
      <c r="C38" s="18"/>
      <c r="D38" s="44"/>
    </row>
    <row r="39" spans="1:4" ht="19.899999999999999" customHeight="1">
      <c r="A39" s="43"/>
      <c r="B39" s="135" t="s">
        <v>344</v>
      </c>
      <c r="C39" s="138"/>
      <c r="D39" s="44"/>
    </row>
    <row r="40" spans="1:4" ht="19.899999999999999" customHeight="1">
      <c r="A40" s="45"/>
      <c r="B40" s="36"/>
      <c r="C40" s="36"/>
      <c r="D40" s="46"/>
    </row>
    <row r="41" spans="1:4" ht="14.45" customHeight="1">
      <c r="C41" s="15"/>
    </row>
  </sheetData>
  <sheetProtection sheet="1" scenarios="1" formatCells="0" formatColumns="0" formatRows="0" sort="0" autoFilter="0"/>
  <phoneticPr fontId="14" type="noConversion"/>
  <dataValidations count="17">
    <dataValidation allowBlank="1" showInputMessage="1" sqref="B5:B6"/>
    <dataValidation type="list" errorStyle="warning" allowBlank="1" showInputMessage="1" showErrorMessage="1" errorTitle="Ой)))" error="Размера нет в базе данных!" sqref="C13:C14 C16:C25">
      <formula1>Размеры_стентов_балонов</formula1>
    </dataValidation>
    <dataValidation type="list" allowBlank="1" showInputMessage="1" sqref="B13">
      <formula1>ВЫП.Список_Расходка_1</formula1>
    </dataValidation>
    <dataValidation type="list" allowBlank="1" showInputMessage="1" sqref="B14">
      <formula1>ВЫП.Список_Расходка_2</formula1>
    </dataValidation>
    <dataValidation type="list" allowBlank="1" showInputMessage="1" sqref="B15">
      <formula1>ВЫП.Список_Расходка_3</formula1>
    </dataValidation>
    <dataValidation type="list" allowBlank="1" showInputMessage="1" sqref="B16">
      <formula1>ВЫП.Список_Расходка_4</formula1>
    </dataValidation>
    <dataValidation type="list" allowBlank="1" showInputMessage="1" showErrorMessage="1" sqref="B39 B35">
      <formula1>INDIRECT("Сотрудники[Должность: ФИО]")</formula1>
    </dataValidation>
    <dataValidation type="list" allowBlank="1" showInputMessage="1" sqref="B17">
      <formula1>ВЫП.Список_Расходка_5</formula1>
    </dataValidation>
    <dataValidation type="list" allowBlank="1" showInputMessage="1" sqref="B18">
      <formula1>ВЫП.Список_Расходка_6</formula1>
    </dataValidation>
    <dataValidation type="list" allowBlank="1" showInputMessage="1" sqref="B19">
      <formula1>ВЫП.Список_Расходка_7</formula1>
    </dataValidation>
    <dataValidation type="list" allowBlank="1" showInputMessage="1" sqref="B20">
      <formula1>ВЫП.Список_Расходка_8</formula1>
    </dataValidation>
    <dataValidation type="list" allowBlank="1" showInputMessage="1" sqref="B21">
      <formula1>ВЫП.Список_Расходка_9</formula1>
    </dataValidation>
    <dataValidation type="list" allowBlank="1" showInputMessage="1" sqref="B22">
      <formula1>ВЫП.Список_Расходка_10</formula1>
    </dataValidation>
    <dataValidation type="list" allowBlank="1" showInputMessage="1" sqref="B23">
      <formula1>ВЫП.Список_Расходка_11</formula1>
    </dataValidation>
    <dataValidation type="list" allowBlank="1" showInputMessage="1" sqref="B24">
      <formula1>ВЫП.Список_Расходка_12</formula1>
    </dataValidation>
    <dataValidation type="list" allowBlank="1" showInputMessage="1" sqref="B25">
      <formula1>ВЫП.Список_Расходка_13</formula1>
    </dataValidation>
    <dataValidation type="list" errorStyle="warning" allowBlank="1" showInputMessage="1" showErrorMessage="1" errorTitle="Ой)))" error="Размера нет в базе данных" sqref="C15">
      <formula1>Размеры_стентов_балонов</formula1>
    </dataValidation>
  </dataValidations>
  <printOptions horizontalCentered="1"/>
  <pageMargins left="0.11811023622047245" right="0.11811023622047245" top="0.35433070866141736" bottom="0" header="0.31496062992125984" footer="0.31496062992125984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'Расходный материал'!$C$2:$C$48</xm:f>
          </x14:formula1>
          <xm:sqref>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90" zoomScaleNormal="90" workbookViewId="0">
      <pane ySplit="1" topLeftCell="A2" activePane="bottomLeft" state="frozen"/>
      <selection pane="bottomLeft" activeCell="F22" sqref="F22"/>
    </sheetView>
  </sheetViews>
  <sheetFormatPr defaultRowHeight="15"/>
  <cols>
    <col min="1" max="1" width="5" customWidth="1"/>
    <col min="2" max="2" width="13.28515625" hidden="1" customWidth="1"/>
    <col min="3" max="3" width="25.5703125" bestFit="1" customWidth="1"/>
    <col min="4" max="4" width="56.7109375" customWidth="1"/>
    <col min="6" max="6" width="40" bestFit="1" customWidth="1"/>
    <col min="7" max="7" width="7.7109375" bestFit="1" customWidth="1"/>
    <col min="8" max="8" width="5.28515625" customWidth="1"/>
    <col min="9" max="9" width="15.42578125" bestFit="1" customWidth="1"/>
    <col min="10" max="10" width="12.28515625" bestFit="1" customWidth="1"/>
    <col min="11" max="11" width="7.42578125" bestFit="1" customWidth="1"/>
    <col min="12" max="12" width="12" bestFit="1" customWidth="1"/>
    <col min="13" max="13" width="6.28515625" customWidth="1"/>
    <col min="14" max="14" width="15.28515625" bestFit="1" customWidth="1"/>
    <col min="15" max="15" width="7.42578125" bestFit="1" customWidth="1"/>
    <col min="16" max="16" width="12" bestFit="1" customWidth="1"/>
    <col min="17" max="17" width="8.85546875" customWidth="1"/>
  </cols>
  <sheetData>
    <row r="1" spans="1:15" ht="24.6" customHeight="1">
      <c r="A1" s="7" t="s">
        <v>2</v>
      </c>
      <c r="B1" s="7" t="s">
        <v>7</v>
      </c>
      <c r="C1" s="8" t="s">
        <v>16</v>
      </c>
      <c r="D1" s="11" t="s">
        <v>17</v>
      </c>
      <c r="F1" s="3" t="s">
        <v>89</v>
      </c>
      <c r="G1" s="3" t="s">
        <v>90</v>
      </c>
      <c r="I1" s="2" t="s">
        <v>191</v>
      </c>
      <c r="J1" s="2" t="s">
        <v>194</v>
      </c>
      <c r="K1" s="2" t="s">
        <v>192</v>
      </c>
      <c r="L1" s="2" t="s">
        <v>195</v>
      </c>
    </row>
    <row r="2" spans="1:15">
      <c r="A2" s="10">
        <v>1</v>
      </c>
      <c r="B2" s="2" t="s">
        <v>9</v>
      </c>
      <c r="C2" s="10" t="s">
        <v>293</v>
      </c>
      <c r="D2" s="5" t="s">
        <v>278</v>
      </c>
      <c r="F2" t="s">
        <v>91</v>
      </c>
      <c r="G2">
        <v>155800</v>
      </c>
      <c r="I2" t="s">
        <v>98</v>
      </c>
      <c r="J2" s="2">
        <v>21166</v>
      </c>
      <c r="K2" t="s">
        <v>100</v>
      </c>
      <c r="L2" s="2">
        <v>47</v>
      </c>
      <c r="M2" s="12"/>
      <c r="N2" t="s">
        <v>280</v>
      </c>
    </row>
    <row r="3" spans="1:15">
      <c r="A3" s="10">
        <v>2</v>
      </c>
      <c r="B3" s="2" t="s">
        <v>18</v>
      </c>
      <c r="C3" s="10" t="s">
        <v>85</v>
      </c>
      <c r="D3" s="5" t="s">
        <v>279</v>
      </c>
      <c r="F3" t="s">
        <v>92</v>
      </c>
      <c r="G3">
        <v>218190</v>
      </c>
      <c r="I3" t="s">
        <v>389</v>
      </c>
      <c r="J3" s="2">
        <v>21167</v>
      </c>
      <c r="K3" t="s">
        <v>101</v>
      </c>
      <c r="L3" s="2">
        <v>46</v>
      </c>
      <c r="N3" t="s">
        <v>272</v>
      </c>
    </row>
    <row r="4" spans="1:15" ht="30">
      <c r="A4" s="10">
        <v>3</v>
      </c>
      <c r="B4" s="2" t="s">
        <v>38</v>
      </c>
      <c r="C4" s="10" t="s">
        <v>39</v>
      </c>
      <c r="D4" s="5" t="s">
        <v>273</v>
      </c>
      <c r="F4" t="s">
        <v>93</v>
      </c>
      <c r="G4">
        <v>218140</v>
      </c>
      <c r="I4" t="s">
        <v>193</v>
      </c>
      <c r="J4" s="2">
        <v>21168</v>
      </c>
      <c r="K4" t="s">
        <v>102</v>
      </c>
      <c r="L4" s="2">
        <v>45</v>
      </c>
    </row>
    <row r="5" spans="1:15" ht="30">
      <c r="A5" s="10">
        <v>4</v>
      </c>
      <c r="B5" s="2"/>
      <c r="C5" s="10" t="s">
        <v>39</v>
      </c>
      <c r="D5" s="5" t="s">
        <v>445</v>
      </c>
      <c r="F5" t="s">
        <v>94</v>
      </c>
      <c r="G5">
        <v>218160</v>
      </c>
    </row>
    <row r="6" spans="1:15" ht="30">
      <c r="A6" s="10">
        <v>5</v>
      </c>
      <c r="B6" s="2" t="s">
        <v>36</v>
      </c>
      <c r="C6" s="10" t="s">
        <v>37</v>
      </c>
      <c r="D6" s="5" t="s">
        <v>251</v>
      </c>
      <c r="F6" t="s">
        <v>95</v>
      </c>
      <c r="G6">
        <v>194510</v>
      </c>
    </row>
    <row r="7" spans="1:15" ht="30">
      <c r="A7" s="10">
        <v>6</v>
      </c>
      <c r="B7" s="9"/>
      <c r="C7" s="10" t="s">
        <v>99</v>
      </c>
      <c r="D7" s="5" t="s">
        <v>380</v>
      </c>
      <c r="F7" t="s">
        <v>96</v>
      </c>
      <c r="G7">
        <v>323500</v>
      </c>
      <c r="I7" t="s">
        <v>292</v>
      </c>
      <c r="K7" t="s">
        <v>379</v>
      </c>
    </row>
    <row r="8" spans="1:15" ht="30">
      <c r="A8" s="10">
        <v>7</v>
      </c>
      <c r="B8" s="2"/>
      <c r="C8" s="10" t="s">
        <v>294</v>
      </c>
      <c r="D8" s="5" t="s">
        <v>196</v>
      </c>
      <c r="F8" t="s">
        <v>97</v>
      </c>
      <c r="G8">
        <v>323510</v>
      </c>
      <c r="I8" t="s">
        <v>282</v>
      </c>
      <c r="K8" t="s">
        <v>417</v>
      </c>
    </row>
    <row r="9" spans="1:15">
      <c r="A9" s="10">
        <v>8</v>
      </c>
      <c r="B9" s="9"/>
      <c r="C9" s="10" t="s">
        <v>80</v>
      </c>
      <c r="D9" s="5" t="s">
        <v>312</v>
      </c>
      <c r="I9" t="s">
        <v>283</v>
      </c>
      <c r="K9" t="s">
        <v>418</v>
      </c>
    </row>
    <row r="10" spans="1:15">
      <c r="A10" s="10">
        <v>9</v>
      </c>
      <c r="B10" s="2" t="s">
        <v>35</v>
      </c>
      <c r="C10" s="10" t="s">
        <v>86</v>
      </c>
      <c r="D10" s="5" t="s">
        <v>87</v>
      </c>
      <c r="F10" t="s">
        <v>134</v>
      </c>
      <c r="I10" t="s">
        <v>284</v>
      </c>
    </row>
    <row r="11" spans="1:15">
      <c r="A11" s="10">
        <v>10</v>
      </c>
      <c r="B11" s="2"/>
      <c r="C11" s="10" t="s">
        <v>295</v>
      </c>
      <c r="D11" s="5" t="s">
        <v>203</v>
      </c>
      <c r="F11" s="16" t="s">
        <v>98</v>
      </c>
      <c r="G11" s="16"/>
      <c r="H11" s="16"/>
      <c r="I11" t="s">
        <v>285</v>
      </c>
    </row>
    <row r="12" spans="1:15">
      <c r="A12" s="10">
        <v>11</v>
      </c>
      <c r="B12" s="2" t="s">
        <v>25</v>
      </c>
      <c r="C12" s="10" t="s">
        <v>296</v>
      </c>
      <c r="D12" s="5" t="s">
        <v>26</v>
      </c>
      <c r="F12" s="16" t="s">
        <v>388</v>
      </c>
      <c r="G12" s="16"/>
      <c r="H12" s="16"/>
      <c r="I12" t="s">
        <v>286</v>
      </c>
      <c r="O12" s="10"/>
    </row>
    <row r="13" spans="1:15">
      <c r="A13" s="10">
        <v>12</v>
      </c>
      <c r="B13" s="2" t="s">
        <v>19</v>
      </c>
      <c r="C13" s="10" t="s">
        <v>297</v>
      </c>
      <c r="D13" s="5" t="s">
        <v>20</v>
      </c>
      <c r="F13" s="16" t="s">
        <v>193</v>
      </c>
      <c r="G13" s="16"/>
      <c r="H13" s="16"/>
      <c r="I13" t="s">
        <v>287</v>
      </c>
      <c r="N13" s="12"/>
      <c r="O13" s="12"/>
    </row>
    <row r="14" spans="1:15">
      <c r="A14" s="10">
        <v>13</v>
      </c>
      <c r="B14" s="2" t="s">
        <v>21</v>
      </c>
      <c r="C14" s="10" t="s">
        <v>298</v>
      </c>
      <c r="D14" s="5" t="s">
        <v>22</v>
      </c>
      <c r="F14" s="16" t="s">
        <v>154</v>
      </c>
      <c r="G14" s="16"/>
      <c r="H14" s="16"/>
      <c r="I14" t="s">
        <v>288</v>
      </c>
    </row>
    <row r="15" spans="1:15">
      <c r="A15" s="10">
        <v>14</v>
      </c>
      <c r="B15" s="2" t="s">
        <v>23</v>
      </c>
      <c r="C15" s="10" t="s">
        <v>299</v>
      </c>
      <c r="D15" s="5" t="s">
        <v>24</v>
      </c>
      <c r="F15" s="16" t="s">
        <v>156</v>
      </c>
      <c r="G15" s="16"/>
      <c r="H15" s="16"/>
      <c r="I15" t="s">
        <v>274</v>
      </c>
    </row>
    <row r="16" spans="1:15">
      <c r="A16" s="10">
        <v>15</v>
      </c>
      <c r="B16" s="2" t="s">
        <v>27</v>
      </c>
      <c r="C16" s="10" t="s">
        <v>300</v>
      </c>
      <c r="D16" s="5" t="s">
        <v>28</v>
      </c>
      <c r="F16" s="16" t="s">
        <v>155</v>
      </c>
      <c r="G16" s="16"/>
      <c r="H16" s="16"/>
      <c r="I16" t="s">
        <v>289</v>
      </c>
    </row>
    <row r="17" spans="1:9">
      <c r="A17" s="10">
        <v>16</v>
      </c>
      <c r="B17" s="2" t="s">
        <v>29</v>
      </c>
      <c r="C17" s="10" t="s">
        <v>301</v>
      </c>
      <c r="D17" s="5" t="s">
        <v>30</v>
      </c>
      <c r="F17" s="16" t="s">
        <v>158</v>
      </c>
      <c r="I17" t="s">
        <v>281</v>
      </c>
    </row>
    <row r="18" spans="1:9">
      <c r="A18" s="10">
        <v>17</v>
      </c>
      <c r="B18" s="2" t="s">
        <v>31</v>
      </c>
      <c r="C18" s="10" t="s">
        <v>302</v>
      </c>
      <c r="D18" s="5" t="s">
        <v>32</v>
      </c>
      <c r="F18" s="16"/>
      <c r="I18" t="s">
        <v>290</v>
      </c>
    </row>
    <row r="19" spans="1:9">
      <c r="A19" s="10">
        <v>18</v>
      </c>
      <c r="B19" s="2" t="s">
        <v>33</v>
      </c>
      <c r="C19" s="10" t="s">
        <v>303</v>
      </c>
      <c r="D19" s="5" t="s">
        <v>34</v>
      </c>
      <c r="I19" t="s">
        <v>291</v>
      </c>
    </row>
    <row r="20" spans="1:9" ht="30">
      <c r="A20" s="10">
        <v>19</v>
      </c>
      <c r="B20" s="2" t="s">
        <v>40</v>
      </c>
      <c r="C20" s="10" t="s">
        <v>41</v>
      </c>
      <c r="D20" s="5" t="s">
        <v>42</v>
      </c>
    </row>
    <row r="21" spans="1:9" ht="30">
      <c r="A21" s="10">
        <v>20</v>
      </c>
      <c r="B21" s="2" t="s">
        <v>43</v>
      </c>
      <c r="C21" s="10" t="s">
        <v>44</v>
      </c>
      <c r="D21" s="5" t="s">
        <v>45</v>
      </c>
      <c r="F21" s="13"/>
      <c r="G21" s="13"/>
      <c r="H21" s="13"/>
      <c r="I21" s="13"/>
    </row>
    <row r="22" spans="1:9" ht="30">
      <c r="A22" s="10">
        <v>21</v>
      </c>
      <c r="B22" s="2" t="s">
        <v>46</v>
      </c>
      <c r="C22" s="10" t="s">
        <v>47</v>
      </c>
      <c r="D22" s="5" t="s">
        <v>48</v>
      </c>
      <c r="F22" s="13"/>
      <c r="G22" s="13"/>
      <c r="H22" s="13"/>
      <c r="I22" s="13"/>
    </row>
    <row r="23" spans="1:9" ht="30">
      <c r="A23" s="10">
        <v>22</v>
      </c>
      <c r="B23" s="2" t="s">
        <v>49</v>
      </c>
      <c r="C23" s="10" t="s">
        <v>50</v>
      </c>
      <c r="D23" s="5" t="s">
        <v>51</v>
      </c>
      <c r="F23" s="13"/>
      <c r="G23" s="13"/>
      <c r="H23" s="13"/>
      <c r="I23" s="13"/>
    </row>
    <row r="24" spans="1:9" ht="30">
      <c r="A24" s="10">
        <v>23</v>
      </c>
      <c r="B24" s="2" t="s">
        <v>52</v>
      </c>
      <c r="C24" s="10" t="s">
        <v>53</v>
      </c>
      <c r="D24" s="5" t="s">
        <v>54</v>
      </c>
      <c r="F24" s="13"/>
      <c r="G24" s="13"/>
      <c r="H24" s="13"/>
      <c r="I24" s="13"/>
    </row>
    <row r="25" spans="1:9">
      <c r="A25" s="10">
        <v>24</v>
      </c>
      <c r="B25" s="2" t="s">
        <v>55</v>
      </c>
      <c r="C25" s="10" t="s">
        <v>56</v>
      </c>
      <c r="D25" s="5" t="s">
        <v>57</v>
      </c>
      <c r="F25" s="13"/>
      <c r="G25" s="13"/>
      <c r="H25" s="13"/>
      <c r="I25" s="13"/>
    </row>
    <row r="26" spans="1:9">
      <c r="A26" s="10">
        <v>25</v>
      </c>
      <c r="B26" s="2" t="s">
        <v>58</v>
      </c>
      <c r="C26" s="10" t="s">
        <v>59</v>
      </c>
      <c r="D26" s="5" t="s">
        <v>60</v>
      </c>
      <c r="F26" s="13"/>
      <c r="G26" s="13"/>
      <c r="H26" s="13"/>
      <c r="I26" s="13"/>
    </row>
    <row r="27" spans="1:9" ht="30">
      <c r="A27" s="10">
        <v>26</v>
      </c>
      <c r="B27" s="2" t="s">
        <v>61</v>
      </c>
      <c r="C27" s="10" t="s">
        <v>62</v>
      </c>
      <c r="D27" s="5" t="s">
        <v>63</v>
      </c>
      <c r="F27" s="13"/>
      <c r="G27" s="13"/>
      <c r="H27" s="13"/>
      <c r="I27" s="13"/>
    </row>
    <row r="28" spans="1:9" ht="45">
      <c r="A28" s="10">
        <v>27</v>
      </c>
      <c r="B28" s="2" t="s">
        <v>64</v>
      </c>
      <c r="C28" s="10" t="s">
        <v>65</v>
      </c>
      <c r="D28" s="5" t="s">
        <v>66</v>
      </c>
      <c r="F28" s="13"/>
      <c r="G28" s="13"/>
      <c r="H28" s="13"/>
      <c r="I28" s="13"/>
    </row>
    <row r="29" spans="1:9">
      <c r="A29" s="10">
        <v>28</v>
      </c>
      <c r="B29" s="2" t="s">
        <v>67</v>
      </c>
      <c r="C29" s="94" t="s">
        <v>309</v>
      </c>
      <c r="D29" s="5" t="s">
        <v>310</v>
      </c>
      <c r="F29" s="13"/>
      <c r="G29" s="13"/>
      <c r="H29" s="13"/>
      <c r="I29" s="13"/>
    </row>
    <row r="30" spans="1:9" ht="45">
      <c r="A30" s="10">
        <v>29</v>
      </c>
      <c r="B30" s="2" t="s">
        <v>68</v>
      </c>
      <c r="C30" s="94" t="s">
        <v>69</v>
      </c>
      <c r="D30" s="5" t="s">
        <v>70</v>
      </c>
      <c r="F30" s="13"/>
      <c r="G30" s="13"/>
      <c r="H30" s="13"/>
      <c r="I30" s="13"/>
    </row>
    <row r="31" spans="1:9" ht="30">
      <c r="A31" s="10">
        <v>30</v>
      </c>
      <c r="B31" s="2" t="s">
        <v>71</v>
      </c>
      <c r="C31" s="94" t="s">
        <v>72</v>
      </c>
      <c r="D31" s="5" t="s">
        <v>73</v>
      </c>
      <c r="F31" s="13"/>
      <c r="G31" s="13"/>
      <c r="H31" s="13"/>
      <c r="I31" s="13"/>
    </row>
    <row r="32" spans="1:9">
      <c r="A32" s="10">
        <v>31</v>
      </c>
      <c r="B32" s="2" t="s">
        <v>74</v>
      </c>
      <c r="C32" s="94" t="s">
        <v>305</v>
      </c>
      <c r="D32" s="5" t="s">
        <v>75</v>
      </c>
      <c r="F32" s="13"/>
      <c r="G32" s="13"/>
      <c r="H32" s="13"/>
      <c r="I32" s="13"/>
    </row>
    <row r="33" spans="1:9">
      <c r="A33" s="10">
        <v>32</v>
      </c>
      <c r="B33" s="2" t="s">
        <v>76</v>
      </c>
      <c r="C33" s="94" t="s">
        <v>304</v>
      </c>
      <c r="D33" s="5" t="s">
        <v>77</v>
      </c>
      <c r="F33" s="13"/>
      <c r="G33" s="13"/>
      <c r="H33" s="13"/>
      <c r="I33" s="13"/>
    </row>
    <row r="34" spans="1:9">
      <c r="A34" s="10">
        <v>33</v>
      </c>
      <c r="B34" s="2" t="s">
        <v>78</v>
      </c>
      <c r="C34" s="94" t="s">
        <v>306</v>
      </c>
      <c r="D34" s="5" t="s">
        <v>79</v>
      </c>
      <c r="F34" s="13"/>
      <c r="G34" s="13"/>
      <c r="H34" s="13"/>
      <c r="I34" s="13"/>
    </row>
    <row r="35" spans="1:9">
      <c r="A35" s="10">
        <v>34</v>
      </c>
      <c r="B35" s="2" t="s">
        <v>81</v>
      </c>
      <c r="C35" s="94" t="s">
        <v>82</v>
      </c>
      <c r="D35" s="5" t="s">
        <v>307</v>
      </c>
      <c r="F35" s="13"/>
      <c r="G35" s="13"/>
      <c r="H35" s="13"/>
      <c r="I35" s="13"/>
    </row>
    <row r="36" spans="1:9">
      <c r="A36" s="10">
        <v>35</v>
      </c>
      <c r="B36" s="2" t="s">
        <v>83</v>
      </c>
      <c r="C36" s="94" t="s">
        <v>84</v>
      </c>
      <c r="D36" s="5" t="s">
        <v>308</v>
      </c>
      <c r="F36" s="13"/>
      <c r="G36" s="13"/>
      <c r="H36" s="13"/>
      <c r="I36" s="13"/>
    </row>
    <row r="37" spans="1:9">
      <c r="A37" s="10">
        <v>36</v>
      </c>
      <c r="B37" s="9"/>
      <c r="C37" s="94" t="s">
        <v>311</v>
      </c>
      <c r="D37" s="6" t="s">
        <v>88</v>
      </c>
      <c r="F37" s="13"/>
      <c r="G37" s="13"/>
      <c r="H37" s="13"/>
      <c r="I37" s="13"/>
    </row>
  </sheetData>
  <sheetProtection sheet="1" objects="1" scenarios="1" formatCells="0" formatColumns="0"/>
  <phoneticPr fontId="14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4"/>
  <sheetViews>
    <sheetView zoomScaleNormal="100" workbookViewId="0">
      <selection activeCell="AJ19" sqref="AJ19"/>
    </sheetView>
  </sheetViews>
  <sheetFormatPr defaultRowHeight="15" outlineLevelCol="1"/>
  <cols>
    <col min="1" max="1" width="3.140625" bestFit="1" customWidth="1"/>
    <col min="2" max="2" width="34.42578125" bestFit="1" customWidth="1"/>
    <col min="3" max="3" width="35.5703125" bestFit="1" customWidth="1"/>
    <col min="4" max="4" width="9.85546875" customWidth="1"/>
    <col min="5" max="10" width="4.42578125" style="139" hidden="1" customWidth="1" outlineLevel="1"/>
    <col min="11" max="17" width="4.42578125" style="140" hidden="1" customWidth="1" outlineLevel="1"/>
    <col min="18" max="30" width="4.42578125" style="139" hidden="1" customWidth="1" outlineLevel="1"/>
    <col min="31" max="31" width="8.85546875" collapsed="1"/>
    <col min="32" max="32" width="18.7109375" bestFit="1" customWidth="1"/>
    <col min="33" max="33" width="9.28515625" bestFit="1" customWidth="1"/>
    <col min="35" max="35" width="12.28515625" bestFit="1" customWidth="1"/>
    <col min="36" max="36" width="15.5703125" bestFit="1" customWidth="1"/>
    <col min="37" max="37" width="24.85546875" bestFit="1" customWidth="1"/>
  </cols>
  <sheetData>
    <row r="1" spans="1:37">
      <c r="A1" t="s">
        <v>2</v>
      </c>
      <c r="B1" t="s">
        <v>1</v>
      </c>
      <c r="C1" t="s">
        <v>0</v>
      </c>
      <c r="E1" s="139" t="s">
        <v>129</v>
      </c>
      <c r="F1" s="139" t="s">
        <v>130</v>
      </c>
      <c r="G1" s="139" t="s">
        <v>349</v>
      </c>
      <c r="H1" s="139" t="s">
        <v>350</v>
      </c>
      <c r="I1" s="139" t="s">
        <v>351</v>
      </c>
      <c r="J1" s="139" t="s">
        <v>352</v>
      </c>
      <c r="K1" s="140" t="s">
        <v>353</v>
      </c>
      <c r="L1" s="140" t="s">
        <v>354</v>
      </c>
      <c r="M1" s="140" t="s">
        <v>355</v>
      </c>
      <c r="N1" s="140" t="s">
        <v>356</v>
      </c>
      <c r="O1" s="140" t="s">
        <v>357</v>
      </c>
      <c r="P1" s="140" t="s">
        <v>358</v>
      </c>
      <c r="Q1" s="140" t="s">
        <v>359</v>
      </c>
      <c r="R1" s="139" t="s">
        <v>131</v>
      </c>
      <c r="S1" s="139" t="s">
        <v>132</v>
      </c>
      <c r="T1" s="139" t="s">
        <v>360</v>
      </c>
      <c r="U1" s="139" t="s">
        <v>361</v>
      </c>
      <c r="V1" s="139" t="s">
        <v>362</v>
      </c>
      <c r="W1" s="139" t="s">
        <v>363</v>
      </c>
      <c r="X1" s="139" t="s">
        <v>364</v>
      </c>
      <c r="Y1" s="139" t="s">
        <v>365</v>
      </c>
      <c r="Z1" s="139" t="s">
        <v>366</v>
      </c>
      <c r="AA1" s="139" t="s">
        <v>367</v>
      </c>
      <c r="AB1" s="139" t="s">
        <v>368</v>
      </c>
      <c r="AC1" s="139" t="s">
        <v>369</v>
      </c>
      <c r="AD1" s="139" t="s">
        <v>370</v>
      </c>
      <c r="AF1" s="2" t="s">
        <v>160</v>
      </c>
      <c r="AG1" s="2" t="s">
        <v>190</v>
      </c>
      <c r="AI1" t="s">
        <v>261</v>
      </c>
      <c r="AJ1" t="s">
        <v>262</v>
      </c>
      <c r="AK1" t="s">
        <v>263</v>
      </c>
    </row>
    <row r="2" spans="1:37">
      <c r="A2">
        <v>1</v>
      </c>
      <c r="B2" t="s">
        <v>122</v>
      </c>
      <c r="C2" s="1" t="s">
        <v>385</v>
      </c>
      <c r="D2" s="1"/>
      <c r="E2" s="140">
        <f>IF(ISNUMBER(SEARCH('Карта учёта'!$B$13,Расходка[[#This Row],[Наименование расходного материала]])),MAX($E$1:E1)+1,0)</f>
        <v>0</v>
      </c>
      <c r="F2" s="140">
        <f>IF(ISNUMBER(SEARCH('Карта учёта'!$B$14,Расходка[[#This Row],[Наименование расходного материала]])),MAX($F$1:F1)+1,0)</f>
        <v>0</v>
      </c>
      <c r="G2" s="140">
        <f>IF(ISNUMBER(SEARCH('Карта учёта'!$B$15,Расходка[Наименование расходного материала])),MAX($G$1:G1)+1,0)</f>
        <v>0</v>
      </c>
      <c r="H2" s="140">
        <f>IF(ISNUMBER(SEARCH('Карта учёта'!$B$16,Расходка[Наименование расходного материала])),MAX($H$1:H1)+1,0)</f>
        <v>0</v>
      </c>
      <c r="I2" s="140">
        <f>IF(ISNUMBER(SEARCH('Карта учёта'!$B$17,Расходка[Наименование расходного материала])),MAX($I$1:I1)+1,0)</f>
        <v>0</v>
      </c>
      <c r="J2" s="140">
        <f>IF(ISNUMBER(SEARCH('Карта учёта'!$B$18,Расходка[Наименование расходного материала])),MAX($J$1:J1)+1,0)</f>
        <v>0</v>
      </c>
      <c r="K2" s="140">
        <f>IF(ISNUMBER(SEARCH('Карта учёта'!$B$19,Расходка[Наименование расходного материала])),MAX($K$1:K1)+1,0)</f>
        <v>0</v>
      </c>
      <c r="L2" s="140">
        <f>IF(ISNUMBER(SEARCH('Карта учёта'!$B$20,Расходка[Наименование расходного материала])),MAX($L$1:L1)+1,0)</f>
        <v>1</v>
      </c>
      <c r="M2" s="140">
        <f>IF(ISNUMBER(SEARCH('Карта учёта'!$B$21,Расходка[Наименование расходного материала])),MAX($M$1:M1)+1,0)</f>
        <v>1</v>
      </c>
      <c r="N2" s="141">
        <f>IF(ISNUMBER(SEARCH('Карта учёта'!$B$22,Расходка[Наименование расходного материала])),MAX($N$1:N1)+1,0)</f>
        <v>1</v>
      </c>
      <c r="O2" s="140">
        <f>IF(ISNUMBER(SEARCH('Карта учёта'!$B$23,Расходка[Наименование расходного материала])),MAX($O$1:O1)+1,0)</f>
        <v>1</v>
      </c>
      <c r="P2" s="140">
        <f>IF(ISNUMBER(SEARCH('Карта учёта'!$B$24,Расходка[Наименование расходного материала])),MAX($P$1:P1)+1,0)</f>
        <v>1</v>
      </c>
      <c r="Q2" s="140">
        <f>IF(ISNUMBER(SEARCH('Карта учёта'!$B$25,Расходка[Наименование расходного материала])),MAX($Q$1:Q1)+1,0)</f>
        <v>1</v>
      </c>
      <c r="R2" s="139" t="str">
        <f>IFERROR(INDEX(Расходка[Наименование расходного материала],MATCH(Расходка[№],Поиск_расходки[Индекс1],0)),"")</f>
        <v>Launcher 6F EBU 3.5</v>
      </c>
      <c r="S2" s="139" t="str">
        <f>IFERROR(INDEX(Расходка[Наименование расходного материала],MATCH(Расходка[№],Поиск_расходки[Индекс2],0)),"")</f>
        <v>Intuition</v>
      </c>
      <c r="T2" s="139" t="str">
        <f>IFERROR(INDEX(Расходка[Наименование расходного материала],MATCH(Расходка[№],Поиск_расходки[Индекс3],0)),"")</f>
        <v>Sprinter Legend</v>
      </c>
      <c r="U2" s="139" t="str">
        <f>IFERROR(INDEX(Расходка[Наименование расходного материала],MATCH(Расходка[№],Поиск_расходки[Индекс4],0)),"")</f>
        <v>Sprinter Legend</v>
      </c>
      <c r="V2" s="139" t="str">
        <f>IFERROR(INDEX(Расходка[Наименование расходного материала],MATCH(Расходка[№],Поиск_расходки[Индекс5],0)),"")</f>
        <v>NC Accuforce</v>
      </c>
      <c r="W2" s="139" t="str">
        <f>IFERROR(INDEX(Расходка[Наименование расходного материала],MATCH(Расходка[№],Поиск_расходки[Индекс6],0)),"")</f>
        <v>DES, Resolute Integtity</v>
      </c>
      <c r="X2" s="139" t="str">
        <f>IFERROR(INDEX(Расходка[Наименование расходного материала],MATCH(Расходка[№],Поиск_расходки[Индекс7],0)),"")</f>
        <v>BasixCOMPAK</v>
      </c>
      <c r="Y2" s="139" t="str">
        <f>IFERROR(INDEX(Расходка[Наименование расходного материала],MATCH(Расходка[№],Поиск_расходки[Индекс8],0)),"")</f>
        <v>Hunter® 6F</v>
      </c>
      <c r="Z2" s="139" t="str">
        <f>IFERROR(INDEX(Расходка[Наименование расходного материала],MATCH(Расходка[№],Поиск_расходки[Индекс9],0)),"")</f>
        <v>Hunter® 6F</v>
      </c>
      <c r="AA2" s="139" t="str">
        <f>IFERROR(INDEX(Расходка[Наименование расходного материала],MATCH(Расходка[№],Поиск_расходки[Индекс10],0)),"")</f>
        <v>Hunter® 6F</v>
      </c>
      <c r="AB2" s="139" t="str">
        <f>IFERROR(INDEX(Расходка[Наименование расходного материала],MATCH(Расходка[№],Поиск_расходки[Индекс11],0)),"")</f>
        <v>Hunter® 6F</v>
      </c>
      <c r="AC2" s="139" t="str">
        <f>IFERROR(INDEX(Расходка[Наименование расходного материала],MATCH(Расходка[№],Поиск_расходки[Индекс12],0)),"")</f>
        <v>Hunter® 6F</v>
      </c>
      <c r="AD2" s="139" t="str">
        <f>IFERROR(INDEX(Расходка[Наименование расходного материала],MATCH(Расходка[№],Поиск_расходки[Индекс13],0)),"")</f>
        <v>Hunter® 6F</v>
      </c>
      <c r="AF2" s="4" t="s">
        <v>5</v>
      </c>
      <c r="AG2" s="4" t="s">
        <v>103</v>
      </c>
      <c r="AI2" t="s">
        <v>255</v>
      </c>
      <c r="AJ2" t="s">
        <v>264</v>
      </c>
      <c r="AK2" t="str">
        <f>CONCATENATE(AI2,AJ2)</f>
        <v xml:space="preserve">Контраст: Ультравист 370 </v>
      </c>
    </row>
    <row r="3" spans="1:37">
      <c r="A3">
        <v>2</v>
      </c>
      <c r="B3" t="s">
        <v>5</v>
      </c>
      <c r="C3" t="s">
        <v>393</v>
      </c>
      <c r="E3" s="140">
        <f>IF(ISNUMBER(SEARCH('Карта учёта'!$B$13,Расходка[[#This Row],[Наименование расходного материала]])),MAX($E$1:E2)+1,0)</f>
        <v>0</v>
      </c>
      <c r="F3" s="140">
        <f>IF(ISNUMBER(SEARCH('Карта учёта'!$B$14,Расходка[[#This Row],[Наименование расходного материала]])),MAX($F$1:F2)+1,0)</f>
        <v>0</v>
      </c>
      <c r="G3" s="140">
        <f>IF(ISNUMBER(SEARCH('Карта учёта'!$B$15,Расходка[Наименование расходного материала])),MAX($G$1:G2)+1,0)</f>
        <v>0</v>
      </c>
      <c r="H3" s="140">
        <f>IF(ISNUMBER(SEARCH('Карта учёта'!$B$16,Расходка[Наименование расходного материала])),MAX($H$1:H2)+1,0)</f>
        <v>0</v>
      </c>
      <c r="I3" s="140">
        <f>IF(ISNUMBER(SEARCH('Карта учёта'!$B$17,Расходка[Наименование расходного материала])),MAX($I$1:I2)+1,0)</f>
        <v>1</v>
      </c>
      <c r="J3" s="140">
        <f>IF(ISNUMBER(SEARCH('Карта учёта'!$B$18,Расходка[Наименование расходного материала])),MAX($J$1:J2)+1,0)</f>
        <v>0</v>
      </c>
      <c r="K3" s="140">
        <f>IF(ISNUMBER(SEARCH('Карта учёта'!$B$19,Расходка[Наименование расходного материала])),MAX($K$1:K2)+1,0)</f>
        <v>0</v>
      </c>
      <c r="L3" s="140">
        <f>IF(ISNUMBER(SEARCH('Карта учёта'!$B$20,Расходка[Наименование расходного материала])),MAX($L$1:L2)+1,0)</f>
        <v>2</v>
      </c>
      <c r="M3" s="140">
        <f>IF(ISNUMBER(SEARCH('Карта учёта'!$B$21,Расходка[Наименование расходного материала])),MAX($M$1:M2)+1,0)</f>
        <v>2</v>
      </c>
      <c r="N3" s="142">
        <f>IF(ISNUMBER(SEARCH('Карта учёта'!$B$22,Расходка[Наименование расходного материала])),MAX($N$1:N2)+1,0)</f>
        <v>2</v>
      </c>
      <c r="O3" s="140">
        <f>IF(ISNUMBER(SEARCH('Карта учёта'!$B$23,Расходка[Наименование расходного материала])),MAX($O$1:O2)+1,0)</f>
        <v>2</v>
      </c>
      <c r="P3" s="140">
        <f>IF(ISNUMBER(SEARCH('Карта учёта'!$B$24,Расходка[Наименование расходного материала])),MAX($P$1:P2)+1,0)</f>
        <v>2</v>
      </c>
      <c r="Q3" s="140">
        <f>IF(ISNUMBER(SEARCH('Карта учёта'!$B$25,Расходка[Наименование расходного материала])),MAX($Q$1:Q2)+1,0)</f>
        <v>2</v>
      </c>
      <c r="R3" s="139" t="str">
        <f>IFERROR(INDEX(Расходка[Наименование расходного материала],MATCH(Расходка[№],Поиск_расходки[Индекс1],0)),"")</f>
        <v/>
      </c>
      <c r="S3" s="139" t="str">
        <f>IFERROR(INDEX(Расходка[Наименование расходного материала],MATCH(Расходка[№],Поиск_расходки[Индекс2],0)),"")</f>
        <v/>
      </c>
      <c r="T3" s="139" t="str">
        <f>IFERROR(INDEX(Расходка[Наименование расходного материала],MATCH(Расходка[№],Поиск_расходки[Индекс3],0)),"")</f>
        <v/>
      </c>
      <c r="U3" s="139" t="str">
        <f>IFERROR(INDEX(Расходка[Наименование расходного материала],MATCH(Расходка[№],Поиск_расходки[Индекс4],0)),"")</f>
        <v/>
      </c>
      <c r="V3" s="139" t="str">
        <f>IFERROR(INDEX(Расходка[Наименование расходного материала],MATCH(Расходка[№],Поиск_расходки[Индекс5],0)),"")</f>
        <v/>
      </c>
      <c r="W3" s="139" t="str">
        <f>IFERROR(INDEX(Расходка[Наименование расходного материала],MATCH(Расходка[№],Поиск_расходки[Индекс6],0)),"")</f>
        <v/>
      </c>
      <c r="X3" s="139" t="str">
        <f>IFERROR(INDEX(Расходка[Наименование расходного материала],MATCH(Расходка[№],Поиск_расходки[Индекс7],0)),"")</f>
        <v/>
      </c>
      <c r="Y3" s="139" t="str">
        <f>IFERROR(INDEX(Расходка[Наименование расходного материала],MATCH(Расходка[№],Поиск_расходки[Индекс8],0)),"")</f>
        <v>NC Accuforce</v>
      </c>
      <c r="Z3" s="139" t="str">
        <f>IFERROR(INDEX(Расходка[Наименование расходного материала],MATCH(Расходка[№],Поиск_расходки[Индекс9],0)),"")</f>
        <v>NC Accuforce</v>
      </c>
      <c r="AA3" s="139" t="str">
        <f>IFERROR(INDEX(Расходка[Наименование расходного материала],MATCH(Расходка[№],Поиск_расходки[Индекс10],0)),"")</f>
        <v>NC Accuforce</v>
      </c>
      <c r="AB3" s="139" t="str">
        <f>IFERROR(INDEX(Расходка[Наименование расходного материала],MATCH(Расходка[№],Поиск_расходки[Индекс11],0)),"")</f>
        <v>NC Accuforce</v>
      </c>
      <c r="AC3" s="139" t="str">
        <f>IFERROR(INDEX(Расходка[Наименование расходного материала],MATCH(Расходка[№],Поиск_расходки[Индекс12],0)),"")</f>
        <v>NC Accuforce</v>
      </c>
      <c r="AD3" s="139" t="str">
        <f>IFERROR(INDEX(Расходка[Наименование расходного материала],MATCH(Расходка[№],Поиск_расходки[Индекс13],0)),"")</f>
        <v>NC Accuforce</v>
      </c>
      <c r="AF3" s="4" t="s">
        <v>5</v>
      </c>
      <c r="AG3" s="4" t="s">
        <v>104</v>
      </c>
      <c r="AI3" t="s">
        <v>255</v>
      </c>
      <c r="AJ3" t="s">
        <v>265</v>
      </c>
      <c r="AK3" t="str">
        <f t="shared" ref="AK3:AK6" si="0">CONCATENATE(AI3,AJ3)</f>
        <v>Контраст: Омнипак 350</v>
      </c>
    </row>
    <row r="4" spans="1:37">
      <c r="A4">
        <v>3</v>
      </c>
      <c r="B4" t="s">
        <v>5</v>
      </c>
      <c r="C4" t="s">
        <v>394</v>
      </c>
      <c r="E4" s="140">
        <f>IF(ISNUMBER(SEARCH('Карта учёта'!$B$13,Расходка[[#This Row],[Наименование расходного материала]])),MAX($E$1:E3)+1,0)</f>
        <v>0</v>
      </c>
      <c r="F4" s="140">
        <f>IF(ISNUMBER(SEARCH('Карта учёта'!$B$14,Расходка[[#This Row],[Наименование расходного материала]])),MAX($F$1:F3)+1,0)</f>
        <v>0</v>
      </c>
      <c r="G4" s="140">
        <f>IF(ISNUMBER(SEARCH('Карта учёта'!$B$15,Расходка[Наименование расходного материала])),MAX($G$1:G3)+1,0)</f>
        <v>1</v>
      </c>
      <c r="H4" s="140">
        <f>IF(ISNUMBER(SEARCH('Карта учёта'!$B$16,Расходка[Наименование расходного материала])),MAX($H$1:H3)+1,0)</f>
        <v>1</v>
      </c>
      <c r="I4" s="140">
        <f>IF(ISNUMBER(SEARCH('Карта учёта'!$B$17,Расходка[Наименование расходного материала])),MAX($I$1:I3)+1,0)</f>
        <v>0</v>
      </c>
      <c r="J4" s="140">
        <f>IF(ISNUMBER(SEARCH('Карта учёта'!$B$18,Расходка[Наименование расходного материала])),MAX($J$1:J3)+1,0)</f>
        <v>0</v>
      </c>
      <c r="K4" s="140">
        <f>IF(ISNUMBER(SEARCH('Карта учёта'!$B$19,Расходка[Наименование расходного материала])),MAX($K$1:K3)+1,0)</f>
        <v>0</v>
      </c>
      <c r="L4" s="140">
        <f>IF(ISNUMBER(SEARCH('Карта учёта'!$B$20,Расходка[Наименование расходного материала])),MAX($L$1:L3)+1,0)</f>
        <v>3</v>
      </c>
      <c r="M4" s="140">
        <f>IF(ISNUMBER(SEARCH('Карта учёта'!$B$21,Расходка[Наименование расходного материала])),MAX($M$1:M3)+1,0)</f>
        <v>3</v>
      </c>
      <c r="N4" s="142">
        <f>IF(ISNUMBER(SEARCH('Карта учёта'!$B$22,Расходка[Наименование расходного материала])),MAX($N$1:N3)+1,0)</f>
        <v>3</v>
      </c>
      <c r="O4" s="140">
        <f>IF(ISNUMBER(SEARCH('Карта учёта'!$B$23,Расходка[Наименование расходного материала])),MAX($O$1:O3)+1,0)</f>
        <v>3</v>
      </c>
      <c r="P4" s="140">
        <f>IF(ISNUMBER(SEARCH('Карта учёта'!$B$24,Расходка[Наименование расходного материала])),MAX($P$1:P3)+1,0)</f>
        <v>3</v>
      </c>
      <c r="Q4" s="140">
        <f>IF(ISNUMBER(SEARCH('Карта учёта'!$B$25,Расходка[Наименование расходного материала])),MAX($Q$1:Q3)+1,0)</f>
        <v>3</v>
      </c>
      <c r="R4" s="139" t="str">
        <f>IFERROR(INDEX(Расходка[Наименование расходного материала],MATCH(Расходка[№],Поиск_расходки[Индекс1],0)),"")</f>
        <v/>
      </c>
      <c r="S4" s="139" t="str">
        <f>IFERROR(INDEX(Расходка[Наименование расходного материала],MATCH(Расходка[№],Поиск_расходки[Индекс2],0)),"")</f>
        <v/>
      </c>
      <c r="T4" s="139" t="str">
        <f>IFERROR(INDEX(Расходка[Наименование расходного материала],MATCH(Расходка[№],Поиск_расходки[Индекс3],0)),"")</f>
        <v/>
      </c>
      <c r="U4" s="139" t="str">
        <f>IFERROR(INDEX(Расходка[Наименование расходного материала],MATCH(Расходка[№],Поиск_расходки[Индекс4],0)),"")</f>
        <v/>
      </c>
      <c r="V4" s="139" t="str">
        <f>IFERROR(INDEX(Расходка[Наименование расходного материала],MATCH(Расходка[№],Поиск_расходки[Индекс5],0)),"")</f>
        <v/>
      </c>
      <c r="W4" s="139" t="str">
        <f>IFERROR(INDEX(Расходка[Наименование расходного материала],MATCH(Расходка[№],Поиск_расходки[Индекс6],0)),"")</f>
        <v/>
      </c>
      <c r="X4" s="139" t="str">
        <f>IFERROR(INDEX(Расходка[Наименование расходного материала],MATCH(Расходка[№],Поиск_расходки[Индекс7],0)),"")</f>
        <v/>
      </c>
      <c r="Y4" s="139" t="str">
        <f>IFERROR(INDEX(Расходка[Наименование расходного материала],MATCH(Расходка[№],Поиск_расходки[Индекс8],0)),"")</f>
        <v>Sprinter Legend</v>
      </c>
      <c r="Z4" s="139" t="str">
        <f>IFERROR(INDEX(Расходка[Наименование расходного материала],MATCH(Расходка[№],Поиск_расходки[Индекс9],0)),"")</f>
        <v>Sprinter Legend</v>
      </c>
      <c r="AA4" s="139" t="str">
        <f>IFERROR(INDEX(Расходка[Наименование расходного материала],MATCH(Расходка[№],Поиск_расходки[Индекс10],0)),"")</f>
        <v>Sprinter Legend</v>
      </c>
      <c r="AB4" s="139" t="str">
        <f>IFERROR(INDEX(Расходка[Наименование расходного материала],MATCH(Расходка[№],Поиск_расходки[Индекс11],0)),"")</f>
        <v>Sprinter Legend</v>
      </c>
      <c r="AC4" s="139" t="str">
        <f>IFERROR(INDEX(Расходка[Наименование расходного материала],MATCH(Расходка[№],Поиск_расходки[Индекс12],0)),"")</f>
        <v>Sprinter Legend</v>
      </c>
      <c r="AD4" s="139" t="str">
        <f>IFERROR(INDEX(Расходка[Наименование расходного материала],MATCH(Расходка[№],Поиск_расходки[Индекс13],0)),"")</f>
        <v>Sprinter Legend</v>
      </c>
      <c r="AF4" s="4" t="s">
        <v>5</v>
      </c>
      <c r="AG4" s="4" t="s">
        <v>159</v>
      </c>
      <c r="AI4" t="s">
        <v>255</v>
      </c>
      <c r="AJ4" t="s">
        <v>266</v>
      </c>
      <c r="AK4" t="str">
        <f t="shared" si="0"/>
        <v>Контраст: Оптирей 350</v>
      </c>
    </row>
    <row r="5" spans="1:37">
      <c r="A5">
        <v>4</v>
      </c>
      <c r="B5" t="s">
        <v>5</v>
      </c>
      <c r="C5" t="s">
        <v>346</v>
      </c>
      <c r="E5" s="140">
        <f>IF(ISNUMBER(SEARCH('Карта учёта'!$B$13,Расходка[[#This Row],[Наименование расходного материала]])),MAX($E$1:E4)+1,0)</f>
        <v>0</v>
      </c>
      <c r="F5" s="140">
        <f>IF(ISNUMBER(SEARCH('Карта учёта'!$B$14,Расходка[[#This Row],[Наименование расходного материала]])),MAX($F$1:F4)+1,0)</f>
        <v>0</v>
      </c>
      <c r="G5" s="140">
        <f>IF(ISNUMBER(SEARCH('Карта учёта'!$B$15,Расходка[Наименование расходного материала])),MAX($G$1:G4)+1,0)</f>
        <v>0</v>
      </c>
      <c r="H5" s="140">
        <f>IF(ISNUMBER(SEARCH('Карта учёта'!$B$16,Расходка[Наименование расходного материала])),MAX($H$1:H4)+1,0)</f>
        <v>0</v>
      </c>
      <c r="I5" s="140">
        <f>IF(ISNUMBER(SEARCH('Карта учёта'!$B$17,Расходка[Наименование расходного материала])),MAX($I$1:I4)+1,0)</f>
        <v>0</v>
      </c>
      <c r="J5" s="140">
        <f>IF(ISNUMBER(SEARCH('Карта учёта'!$B$18,Расходка[Наименование расходного материала])),MAX($J$1:J4)+1,0)</f>
        <v>0</v>
      </c>
      <c r="K5" s="140">
        <f>IF(ISNUMBER(SEARCH('Карта учёта'!$B$19,Расходка[Наименование расходного материала])),MAX($K$1:K4)+1,0)</f>
        <v>0</v>
      </c>
      <c r="L5" s="140">
        <f>IF(ISNUMBER(SEARCH('Карта учёта'!$B$20,Расходка[Наименование расходного материала])),MAX($L$1:L4)+1,0)</f>
        <v>4</v>
      </c>
      <c r="M5" s="140">
        <f>IF(ISNUMBER(SEARCH('Карта учёта'!$B$21,Расходка[Наименование расходного материала])),MAX($M$1:M4)+1,0)</f>
        <v>4</v>
      </c>
      <c r="N5" s="142">
        <f>IF(ISNUMBER(SEARCH('Карта учёта'!$B$22,Расходка[Наименование расходного материала])),MAX($N$1:N4)+1,0)</f>
        <v>4</v>
      </c>
      <c r="O5" s="140">
        <f>IF(ISNUMBER(SEARCH('Карта учёта'!$B$23,Расходка[Наименование расходного материала])),MAX($O$1:O4)+1,0)</f>
        <v>4</v>
      </c>
      <c r="P5" s="140">
        <f>IF(ISNUMBER(SEARCH('Карта учёта'!$B$24,Расходка[Наименование расходного материала])),MAX($P$1:P4)+1,0)</f>
        <v>4</v>
      </c>
      <c r="Q5" s="140">
        <f>IF(ISNUMBER(SEARCH('Карта учёта'!$B$25,Расходка[Наименование расходного материала])),MAX($Q$1:Q4)+1,0)</f>
        <v>4</v>
      </c>
      <c r="R5" s="139" t="str">
        <f>IFERROR(INDEX(Расходка[Наименование расходного материала],MATCH(Расходка[№],Поиск_расходки[Индекс1],0)),"")</f>
        <v/>
      </c>
      <c r="S5" s="139" t="str">
        <f>IFERROR(INDEX(Расходка[Наименование расходного материала],MATCH(Расходка[№],Поиск_расходки[Индекс2],0)),"")</f>
        <v/>
      </c>
      <c r="T5" s="139" t="str">
        <f>IFERROR(INDEX(Расходка[Наименование расходного материала],MATCH(Расходка[№],Поиск_расходки[Индекс3],0)),"")</f>
        <v/>
      </c>
      <c r="U5" s="139" t="str">
        <f>IFERROR(INDEX(Расходка[Наименование расходного материала],MATCH(Расходка[№],Поиск_расходки[Индекс4],0)),"")</f>
        <v/>
      </c>
      <c r="V5" s="139" t="str">
        <f>IFERROR(INDEX(Расходка[Наименование расходного материала],MATCH(Расходка[№],Поиск_расходки[Индекс5],0)),"")</f>
        <v/>
      </c>
      <c r="W5" s="139" t="str">
        <f>IFERROR(INDEX(Расходка[Наименование расходного материала],MATCH(Расходка[№],Поиск_расходки[Индекс6],0)),"")</f>
        <v/>
      </c>
      <c r="X5" s="139" t="str">
        <f>IFERROR(INDEX(Расходка[Наименование расходного материала],MATCH(Расходка[№],Поиск_расходки[Индекс7],0)),"")</f>
        <v/>
      </c>
      <c r="Y5" s="139" t="str">
        <f>IFERROR(INDEX(Расходка[Наименование расходного материала],MATCH(Расходка[№],Поиск_расходки[Индекс8],0)),"")</f>
        <v>Sapphire</v>
      </c>
      <c r="Z5" s="139" t="str">
        <f>IFERROR(INDEX(Расходка[Наименование расходного материала],MATCH(Расходка[№],Поиск_расходки[Индекс9],0)),"")</f>
        <v>Sapphire</v>
      </c>
      <c r="AA5" s="139" t="str">
        <f>IFERROR(INDEX(Расходка[Наименование расходного материала],MATCH(Расходка[№],Поиск_расходки[Индекс10],0)),"")</f>
        <v>Sapphire</v>
      </c>
      <c r="AB5" s="139" t="str">
        <f>IFERROR(INDEX(Расходка[Наименование расходного материала],MATCH(Расходка[№],Поиск_расходки[Индекс11],0)),"")</f>
        <v>Sapphire</v>
      </c>
      <c r="AC5" s="139" t="str">
        <f>IFERROR(INDEX(Расходка[Наименование расходного материала],MATCH(Расходка[№],Поиск_расходки[Индекс12],0)),"")</f>
        <v>Sapphire</v>
      </c>
      <c r="AD5" s="139" t="str">
        <f>IFERROR(INDEX(Расходка[Наименование расходного материала],MATCH(Расходка[№],Поиск_расходки[Индекс13],0)),"")</f>
        <v>Sapphire</v>
      </c>
      <c r="AF5" s="4" t="s">
        <v>5</v>
      </c>
      <c r="AG5" s="4" t="s">
        <v>105</v>
      </c>
      <c r="AI5" t="s">
        <v>255</v>
      </c>
      <c r="AJ5" t="s">
        <v>267</v>
      </c>
      <c r="AK5" t="str">
        <f t="shared" si="0"/>
        <v>Контраст: Юнигексол 350</v>
      </c>
    </row>
    <row r="6" spans="1:37">
      <c r="A6">
        <v>5</v>
      </c>
      <c r="B6" t="s">
        <v>5</v>
      </c>
      <c r="C6" s="1" t="s">
        <v>347</v>
      </c>
      <c r="E6" s="140">
        <f>IF(ISNUMBER(SEARCH('Карта учёта'!$B$13,Расходка[[#This Row],[Наименование расходного материала]])),MAX($E$1:E5)+1,0)</f>
        <v>0</v>
      </c>
      <c r="F6" s="140">
        <f>IF(ISNUMBER(SEARCH('Карта учёта'!$B$14,Расходка[[#This Row],[Наименование расходного материала]])),MAX($F$1:F5)+1,0)</f>
        <v>0</v>
      </c>
      <c r="G6" s="140">
        <f>IF(ISNUMBER(SEARCH('Карта учёта'!$B$15,Расходка[Наименование расходного материала])),MAX($G$1:G5)+1,0)</f>
        <v>0</v>
      </c>
      <c r="H6" s="140">
        <f>IF(ISNUMBER(SEARCH('Карта учёта'!$B$16,Расходка[Наименование расходного материала])),MAX($H$1:H5)+1,0)</f>
        <v>0</v>
      </c>
      <c r="I6" s="140">
        <f>IF(ISNUMBER(SEARCH('Карта учёта'!$B$17,Расходка[Наименование расходного материала])),MAX($I$1:I5)+1,0)</f>
        <v>0</v>
      </c>
      <c r="J6" s="140">
        <f>IF(ISNUMBER(SEARCH('Карта учёта'!$B$18,Расходка[Наименование расходного материала])),MAX($J$1:J5)+1,0)</f>
        <v>0</v>
      </c>
      <c r="K6" s="140">
        <f>IF(ISNUMBER(SEARCH('Карта учёта'!$B$19,Расходка[Наименование расходного материала])),MAX($K$1:K5)+1,0)</f>
        <v>0</v>
      </c>
      <c r="L6" s="140">
        <f>IF(ISNUMBER(SEARCH('Карта учёта'!$B$20,Расходка[Наименование расходного материала])),MAX($L$1:L5)+1,0)</f>
        <v>5</v>
      </c>
      <c r="M6" s="140">
        <f>IF(ISNUMBER(SEARCH('Карта учёта'!$B$21,Расходка[Наименование расходного материала])),MAX($M$1:M5)+1,0)</f>
        <v>5</v>
      </c>
      <c r="N6" s="142">
        <f>IF(ISNUMBER(SEARCH('Карта учёта'!$B$22,Расходка[Наименование расходного материала])),MAX($N$1:N5)+1,0)</f>
        <v>5</v>
      </c>
      <c r="O6" s="140">
        <f>IF(ISNUMBER(SEARCH('Карта учёта'!$B$23,Расходка[Наименование расходного материала])),MAX($O$1:O5)+1,0)</f>
        <v>5</v>
      </c>
      <c r="P6" s="140">
        <f>IF(ISNUMBER(SEARCH('Карта учёта'!$B$24,Расходка[Наименование расходного материала])),MAX($P$1:P5)+1,0)</f>
        <v>5</v>
      </c>
      <c r="Q6" s="140">
        <f>IF(ISNUMBER(SEARCH('Карта учёта'!$B$25,Расходка[Наименование расходного материала])),MAX($Q$1:Q5)+1,0)</f>
        <v>5</v>
      </c>
      <c r="R6" s="139" t="str">
        <f>IFERROR(INDEX(Расходка[Наименование расходного материала],MATCH(Расходка[№],Поиск_расходки[Индекс1],0)),"")</f>
        <v/>
      </c>
      <c r="S6" s="139" t="str">
        <f>IFERROR(INDEX(Расходка[Наименование расходного материала],MATCH(Расходка[№],Поиск_расходки[Индекс2],0)),"")</f>
        <v/>
      </c>
      <c r="T6" s="139" t="str">
        <f>IFERROR(INDEX(Расходка[Наименование расходного материала],MATCH(Расходка[№],Поиск_расходки[Индекс3],0)),"")</f>
        <v/>
      </c>
      <c r="U6" s="139" t="str">
        <f>IFERROR(INDEX(Расходка[Наименование расходного материала],MATCH(Расходка[№],Поиск_расходки[Индекс4],0)),"")</f>
        <v/>
      </c>
      <c r="V6" s="139" t="str">
        <f>IFERROR(INDEX(Расходка[Наименование расходного материала],MATCH(Расходка[№],Поиск_расходки[Индекс5],0)),"")</f>
        <v/>
      </c>
      <c r="W6" s="139" t="str">
        <f>IFERROR(INDEX(Расходка[Наименование расходного материала],MATCH(Расходка[№],Поиск_расходки[Индекс6],0)),"")</f>
        <v/>
      </c>
      <c r="X6" s="139" t="str">
        <f>IFERROR(INDEX(Расходка[Наименование расходного материала],MATCH(Расходка[№],Поиск_расходки[Индекс7],0)),"")</f>
        <v/>
      </c>
      <c r="Y6" s="139" t="str">
        <f>IFERROR(INDEX(Расходка[Наименование расходного материала],MATCH(Расходка[№],Поиск_расходки[Индекс8],0)),"")</f>
        <v>Euphora</v>
      </c>
      <c r="Z6" s="139" t="str">
        <f>IFERROR(INDEX(Расходка[Наименование расходного материала],MATCH(Расходка[№],Поиск_расходки[Индекс9],0)),"")</f>
        <v>Euphora</v>
      </c>
      <c r="AA6" s="139" t="str">
        <f>IFERROR(INDEX(Расходка[Наименование расходного материала],MATCH(Расходка[№],Поиск_расходки[Индекс10],0)),"")</f>
        <v>Euphora</v>
      </c>
      <c r="AB6" s="139" t="str">
        <f>IFERROR(INDEX(Расходка[Наименование расходного материала],MATCH(Расходка[№],Поиск_расходки[Индекс11],0)),"")</f>
        <v>Euphora</v>
      </c>
      <c r="AC6" s="139" t="str">
        <f>IFERROR(INDEX(Расходка[Наименование расходного материала],MATCH(Расходка[№],Поиск_расходки[Индекс12],0)),"")</f>
        <v>Euphora</v>
      </c>
      <c r="AD6" s="139" t="str">
        <f>IFERROR(INDEX(Расходка[Наименование расходного материала],MATCH(Расходка[№],Поиск_расходки[Индекс13],0)),"")</f>
        <v>Euphora</v>
      </c>
      <c r="AF6" s="4" t="s">
        <v>5</v>
      </c>
      <c r="AG6" s="4" t="s">
        <v>113</v>
      </c>
      <c r="AI6" t="s">
        <v>255</v>
      </c>
      <c r="AJ6" t="s">
        <v>268</v>
      </c>
      <c r="AK6" t="str">
        <f t="shared" si="0"/>
        <v>Контраст: Сканлюкс 370</v>
      </c>
    </row>
    <row r="7" spans="1:37">
      <c r="A7">
        <v>6</v>
      </c>
      <c r="B7" t="s">
        <v>5</v>
      </c>
      <c r="C7" s="1" t="s">
        <v>382</v>
      </c>
      <c r="E7" s="140">
        <f>IF(ISNUMBER(SEARCH('Карта учёта'!$B$13,Расходка[[#This Row],[Наименование расходного материала]])),MAX($E$1:E6)+1,0)</f>
        <v>0</v>
      </c>
      <c r="F7" s="140">
        <f>IF(ISNUMBER(SEARCH('Карта учёта'!$B$14,Расходка[[#This Row],[Наименование расходного материала]])),MAX($F$1:F6)+1,0)</f>
        <v>0</v>
      </c>
      <c r="G7" s="140">
        <f>IF(ISNUMBER(SEARCH('Карта учёта'!$B$15,Расходка[Наименование расходного материала])),MAX($G$1:G6)+1,0)</f>
        <v>0</v>
      </c>
      <c r="H7" s="140">
        <f>IF(ISNUMBER(SEARCH('Карта учёта'!$B$16,Расходка[Наименование расходного материала])),MAX($H$1:H6)+1,0)</f>
        <v>0</v>
      </c>
      <c r="I7" s="140">
        <f>IF(ISNUMBER(SEARCH('Карта учёта'!$B$17,Расходка[Наименование расходного материала])),MAX($I$1:I6)+1,0)</f>
        <v>0</v>
      </c>
      <c r="J7" s="140">
        <f>IF(ISNUMBER(SEARCH('Карта учёта'!$B$18,Расходка[Наименование расходного материала])),MAX($J$1:J6)+1,0)</f>
        <v>0</v>
      </c>
      <c r="K7" s="140">
        <f>IF(ISNUMBER(SEARCH('Карта учёта'!$B$19,Расходка[Наименование расходного материала])),MAX($K$1:K6)+1,0)</f>
        <v>0</v>
      </c>
      <c r="L7" s="140">
        <f>IF(ISNUMBER(SEARCH('Карта учёта'!$B$20,Расходка[Наименование расходного материала])),MAX($L$1:L6)+1,0)</f>
        <v>6</v>
      </c>
      <c r="M7" s="140">
        <f>IF(ISNUMBER(SEARCH('Карта учёта'!$B$21,Расходка[Наименование расходного материала])),MAX($M$1:M6)+1,0)</f>
        <v>6</v>
      </c>
      <c r="N7" s="142">
        <f>IF(ISNUMBER(SEARCH('Карта учёта'!$B$22,Расходка[Наименование расходного материала])),MAX($N$1:N6)+1,0)</f>
        <v>6</v>
      </c>
      <c r="O7" s="140">
        <f>IF(ISNUMBER(SEARCH('Карта учёта'!$B$23,Расходка[Наименование расходного материала])),MAX($O$1:O6)+1,0)</f>
        <v>6</v>
      </c>
      <c r="P7" s="140">
        <f>IF(ISNUMBER(SEARCH('Карта учёта'!$B$24,Расходка[Наименование расходного материала])),MAX($P$1:P6)+1,0)</f>
        <v>6</v>
      </c>
      <c r="Q7" s="140">
        <f>IF(ISNUMBER(SEARCH('Карта учёта'!$B$25,Расходка[Наименование расходного материала])),MAX($Q$1:Q6)+1,0)</f>
        <v>6</v>
      </c>
      <c r="R7" s="139" t="str">
        <f>IFERROR(INDEX(Расходка[Наименование расходного материала],MATCH(Расходка[№],Поиск_расходки[Индекс1],0)),"")</f>
        <v/>
      </c>
      <c r="S7" s="139" t="str">
        <f>IFERROR(INDEX(Расходка[Наименование расходного материала],MATCH(Расходка[№],Поиск_расходки[Индекс2],0)),"")</f>
        <v/>
      </c>
      <c r="T7" s="139" t="str">
        <f>IFERROR(INDEX(Расходка[Наименование расходного материала],MATCH(Расходка[№],Поиск_расходки[Индекс3],0)),"")</f>
        <v/>
      </c>
      <c r="U7" s="139" t="str">
        <f>IFERROR(INDEX(Расходка[Наименование расходного материала],MATCH(Расходка[№],Поиск_расходки[Индекс4],0)),"")</f>
        <v/>
      </c>
      <c r="V7" s="139" t="str">
        <f>IFERROR(INDEX(Расходка[Наименование расходного материала],MATCH(Расходка[№],Поиск_расходки[Индекс5],0)),"")</f>
        <v/>
      </c>
      <c r="W7" s="139" t="str">
        <f>IFERROR(INDEX(Расходка[Наименование расходного материала],MATCH(Расходка[№],Поиск_расходки[Индекс6],0)),"")</f>
        <v/>
      </c>
      <c r="X7" s="139" t="str">
        <f>IFERROR(INDEX(Расходка[Наименование расходного материала],MATCH(Расходка[№],Поиск_расходки[Индекс7],0)),"")</f>
        <v/>
      </c>
      <c r="Y7" s="139" t="str">
        <f>IFERROR(INDEX(Расходка[Наименование расходного материала],MATCH(Расходка[№],Поиск_расходки[Индекс8],0)),"")</f>
        <v>NC Euphora</v>
      </c>
      <c r="Z7" s="139" t="str">
        <f>IFERROR(INDEX(Расходка[Наименование расходного материала],MATCH(Расходка[№],Поиск_расходки[Индекс9],0)),"")</f>
        <v>NC Euphora</v>
      </c>
      <c r="AA7" s="139" t="str">
        <f>IFERROR(INDEX(Расходка[Наименование расходного материала],MATCH(Расходка[№],Поиск_расходки[Индекс10],0)),"")</f>
        <v>NC Euphora</v>
      </c>
      <c r="AB7" s="139" t="str">
        <f>IFERROR(INDEX(Расходка[Наименование расходного материала],MATCH(Расходка[№],Поиск_расходки[Индекс11],0)),"")</f>
        <v>NC Euphora</v>
      </c>
      <c r="AC7" s="139" t="str">
        <f>IFERROR(INDEX(Расходка[Наименование расходного материала],MATCH(Расходка[№],Поиск_расходки[Индекс12],0)),"")</f>
        <v>NC Euphora</v>
      </c>
      <c r="AD7" s="139" t="str">
        <f>IFERROR(INDEX(Расходка[Наименование расходного материала],MATCH(Расходка[№],Поиск_расходки[Индекс13],0)),"")</f>
        <v>NC Euphora</v>
      </c>
      <c r="AF7" s="4" t="s">
        <v>5</v>
      </c>
      <c r="AG7" s="4" t="s">
        <v>106</v>
      </c>
      <c r="AI7" t="s">
        <v>255</v>
      </c>
      <c r="AJ7" t="s">
        <v>269</v>
      </c>
      <c r="AK7" t="str">
        <f t="shared" ref="AK7:AK8" si="1">CONCATENATE(AI7,AJ7)</f>
        <v>Контраст: Йогексол 350</v>
      </c>
    </row>
    <row r="8" spans="1:37">
      <c r="A8">
        <v>7</v>
      </c>
      <c r="B8" t="s">
        <v>157</v>
      </c>
      <c r="C8" t="s">
        <v>395</v>
      </c>
      <c r="E8" s="140">
        <f>IF(ISNUMBER(SEARCH('Карта учёта'!$B$13,Расходка[[#This Row],[Наименование расходного материала]])),MAX($E$1:E7)+1,0)</f>
        <v>0</v>
      </c>
      <c r="F8" s="140">
        <f>IF(ISNUMBER(SEARCH('Карта учёта'!$B$14,Расходка[[#This Row],[Наименование расходного материала]])),MAX($F$1:F7)+1,0)</f>
        <v>0</v>
      </c>
      <c r="G8" s="140">
        <f>IF(ISNUMBER(SEARCH('Карта учёта'!$B$15,Расходка[Наименование расходного материала])),MAX($G$1:G7)+1,0)</f>
        <v>0</v>
      </c>
      <c r="H8" s="140">
        <f>IF(ISNUMBER(SEARCH('Карта учёта'!$B$16,Расходка[Наименование расходного материала])),MAX($H$1:H7)+1,0)</f>
        <v>0</v>
      </c>
      <c r="I8" s="140">
        <f>IF(ISNUMBER(SEARCH('Карта учёта'!$B$17,Расходка[Наименование расходного материала])),MAX($I$1:I7)+1,0)</f>
        <v>0</v>
      </c>
      <c r="J8" s="140">
        <f>IF(ISNUMBER(SEARCH('Карта учёта'!$B$18,Расходка[Наименование расходного материала])),MAX($J$1:J7)+1,0)</f>
        <v>0</v>
      </c>
      <c r="K8" s="140">
        <f>IF(ISNUMBER(SEARCH('Карта учёта'!$B$19,Расходка[Наименование расходного материала])),MAX($K$1:K7)+1,0)</f>
        <v>0</v>
      </c>
      <c r="L8" s="140">
        <f>IF(ISNUMBER(SEARCH('Карта учёта'!$B$20,Расходка[Наименование расходного материала])),MAX($L$1:L7)+1,0)</f>
        <v>7</v>
      </c>
      <c r="M8" s="140">
        <f>IF(ISNUMBER(SEARCH('Карта учёта'!$B$21,Расходка[Наименование расходного материала])),MAX($M$1:M7)+1,0)</f>
        <v>7</v>
      </c>
      <c r="N8" s="142">
        <f>IF(ISNUMBER(SEARCH('Карта учёта'!$B$22,Расходка[Наименование расходного материала])),MAX($N$1:N7)+1,0)</f>
        <v>7</v>
      </c>
      <c r="O8" s="140">
        <f>IF(ISNUMBER(SEARCH('Карта учёта'!$B$23,Расходка[Наименование расходного материала])),MAX($O$1:O7)+1,0)</f>
        <v>7</v>
      </c>
      <c r="P8" s="140">
        <f>IF(ISNUMBER(SEARCH('Карта учёта'!$B$24,Расходка[Наименование расходного материала])),MAX($P$1:P7)+1,0)</f>
        <v>7</v>
      </c>
      <c r="Q8" s="140">
        <f>IF(ISNUMBER(SEARCH('Карта учёта'!$B$25,Расходка[Наименование расходного материала])),MAX($Q$1:Q7)+1,0)</f>
        <v>7</v>
      </c>
      <c r="R8" s="139" t="str">
        <f>IFERROR(INDEX(Расходка[Наименование расходного материала],MATCH(Расходка[№],Поиск_расходки[Индекс1],0)),"")</f>
        <v/>
      </c>
      <c r="S8" s="139" t="str">
        <f>IFERROR(INDEX(Расходка[Наименование расходного материала],MATCH(Расходка[№],Поиск_расходки[Индекс2],0)),"")</f>
        <v/>
      </c>
      <c r="T8" s="139" t="str">
        <f>IFERROR(INDEX(Расходка[Наименование расходного материала],MATCH(Расходка[№],Поиск_расходки[Индекс3],0)),"")</f>
        <v/>
      </c>
      <c r="U8" s="139" t="str">
        <f>IFERROR(INDEX(Расходка[Наименование расходного материала],MATCH(Расходка[№],Поиск_расходки[Индекс4],0)),"")</f>
        <v/>
      </c>
      <c r="V8" s="139" t="str">
        <f>IFERROR(INDEX(Расходка[Наименование расходного материала],MATCH(Расходка[№],Поиск_расходки[Индекс5],0)),"")</f>
        <v/>
      </c>
      <c r="W8" s="139" t="str">
        <f>IFERROR(INDEX(Расходка[Наименование расходного материала],MATCH(Расходка[№],Поиск_расходки[Индекс6],0)),"")</f>
        <v/>
      </c>
      <c r="X8" s="139" t="str">
        <f>IFERROR(INDEX(Расходка[Наименование расходного материала],MATCH(Расходка[№],Поиск_расходки[Индекс7],0)),"")</f>
        <v/>
      </c>
      <c r="Y8" s="139" t="str">
        <f>IFERROR(INDEX(Расходка[Наименование расходного материала],MATCH(Расходка[№],Поиск_расходки[Индекс8],0)),"")</f>
        <v>Fielder</v>
      </c>
      <c r="Z8" s="139" t="str">
        <f>IFERROR(INDEX(Расходка[Наименование расходного материала],MATCH(Расходка[№],Поиск_расходки[Индекс9],0)),"")</f>
        <v>Fielder</v>
      </c>
      <c r="AA8" s="139" t="str">
        <f>IFERROR(INDEX(Расходка[Наименование расходного материала],MATCH(Расходка[№],Поиск_расходки[Индекс10],0)),"")</f>
        <v>Fielder</v>
      </c>
      <c r="AB8" s="139" t="str">
        <f>IFERROR(INDEX(Расходка[Наименование расходного материала],MATCH(Расходка[№],Поиск_расходки[Индекс11],0)),"")</f>
        <v>Fielder</v>
      </c>
      <c r="AC8" s="139" t="str">
        <f>IFERROR(INDEX(Расходка[Наименование расходного материала],MATCH(Расходка[№],Поиск_расходки[Индекс12],0)),"")</f>
        <v>Fielder</v>
      </c>
      <c r="AD8" s="139" t="str">
        <f>IFERROR(INDEX(Расходка[Наименование расходного материала],MATCH(Расходка[№],Поиск_расходки[Индекс13],0)),"")</f>
        <v>Fielder</v>
      </c>
      <c r="AF8" s="4" t="s">
        <v>5</v>
      </c>
      <c r="AG8" s="4" t="s">
        <v>107</v>
      </c>
      <c r="AI8" t="s">
        <v>255</v>
      </c>
      <c r="AJ8" t="s">
        <v>270</v>
      </c>
      <c r="AK8" t="str">
        <f t="shared" si="1"/>
        <v>Контраст: Визипак 320</v>
      </c>
    </row>
    <row r="9" spans="1:37">
      <c r="A9">
        <v>8</v>
      </c>
      <c r="B9" t="s">
        <v>3</v>
      </c>
      <c r="C9" t="s">
        <v>396</v>
      </c>
      <c r="E9" s="140">
        <f>IF(ISNUMBER(SEARCH('Карта учёта'!$B$13,Расходка[[#This Row],[Наименование расходного материала]])),MAX($E$1:E8)+1,0)</f>
        <v>0</v>
      </c>
      <c r="F9" s="140">
        <f>IF(ISNUMBER(SEARCH('Карта учёта'!$B$14,Расходка[[#This Row],[Наименование расходного материала]])),MAX($F$1:F8)+1,0)</f>
        <v>0</v>
      </c>
      <c r="G9" s="140">
        <f>IF(ISNUMBER(SEARCH('Карта учёта'!$B$15,Расходка[Наименование расходного материала])),MAX($G$1:G8)+1,0)</f>
        <v>0</v>
      </c>
      <c r="H9" s="140">
        <f>IF(ISNUMBER(SEARCH('Карта учёта'!$B$16,Расходка[Наименование расходного материала])),MAX($H$1:H8)+1,0)</f>
        <v>0</v>
      </c>
      <c r="I9" s="140">
        <f>IF(ISNUMBER(SEARCH('Карта учёта'!$B$17,Расходка[Наименование расходного материала])),MAX($I$1:I8)+1,0)</f>
        <v>0</v>
      </c>
      <c r="J9" s="140">
        <f>IF(ISNUMBER(SEARCH('Карта учёта'!$B$18,Расходка[Наименование расходного материала])),MAX($J$1:J8)+1,0)</f>
        <v>0</v>
      </c>
      <c r="K9" s="140">
        <f>IF(ISNUMBER(SEARCH('Карта учёта'!$B$19,Расходка[Наименование расходного материала])),MAX($K$1:K8)+1,0)</f>
        <v>0</v>
      </c>
      <c r="L9" s="140">
        <f>IF(ISNUMBER(SEARCH('Карта учёта'!$B$20,Расходка[Наименование расходного материала])),MAX($L$1:L8)+1,0)</f>
        <v>8</v>
      </c>
      <c r="M9" s="140">
        <f>IF(ISNUMBER(SEARCH('Карта учёта'!$B$21,Расходка[Наименование расходного материала])),MAX($M$1:M8)+1,0)</f>
        <v>8</v>
      </c>
      <c r="N9" s="142">
        <f>IF(ISNUMBER(SEARCH('Карта учёта'!$B$22,Расходка[Наименование расходного материала])),MAX($N$1:N8)+1,0)</f>
        <v>8</v>
      </c>
      <c r="O9" s="140">
        <f>IF(ISNUMBER(SEARCH('Карта учёта'!$B$23,Расходка[Наименование расходного материала])),MAX($O$1:O8)+1,0)</f>
        <v>8</v>
      </c>
      <c r="P9" s="140">
        <f>IF(ISNUMBER(SEARCH('Карта учёта'!$B$24,Расходка[Наименование расходного материала])),MAX($P$1:P8)+1,0)</f>
        <v>8</v>
      </c>
      <c r="Q9" s="140">
        <f>IF(ISNUMBER(SEARCH('Карта учёта'!$B$25,Расходка[Наименование расходного материала])),MAX($Q$1:Q8)+1,0)</f>
        <v>8</v>
      </c>
      <c r="R9" s="139" t="str">
        <f>IFERROR(INDEX(Расходка[Наименование расходного материала],MATCH(Расходка[№],Поиск_расходки[Индекс1],0)),"")</f>
        <v/>
      </c>
      <c r="S9" s="139" t="str">
        <f>IFERROR(INDEX(Расходка[Наименование расходного материала],MATCH(Расходка[№],Поиск_расходки[Индекс2],0)),"")</f>
        <v/>
      </c>
      <c r="T9" s="139" t="str">
        <f>IFERROR(INDEX(Расходка[Наименование расходного материала],MATCH(Расходка[№],Поиск_расходки[Индекс3],0)),"")</f>
        <v/>
      </c>
      <c r="U9" s="139" t="str">
        <f>IFERROR(INDEX(Расходка[Наименование расходного материала],MATCH(Расходка[№],Поиск_расходки[Индекс4],0)),"")</f>
        <v/>
      </c>
      <c r="V9" s="139" t="str">
        <f>IFERROR(INDEX(Расходка[Наименование расходного материала],MATCH(Расходка[№],Поиск_расходки[Индекс5],0)),"")</f>
        <v/>
      </c>
      <c r="W9" s="139" t="str">
        <f>IFERROR(INDEX(Расходка[Наименование расходного материала],MATCH(Расходка[№],Поиск_расходки[Индекс6],0)),"")</f>
        <v/>
      </c>
      <c r="X9" s="139" t="str">
        <f>IFERROR(INDEX(Расходка[Наименование расходного материала],MATCH(Расходка[№],Поиск_расходки[Индекс7],0)),"")</f>
        <v/>
      </c>
      <c r="Y9" s="139" t="str">
        <f>IFERROR(INDEX(Расходка[Наименование расходного материала],MATCH(Расходка[№],Поиск_расходки[Индекс8],0)),"")</f>
        <v>Sion</v>
      </c>
      <c r="Z9" s="139" t="str">
        <f>IFERROR(INDEX(Расходка[Наименование расходного материала],MATCH(Расходка[№],Поиск_расходки[Индекс9],0)),"")</f>
        <v>Sion</v>
      </c>
      <c r="AA9" s="139" t="str">
        <f>IFERROR(INDEX(Расходка[Наименование расходного материала],MATCH(Расходка[№],Поиск_расходки[Индекс10],0)),"")</f>
        <v>Sion</v>
      </c>
      <c r="AB9" s="139" t="str">
        <f>IFERROR(INDEX(Расходка[Наименование расходного материала],MATCH(Расходка[№],Поиск_расходки[Индекс11],0)),"")</f>
        <v>Sion</v>
      </c>
      <c r="AC9" s="139" t="str">
        <f>IFERROR(INDEX(Расходка[Наименование расходного материала],MATCH(Расходка[№],Поиск_расходки[Индекс12],0)),"")</f>
        <v>Sion</v>
      </c>
      <c r="AD9" s="139" t="str">
        <f>IFERROR(INDEX(Расходка[Наименование расходного материала],MATCH(Расходка[№],Поиск_расходки[Индекс13],0)),"")</f>
        <v>Sion</v>
      </c>
      <c r="AF9" s="4" t="s">
        <v>5</v>
      </c>
      <c r="AG9" s="4" t="s">
        <v>108</v>
      </c>
    </row>
    <row r="10" spans="1:37">
      <c r="A10">
        <v>9</v>
      </c>
      <c r="B10" t="s">
        <v>3</v>
      </c>
      <c r="C10" t="s">
        <v>397</v>
      </c>
      <c r="E10" s="140">
        <f>IF(ISNUMBER(SEARCH('Карта учёта'!$B$13,Расходка[[#This Row],[Наименование расходного материала]])),MAX($E$1:E9)+1,0)</f>
        <v>0</v>
      </c>
      <c r="F10" s="140">
        <f>IF(ISNUMBER(SEARCH('Карта учёта'!$B$14,Расходка[[#This Row],[Наименование расходного материала]])),MAX($F$1:F9)+1,0)</f>
        <v>0</v>
      </c>
      <c r="G10" s="140">
        <f>IF(ISNUMBER(SEARCH('Карта учёта'!$B$15,Расходка[Наименование расходного материала])),MAX($G$1:G9)+1,0)</f>
        <v>0</v>
      </c>
      <c r="H10" s="140">
        <f>IF(ISNUMBER(SEARCH('Карта учёта'!$B$16,Расходка[Наименование расходного материала])),MAX($H$1:H9)+1,0)</f>
        <v>0</v>
      </c>
      <c r="I10" s="140">
        <f>IF(ISNUMBER(SEARCH('Карта учёта'!$B$17,Расходка[Наименование расходного материала])),MAX($I$1:I9)+1,0)</f>
        <v>0</v>
      </c>
      <c r="J10" s="140">
        <f>IF(ISNUMBER(SEARCH('Карта учёта'!$B$18,Расходка[Наименование расходного материала])),MAX($J$1:J9)+1,0)</f>
        <v>0</v>
      </c>
      <c r="K10" s="140">
        <f>IF(ISNUMBER(SEARCH('Карта учёта'!$B$19,Расходка[Наименование расходного материала])),MAX($K$1:K9)+1,0)</f>
        <v>0</v>
      </c>
      <c r="L10" s="140">
        <f>IF(ISNUMBER(SEARCH('Карта учёта'!$B$20,Расходка[Наименование расходного материала])),MAX($L$1:L9)+1,0)</f>
        <v>9</v>
      </c>
      <c r="M10" s="140">
        <f>IF(ISNUMBER(SEARCH('Карта учёта'!$B$21,Расходка[Наименование расходного материала])),MAX($M$1:M9)+1,0)</f>
        <v>9</v>
      </c>
      <c r="N10" s="142">
        <f>IF(ISNUMBER(SEARCH('Карта учёта'!$B$22,Расходка[Наименование расходного материала])),MAX($N$1:N9)+1,0)</f>
        <v>9</v>
      </c>
      <c r="O10" s="140">
        <f>IF(ISNUMBER(SEARCH('Карта учёта'!$B$23,Расходка[Наименование расходного материала])),MAX($O$1:O9)+1,0)</f>
        <v>9</v>
      </c>
      <c r="P10" s="140">
        <f>IF(ISNUMBER(SEARCH('Карта учёта'!$B$24,Расходка[Наименование расходного материала])),MAX($P$1:P9)+1,0)</f>
        <v>9</v>
      </c>
      <c r="Q10" s="140">
        <f>IF(ISNUMBER(SEARCH('Карта учёта'!$B$25,Расходка[Наименование расходного материала])),MAX($Q$1:Q9)+1,0)</f>
        <v>9</v>
      </c>
      <c r="R10" s="139" t="str">
        <f>IFERROR(INDEX(Расходка[Наименование расходного материала],MATCH(Расходка[№],Поиск_расходки[Индекс1],0)),"")</f>
        <v/>
      </c>
      <c r="S10" s="139" t="str">
        <f>IFERROR(INDEX(Расходка[Наименование расходного материала],MATCH(Расходка[№],Поиск_расходки[Индекс2],0)),"")</f>
        <v/>
      </c>
      <c r="T10" s="139" t="str">
        <f>IFERROR(INDEX(Расходка[Наименование расходного материала],MATCH(Расходка[№],Поиск_расходки[Индекс3],0)),"")</f>
        <v/>
      </c>
      <c r="U10" s="139" t="str">
        <f>IFERROR(INDEX(Расходка[Наименование расходного материала],MATCH(Расходка[№],Поиск_расходки[Индекс4],0)),"")</f>
        <v/>
      </c>
      <c r="V10" s="139" t="str">
        <f>IFERROR(INDEX(Расходка[Наименование расходного материала],MATCH(Расходка[№],Поиск_расходки[Индекс5],0)),"")</f>
        <v/>
      </c>
      <c r="W10" s="139" t="str">
        <f>IFERROR(INDEX(Расходка[Наименование расходного материала],MATCH(Расходка[№],Поиск_расходки[Индекс6],0)),"")</f>
        <v/>
      </c>
      <c r="X10" s="139" t="str">
        <f>IFERROR(INDEX(Расходка[Наименование расходного материала],MATCH(Расходка[№],Поиск_расходки[Индекс7],0)),"")</f>
        <v/>
      </c>
      <c r="Y10" s="139" t="str">
        <f>IFERROR(INDEX(Расходка[Наименование расходного материала],MATCH(Расходка[№],Поиск_расходки[Индекс8],0)),"")</f>
        <v>Rinato</v>
      </c>
      <c r="Z10" s="139" t="str">
        <f>IFERROR(INDEX(Расходка[Наименование расходного материала],MATCH(Расходка[№],Поиск_расходки[Индекс9],0)),"")</f>
        <v>Rinato</v>
      </c>
      <c r="AA10" s="139" t="str">
        <f>IFERROR(INDEX(Расходка[Наименование расходного материала],MATCH(Расходка[№],Поиск_расходки[Индекс10],0)),"")</f>
        <v>Rinato</v>
      </c>
      <c r="AB10" s="139" t="str">
        <f>IFERROR(INDEX(Расходка[Наименование расходного материала],MATCH(Расходка[№],Поиск_расходки[Индекс11],0)),"")</f>
        <v>Rinato</v>
      </c>
      <c r="AC10" s="139" t="str">
        <f>IFERROR(INDEX(Расходка[Наименование расходного материала],MATCH(Расходка[№],Поиск_расходки[Индекс12],0)),"")</f>
        <v>Rinato</v>
      </c>
      <c r="AD10" s="139" t="str">
        <f>IFERROR(INDEX(Расходка[Наименование расходного материала],MATCH(Расходка[№],Поиск_расходки[Индекс13],0)),"")</f>
        <v>Rinato</v>
      </c>
      <c r="AF10" s="4" t="s">
        <v>5</v>
      </c>
      <c r="AG10" s="4" t="s">
        <v>177</v>
      </c>
    </row>
    <row r="11" spans="1:37">
      <c r="A11">
        <v>10</v>
      </c>
      <c r="B11" t="s">
        <v>3</v>
      </c>
      <c r="C11" t="s">
        <v>398</v>
      </c>
      <c r="E11" s="140">
        <f>IF(ISNUMBER(SEARCH('Карта учёта'!$B$13,Расходка[[#This Row],[Наименование расходного материала]])),MAX($E$1:E10)+1,0)</f>
        <v>0</v>
      </c>
      <c r="F11" s="140">
        <f>IF(ISNUMBER(SEARCH('Карта учёта'!$B$14,Расходка[[#This Row],[Наименование расходного материала]])),MAX($F$1:F10)+1,0)</f>
        <v>0</v>
      </c>
      <c r="G11" s="140">
        <f>IF(ISNUMBER(SEARCH('Карта учёта'!$B$15,Расходка[Наименование расходного материала])),MAX($G$1:G10)+1,0)</f>
        <v>0</v>
      </c>
      <c r="H11" s="140">
        <f>IF(ISNUMBER(SEARCH('Карта учёта'!$B$16,Расходка[Наименование расходного материала])),MAX($H$1:H10)+1,0)</f>
        <v>0</v>
      </c>
      <c r="I11" s="140">
        <f>IF(ISNUMBER(SEARCH('Карта учёта'!$B$17,Расходка[Наименование расходного материала])),MAX($I$1:I10)+1,0)</f>
        <v>0</v>
      </c>
      <c r="J11" s="140">
        <f>IF(ISNUMBER(SEARCH('Карта учёта'!$B$18,Расходка[Наименование расходного материала])),MAX($J$1:J10)+1,0)</f>
        <v>0</v>
      </c>
      <c r="K11" s="140">
        <f>IF(ISNUMBER(SEARCH('Карта учёта'!$B$19,Расходка[Наименование расходного материала])),MAX($K$1:K10)+1,0)</f>
        <v>0</v>
      </c>
      <c r="L11" s="140">
        <f>IF(ISNUMBER(SEARCH('Карта учёта'!$B$20,Расходка[Наименование расходного материала])),MAX($L$1:L10)+1,0)</f>
        <v>10</v>
      </c>
      <c r="M11" s="140">
        <f>IF(ISNUMBER(SEARCH('Карта учёта'!$B$21,Расходка[Наименование расходного материала])),MAX($M$1:M10)+1,0)</f>
        <v>10</v>
      </c>
      <c r="N11" s="142">
        <f>IF(ISNUMBER(SEARCH('Карта учёта'!$B$22,Расходка[Наименование расходного материала])),MAX($N$1:N10)+1,0)</f>
        <v>10</v>
      </c>
      <c r="O11" s="140">
        <f>IF(ISNUMBER(SEARCH('Карта учёта'!$B$23,Расходка[Наименование расходного материала])),MAX($O$1:O10)+1,0)</f>
        <v>10</v>
      </c>
      <c r="P11" s="140">
        <f>IF(ISNUMBER(SEARCH('Карта учёта'!$B$24,Расходка[Наименование расходного материала])),MAX($P$1:P10)+1,0)</f>
        <v>10</v>
      </c>
      <c r="Q11" s="140">
        <f>IF(ISNUMBER(SEARCH('Карта учёта'!$B$25,Расходка[Наименование расходного материала])),MAX($Q$1:Q10)+1,0)</f>
        <v>10</v>
      </c>
      <c r="R11" s="139" t="str">
        <f>IFERROR(INDEX(Расходка[Наименование расходного материала],MATCH(Расходка[№],Поиск_расходки[Индекс1],0)),"")</f>
        <v/>
      </c>
      <c r="S11" s="139" t="str">
        <f>IFERROR(INDEX(Расходка[Наименование расходного материала],MATCH(Расходка[№],Поиск_расходки[Индекс2],0)),"")</f>
        <v/>
      </c>
      <c r="T11" s="139" t="str">
        <f>IFERROR(INDEX(Расходка[Наименование расходного материала],MATCH(Расходка[№],Поиск_расходки[Индекс3],0)),"")</f>
        <v/>
      </c>
      <c r="U11" s="139" t="str">
        <f>IFERROR(INDEX(Расходка[Наименование расходного материала],MATCH(Расходка[№],Поиск_расходки[Индекс4],0)),"")</f>
        <v/>
      </c>
      <c r="V11" s="139" t="str">
        <f>IFERROR(INDEX(Расходка[Наименование расходного материала],MATCH(Расходка[№],Поиск_расходки[Индекс5],0)),"")</f>
        <v/>
      </c>
      <c r="W11" s="139" t="str">
        <f>IFERROR(INDEX(Расходка[Наименование расходного материала],MATCH(Расходка[№],Поиск_расходки[Индекс6],0)),"")</f>
        <v/>
      </c>
      <c r="X11" s="139" t="str">
        <f>IFERROR(INDEX(Расходка[Наименование расходного материала],MATCH(Расходка[№],Поиск_расходки[Индекс7],0)),"")</f>
        <v/>
      </c>
      <c r="Y11" s="139" t="str">
        <f>IFERROR(INDEX(Расходка[Наименование расходного материала],MATCH(Расходка[№],Поиск_расходки[Индекс8],0)),"")</f>
        <v>Thunder</v>
      </c>
      <c r="Z11" s="139" t="str">
        <f>IFERROR(INDEX(Расходка[Наименование расходного материала],MATCH(Расходка[№],Поиск_расходки[Индекс9],0)),"")</f>
        <v>Thunder</v>
      </c>
      <c r="AA11" s="139" t="str">
        <f>IFERROR(INDEX(Расходка[Наименование расходного материала],MATCH(Расходка[№],Поиск_расходки[Индекс10],0)),"")</f>
        <v>Thunder</v>
      </c>
      <c r="AB11" s="139" t="str">
        <f>IFERROR(INDEX(Расходка[Наименование расходного материала],MATCH(Расходка[№],Поиск_расходки[Индекс11],0)),"")</f>
        <v>Thunder</v>
      </c>
      <c r="AC11" s="139" t="str">
        <f>IFERROR(INDEX(Расходка[Наименование расходного материала],MATCH(Расходка[№],Поиск_расходки[Индекс12],0)),"")</f>
        <v>Thunder</v>
      </c>
      <c r="AD11" s="139" t="str">
        <f>IFERROR(INDEX(Расходка[Наименование расходного материала],MATCH(Расходка[№],Поиск_расходки[Индекс13],0)),"")</f>
        <v>Thunder</v>
      </c>
      <c r="AF11" s="4" t="s">
        <v>5</v>
      </c>
      <c r="AG11" s="4" t="s">
        <v>109</v>
      </c>
    </row>
    <row r="12" spans="1:37">
      <c r="A12">
        <v>11</v>
      </c>
      <c r="B12" t="s">
        <v>3</v>
      </c>
      <c r="C12" t="s">
        <v>399</v>
      </c>
      <c r="E12" s="140">
        <f>IF(ISNUMBER(SEARCH('Карта учёта'!$B$13,Расходка[[#This Row],[Наименование расходного материала]])),MAX($E$1:E11)+1,0)</f>
        <v>0</v>
      </c>
      <c r="F12" s="140">
        <f>IF(ISNUMBER(SEARCH('Карта учёта'!$B$14,Расходка[[#This Row],[Наименование расходного материала]])),MAX($F$1:F11)+1,0)</f>
        <v>0</v>
      </c>
      <c r="G12" s="140">
        <f>IF(ISNUMBER(SEARCH('Карта учёта'!$B$15,Расходка[Наименование расходного материала])),MAX($G$1:G11)+1,0)</f>
        <v>0</v>
      </c>
      <c r="H12" s="140">
        <f>IF(ISNUMBER(SEARCH('Карта учёта'!$B$16,Расходка[Наименование расходного материала])),MAX($H$1:H11)+1,0)</f>
        <v>0</v>
      </c>
      <c r="I12" s="140">
        <f>IF(ISNUMBER(SEARCH('Карта учёта'!$B$17,Расходка[Наименование расходного материала])),MAX($I$1:I11)+1,0)</f>
        <v>0</v>
      </c>
      <c r="J12" s="140">
        <f>IF(ISNUMBER(SEARCH('Карта учёта'!$B$18,Расходка[Наименование расходного материала])),MAX($J$1:J11)+1,0)</f>
        <v>0</v>
      </c>
      <c r="K12" s="140">
        <f>IF(ISNUMBER(SEARCH('Карта учёта'!$B$19,Расходка[Наименование расходного материала])),MAX($K$1:K11)+1,0)</f>
        <v>0</v>
      </c>
      <c r="L12" s="140">
        <f>IF(ISNUMBER(SEARCH('Карта учёта'!$B$20,Расходка[Наименование расходного материала])),MAX($L$1:L11)+1,0)</f>
        <v>11</v>
      </c>
      <c r="M12" s="140">
        <f>IF(ISNUMBER(SEARCH('Карта учёта'!$B$21,Расходка[Наименование расходного материала])),MAX($M$1:M11)+1,0)</f>
        <v>11</v>
      </c>
      <c r="N12" s="142">
        <f>IF(ISNUMBER(SEARCH('Карта учёта'!$B$22,Расходка[Наименование расходного материала])),MAX($N$1:N11)+1,0)</f>
        <v>11</v>
      </c>
      <c r="O12" s="140">
        <f>IF(ISNUMBER(SEARCH('Карта учёта'!$B$23,Расходка[Наименование расходного материала])),MAX($O$1:O11)+1,0)</f>
        <v>11</v>
      </c>
      <c r="P12" s="140">
        <f>IF(ISNUMBER(SEARCH('Карта учёта'!$B$24,Расходка[Наименование расходного материала])),MAX($P$1:P11)+1,0)</f>
        <v>11</v>
      </c>
      <c r="Q12" s="140">
        <f>IF(ISNUMBER(SEARCH('Карта учёта'!$B$25,Расходка[Наименование расходного материала])),MAX($Q$1:Q11)+1,0)</f>
        <v>11</v>
      </c>
      <c r="R12" s="139" t="str">
        <f>IFERROR(INDEX(Расходка[Наименование расходного материала],MATCH(Расходка[№],Поиск_расходки[Индекс1],0)),"")</f>
        <v/>
      </c>
      <c r="S12" s="139" t="str">
        <f>IFERROR(INDEX(Расходка[Наименование расходного материала],MATCH(Расходка[№],Поиск_расходки[Индекс2],0)),"")</f>
        <v/>
      </c>
      <c r="T12" s="139" t="str">
        <f>IFERROR(INDEX(Расходка[Наименование расходного материала],MATCH(Расходка[№],Поиск_расходки[Индекс3],0)),"")</f>
        <v/>
      </c>
      <c r="U12" s="139" t="str">
        <f>IFERROR(INDEX(Расходка[Наименование расходного материала],MATCH(Расходка[№],Поиск_расходки[Индекс4],0)),"")</f>
        <v/>
      </c>
      <c r="V12" s="139" t="str">
        <f>IFERROR(INDEX(Расходка[Наименование расходного материала],MATCH(Расходка[№],Поиск_расходки[Индекс5],0)),"")</f>
        <v/>
      </c>
      <c r="W12" s="139" t="str">
        <f>IFERROR(INDEX(Расходка[Наименование расходного материала],MATCH(Расходка[№],Поиск_расходки[Индекс6],0)),"")</f>
        <v/>
      </c>
      <c r="X12" s="139" t="str">
        <f>IFERROR(INDEX(Расходка[Наименование расходного материала],MATCH(Расходка[№],Поиск_расходки[Индекс7],0)),"")</f>
        <v/>
      </c>
      <c r="Y12" s="139" t="str">
        <f>IFERROR(INDEX(Расходка[Наименование расходного материала],MATCH(Расходка[№],Поиск_расходки[Индекс8],0)),"")</f>
        <v>ProVia 3 Hydro-Track®</v>
      </c>
      <c r="Z12" s="139" t="str">
        <f>IFERROR(INDEX(Расходка[Наименование расходного материала],MATCH(Расходка[№],Поиск_расходки[Индекс9],0)),"")</f>
        <v>ProVia 3 Hydro-Track®</v>
      </c>
      <c r="AA12" s="139" t="str">
        <f>IFERROR(INDEX(Расходка[Наименование расходного материала],MATCH(Расходка[№],Поиск_расходки[Индекс10],0)),"")</f>
        <v>ProVia 3 Hydro-Track®</v>
      </c>
      <c r="AB12" s="139" t="str">
        <f>IFERROR(INDEX(Расходка[Наименование расходного материала],MATCH(Расходка[№],Поиск_расходки[Индекс11],0)),"")</f>
        <v>ProVia 3 Hydro-Track®</v>
      </c>
      <c r="AC12" s="139" t="str">
        <f>IFERROR(INDEX(Расходка[Наименование расходного материала],MATCH(Расходка[№],Поиск_расходки[Индекс12],0)),"")</f>
        <v>ProVia 3 Hydro-Track®</v>
      </c>
      <c r="AD12" s="139" t="str">
        <f>IFERROR(INDEX(Расходка[Наименование расходного материала],MATCH(Расходка[№],Поиск_расходки[Индекс13],0)),"")</f>
        <v>ProVia 3 Hydro-Track®</v>
      </c>
      <c r="AF12" s="4" t="s">
        <v>5</v>
      </c>
      <c r="AG12" s="4" t="s">
        <v>110</v>
      </c>
    </row>
    <row r="13" spans="1:37">
      <c r="A13">
        <v>12</v>
      </c>
      <c r="B13" t="s">
        <v>3</v>
      </c>
      <c r="C13" t="s">
        <v>400</v>
      </c>
      <c r="D13" s="1"/>
      <c r="E13" s="140">
        <f>IF(ISNUMBER(SEARCH('Карта учёта'!$B$13,Расходка[[#This Row],[Наименование расходного материала]])),MAX($E$1:E12)+1,0)</f>
        <v>0</v>
      </c>
      <c r="F13" s="140">
        <f>IF(ISNUMBER(SEARCH('Карта учёта'!$B$14,Расходка[[#This Row],[Наименование расходного материала]])),MAX($F$1:F12)+1,0)</f>
        <v>0</v>
      </c>
      <c r="G13" s="140">
        <f>IF(ISNUMBER(SEARCH('Карта учёта'!$B$15,Расходка[Наименование расходного материала])),MAX($G$1:G12)+1,0)</f>
        <v>0</v>
      </c>
      <c r="H13" s="140">
        <f>IF(ISNUMBER(SEARCH('Карта учёта'!$B$16,Расходка[Наименование расходного материала])),MAX($H$1:H12)+1,0)</f>
        <v>0</v>
      </c>
      <c r="I13" s="140">
        <f>IF(ISNUMBER(SEARCH('Карта учёта'!$B$17,Расходка[Наименование расходного материала])),MAX($I$1:I12)+1,0)</f>
        <v>0</v>
      </c>
      <c r="J13" s="140">
        <f>IF(ISNUMBER(SEARCH('Карта учёта'!$B$18,Расходка[Наименование расходного материала])),MAX($J$1:J12)+1,0)</f>
        <v>0</v>
      </c>
      <c r="K13" s="140">
        <f>IF(ISNUMBER(SEARCH('Карта учёта'!$B$19,Расходка[Наименование расходного материала])),MAX($K$1:K12)+1,0)</f>
        <v>0</v>
      </c>
      <c r="L13" s="140">
        <f>IF(ISNUMBER(SEARCH('Карта учёта'!$B$20,Расходка[Наименование расходного материала])),MAX($L$1:L12)+1,0)</f>
        <v>12</v>
      </c>
      <c r="M13" s="140">
        <f>IF(ISNUMBER(SEARCH('Карта учёта'!$B$21,Расходка[Наименование расходного материала])),MAX($M$1:M12)+1,0)</f>
        <v>12</v>
      </c>
      <c r="N13" s="142">
        <f>IF(ISNUMBER(SEARCH('Карта учёта'!$B$22,Расходка[Наименование расходного материала])),MAX($N$1:N12)+1,0)</f>
        <v>12</v>
      </c>
      <c r="O13" s="140">
        <f>IF(ISNUMBER(SEARCH('Карта учёта'!$B$23,Расходка[Наименование расходного материала])),MAX($O$1:O12)+1,0)</f>
        <v>12</v>
      </c>
      <c r="P13" s="140">
        <f>IF(ISNUMBER(SEARCH('Карта учёта'!$B$24,Расходка[Наименование расходного материала])),MAX($P$1:P12)+1,0)</f>
        <v>12</v>
      </c>
      <c r="Q13" s="140">
        <f>IF(ISNUMBER(SEARCH('Карта учёта'!$B$25,Расходка[Наименование расходного материала])),MAX($Q$1:Q12)+1,0)</f>
        <v>12</v>
      </c>
      <c r="R13" s="139" t="str">
        <f>IFERROR(INDEX(Расходка[Наименование расходного материала],MATCH(Расходка[№],Поиск_расходки[Индекс1],0)),"")</f>
        <v/>
      </c>
      <c r="S13" s="139" t="str">
        <f>IFERROR(INDEX(Расходка[Наименование расходного материала],MATCH(Расходка[№],Поиск_расходки[Индекс2],0)),"")</f>
        <v/>
      </c>
      <c r="T13" s="139" t="str">
        <f>IFERROR(INDEX(Расходка[Наименование расходного материала],MATCH(Расходка[№],Поиск_расходки[Индекс3],0)),"")</f>
        <v/>
      </c>
      <c r="U13" s="139" t="str">
        <f>IFERROR(INDEX(Расходка[Наименование расходного материала],MATCH(Расходка[№],Поиск_расходки[Индекс4],0)),"")</f>
        <v/>
      </c>
      <c r="V13" s="139" t="str">
        <f>IFERROR(INDEX(Расходка[Наименование расходного материала],MATCH(Расходка[№],Поиск_расходки[Индекс5],0)),"")</f>
        <v/>
      </c>
      <c r="W13" s="139" t="str">
        <f>IFERROR(INDEX(Расходка[Наименование расходного материала],MATCH(Расходка[№],Поиск_расходки[Индекс6],0)),"")</f>
        <v/>
      </c>
      <c r="X13" s="139" t="str">
        <f>IFERROR(INDEX(Расходка[Наименование расходного материала],MATCH(Расходка[№],Поиск_расходки[Индекс7],0)),"")</f>
        <v/>
      </c>
      <c r="Y13" s="139" t="str">
        <f>IFERROR(INDEX(Расходка[Наименование расходного материала],MATCH(Расходка[№],Поиск_расходки[Индекс8],0)),"")</f>
        <v>ProVia 6 Hydro-Track®</v>
      </c>
      <c r="Z13" s="139" t="str">
        <f>IFERROR(INDEX(Расходка[Наименование расходного материала],MATCH(Расходка[№],Поиск_расходки[Индекс9],0)),"")</f>
        <v>ProVia 6 Hydro-Track®</v>
      </c>
      <c r="AA13" s="139" t="str">
        <f>IFERROR(INDEX(Расходка[Наименование расходного материала],MATCH(Расходка[№],Поиск_расходки[Индекс10],0)),"")</f>
        <v>ProVia 6 Hydro-Track®</v>
      </c>
      <c r="AB13" s="139" t="str">
        <f>IFERROR(INDEX(Расходка[Наименование расходного материала],MATCH(Расходка[№],Поиск_расходки[Индекс11],0)),"")</f>
        <v>ProVia 6 Hydro-Track®</v>
      </c>
      <c r="AC13" s="139" t="str">
        <f>IFERROR(INDEX(Расходка[Наименование расходного материала],MATCH(Расходка[№],Поиск_расходки[Индекс12],0)),"")</f>
        <v>ProVia 6 Hydro-Track®</v>
      </c>
      <c r="AD13" s="139" t="str">
        <f>IFERROR(INDEX(Расходка[Наименование расходного материала],MATCH(Расходка[№],Поиск_расходки[Индекс13],0)),"")</f>
        <v>ProVia 6 Hydro-Track®</v>
      </c>
      <c r="AF13" s="4" t="s">
        <v>5</v>
      </c>
      <c r="AG13" s="4" t="s">
        <v>111</v>
      </c>
      <c r="AI13">
        <v>155760</v>
      </c>
      <c r="AJ13" s="161" t="s">
        <v>390</v>
      </c>
    </row>
    <row r="14" spans="1:37">
      <c r="A14">
        <v>13</v>
      </c>
      <c r="B14" t="s">
        <v>3</v>
      </c>
      <c r="C14" t="s">
        <v>401</v>
      </c>
      <c r="E14" s="140">
        <f>IF(ISNUMBER(SEARCH('Карта учёта'!$B$13,Расходка[[#This Row],[Наименование расходного материала]])),MAX($E$1:E13)+1,0)</f>
        <v>0</v>
      </c>
      <c r="F14" s="140">
        <f>IF(ISNUMBER(SEARCH('Карта учёта'!$B$14,Расходка[[#This Row],[Наименование расходного материала]])),MAX($F$1:F13)+1,0)</f>
        <v>0</v>
      </c>
      <c r="G14" s="140">
        <f>IF(ISNUMBER(SEARCH('Карта учёта'!$B$15,Расходка[Наименование расходного материала])),MAX($G$1:G13)+1,0)</f>
        <v>0</v>
      </c>
      <c r="H14" s="140">
        <f>IF(ISNUMBER(SEARCH('Карта учёта'!$B$16,Расходка[Наименование расходного материала])),MAX($H$1:H13)+1,0)</f>
        <v>0</v>
      </c>
      <c r="I14" s="140">
        <f>IF(ISNUMBER(SEARCH('Карта учёта'!$B$17,Расходка[Наименование расходного материала])),MAX($I$1:I13)+1,0)</f>
        <v>0</v>
      </c>
      <c r="J14" s="140">
        <f>IF(ISNUMBER(SEARCH('Карта учёта'!$B$18,Расходка[Наименование расходного материала])),MAX($J$1:J13)+1,0)</f>
        <v>0</v>
      </c>
      <c r="K14" s="140">
        <f>IF(ISNUMBER(SEARCH('Карта учёта'!$B$19,Расходка[Наименование расходного материала])),MAX($K$1:K13)+1,0)</f>
        <v>0</v>
      </c>
      <c r="L14" s="140">
        <f>IF(ISNUMBER(SEARCH('Карта учёта'!$B$20,Расходка[Наименование расходного материала])),MAX($L$1:L13)+1,0)</f>
        <v>13</v>
      </c>
      <c r="M14" s="140">
        <f>IF(ISNUMBER(SEARCH('Карта учёта'!$B$21,Расходка[Наименование расходного материала])),MAX($M$1:M13)+1,0)</f>
        <v>13</v>
      </c>
      <c r="N14" s="142">
        <f>IF(ISNUMBER(SEARCH('Карта учёта'!$B$22,Расходка[Наименование расходного материала])),MAX($N$1:N13)+1,0)</f>
        <v>13</v>
      </c>
      <c r="O14" s="140">
        <f>IF(ISNUMBER(SEARCH('Карта учёта'!$B$23,Расходка[Наименование расходного материала])),MAX($O$1:O13)+1,0)</f>
        <v>13</v>
      </c>
      <c r="P14" s="140">
        <f>IF(ISNUMBER(SEARCH('Карта учёта'!$B$24,Расходка[Наименование расходного материала])),MAX($P$1:P13)+1,0)</f>
        <v>13</v>
      </c>
      <c r="Q14" s="140">
        <f>IF(ISNUMBER(SEARCH('Карта учёта'!$B$25,Расходка[Наименование расходного материала])),MAX($Q$1:Q13)+1,0)</f>
        <v>13</v>
      </c>
      <c r="R14" s="139" t="str">
        <f>IFERROR(INDEX(Расходка[Наименование расходного материала],MATCH(Расходка[№],Поиск_расходки[Индекс1],0)),"")</f>
        <v/>
      </c>
      <c r="S14" s="139" t="str">
        <f>IFERROR(INDEX(Расходка[Наименование расходного материала],MATCH(Расходка[№],Поиск_расходки[Индекс2],0)),"")</f>
        <v/>
      </c>
      <c r="T14" s="139" t="str">
        <f>IFERROR(INDEX(Расходка[Наименование расходного материала],MATCH(Расходка[№],Поиск_расходки[Индекс3],0)),"")</f>
        <v/>
      </c>
      <c r="U14" s="139" t="str">
        <f>IFERROR(INDEX(Расходка[Наименование расходного материала],MATCH(Расходка[№],Поиск_расходки[Индекс4],0)),"")</f>
        <v/>
      </c>
      <c r="V14" s="139" t="str">
        <f>IFERROR(INDEX(Расходка[Наименование расходного материала],MATCH(Расходка[№],Поиск_расходки[Индекс5],0)),"")</f>
        <v/>
      </c>
      <c r="W14" s="139" t="str">
        <f>IFERROR(INDEX(Расходка[Наименование расходного материала],MATCH(Расходка[№],Поиск_расходки[Индекс6],0)),"")</f>
        <v/>
      </c>
      <c r="X14" s="139" t="str">
        <f>IFERROR(INDEX(Расходка[Наименование расходного материала],MATCH(Расходка[№],Поиск_расходки[Индекс7],0)),"")</f>
        <v/>
      </c>
      <c r="Y14" s="139" t="str">
        <f>IFERROR(INDEX(Расходка[Наименование расходного материала],MATCH(Расходка[№],Поиск_расходки[Индекс8],0)),"")</f>
        <v>ProVia 9 Hydro-Track®</v>
      </c>
      <c r="Z14" s="139" t="str">
        <f>IFERROR(INDEX(Расходка[Наименование расходного материала],MATCH(Расходка[№],Поиск_расходки[Индекс9],0)),"")</f>
        <v>ProVia 9 Hydro-Track®</v>
      </c>
      <c r="AA14" s="139" t="str">
        <f>IFERROR(INDEX(Расходка[Наименование расходного материала],MATCH(Расходка[№],Поиск_расходки[Индекс10],0)),"")</f>
        <v>ProVia 9 Hydro-Track®</v>
      </c>
      <c r="AB14" s="139" t="str">
        <f>IFERROR(INDEX(Расходка[Наименование расходного материала],MATCH(Расходка[№],Поиск_расходки[Индекс11],0)),"")</f>
        <v>ProVia 9 Hydro-Track®</v>
      </c>
      <c r="AC14" s="139" t="str">
        <f>IFERROR(INDEX(Расходка[Наименование расходного материала],MATCH(Расходка[№],Поиск_расходки[Индекс12],0)),"")</f>
        <v>ProVia 9 Hydro-Track®</v>
      </c>
      <c r="AD14" s="139" t="str">
        <f>IFERROR(INDEX(Расходка[Наименование расходного материала],MATCH(Расходка[№],Поиск_расходки[Индекс13],0)),"")</f>
        <v>ProVia 9 Hydro-Track®</v>
      </c>
      <c r="AF14" s="4" t="s">
        <v>5</v>
      </c>
      <c r="AG14" s="4" t="s">
        <v>112</v>
      </c>
      <c r="AI14">
        <v>155800</v>
      </c>
      <c r="AJ14" s="162" t="s">
        <v>391</v>
      </c>
    </row>
    <row r="15" spans="1:37">
      <c r="A15">
        <v>14</v>
      </c>
      <c r="B15" t="s">
        <v>3</v>
      </c>
      <c r="C15" t="s">
        <v>441</v>
      </c>
      <c r="E15" s="140">
        <f>IF(ISNUMBER(SEARCH('Карта учёта'!$B$13,Расходка[[#This Row],[Наименование расходного материала]])),MAX($E$1:E14)+1,0)</f>
        <v>0</v>
      </c>
      <c r="F15" s="140">
        <f>IF(ISNUMBER(SEARCH('Карта учёта'!$B$14,Расходка[[#This Row],[Наименование расходного материала]])),MAX($F$1:F14)+1,0)</f>
        <v>0</v>
      </c>
      <c r="G15" s="140">
        <f>IF(ISNUMBER(SEARCH('Карта учёта'!$B$15,Расходка[Наименование расходного материала])),MAX($G$1:G14)+1,0)</f>
        <v>0</v>
      </c>
      <c r="H15" s="140">
        <f>IF(ISNUMBER(SEARCH('Карта учёта'!$B$16,Расходка[Наименование расходного материала])),MAX($H$1:H14)+1,0)</f>
        <v>0</v>
      </c>
      <c r="I15" s="140">
        <f>IF(ISNUMBER(SEARCH('Карта учёта'!$B$17,Расходка[Наименование расходного материала])),MAX($I$1:I14)+1,0)</f>
        <v>0</v>
      </c>
      <c r="J15" s="140">
        <f>IF(ISNUMBER(SEARCH('Карта учёта'!$B$18,Расходка[Наименование расходного материала])),MAX($J$1:J14)+1,0)</f>
        <v>0</v>
      </c>
      <c r="K15" s="140">
        <f>IF(ISNUMBER(SEARCH('Карта учёта'!$B$19,Расходка[Наименование расходного материала])),MAX($K$1:K14)+1,0)</f>
        <v>0</v>
      </c>
      <c r="L15" s="140">
        <f>IF(ISNUMBER(SEARCH('Карта учёта'!$B$20,Расходка[Наименование расходного материала])),MAX($L$1:L14)+1,0)</f>
        <v>14</v>
      </c>
      <c r="M15" s="140">
        <f>IF(ISNUMBER(SEARCH('Карта учёта'!$B$21,Расходка[Наименование расходного материала])),MAX($M$1:M14)+1,0)</f>
        <v>14</v>
      </c>
      <c r="N15" s="142">
        <f>IF(ISNUMBER(SEARCH('Карта учёта'!$B$22,Расходка[Наименование расходного материала])),MAX($N$1:N14)+1,0)</f>
        <v>14</v>
      </c>
      <c r="O15" s="140">
        <f>IF(ISNUMBER(SEARCH('Карта учёта'!$B$23,Расходка[Наименование расходного материала])),MAX($O$1:O14)+1,0)</f>
        <v>14</v>
      </c>
      <c r="P15" s="140">
        <f>IF(ISNUMBER(SEARCH('Карта учёта'!$B$24,Расходка[Наименование расходного материала])),MAX($P$1:P14)+1,0)</f>
        <v>14</v>
      </c>
      <c r="Q15" s="140">
        <f>IF(ISNUMBER(SEARCH('Карта учёта'!$B$25,Расходка[Наименование расходного материала])),MAX($Q$1:Q14)+1,0)</f>
        <v>14</v>
      </c>
      <c r="R15" s="139" t="str">
        <f>IFERROR(INDEX(Расходка[Наименование расходного материала],MATCH(Расходка[№],Поиск_расходки[Индекс1],0)),"")</f>
        <v/>
      </c>
      <c r="S15" s="139" t="str">
        <f>IFERROR(INDEX(Расходка[Наименование расходного материала],MATCH(Расходка[№],Поиск_расходки[Индекс2],0)),"")</f>
        <v/>
      </c>
      <c r="T15" s="139" t="str">
        <f>IFERROR(INDEX(Расходка[Наименование расходного материала],MATCH(Расходка[№],Поиск_расходки[Индекс3],0)),"")</f>
        <v/>
      </c>
      <c r="U15" s="139" t="str">
        <f>IFERROR(INDEX(Расходка[Наименование расходного материала],MATCH(Расходка[№],Поиск_расходки[Индекс4],0)),"")</f>
        <v/>
      </c>
      <c r="V15" s="139" t="str">
        <f>IFERROR(INDEX(Расходка[Наименование расходного материала],MATCH(Расходка[№],Поиск_расходки[Индекс5],0)),"")</f>
        <v/>
      </c>
      <c r="W15" s="139" t="str">
        <f>IFERROR(INDEX(Расходка[Наименование расходного материала],MATCH(Расходка[№],Поиск_расходки[Индекс6],0)),"")</f>
        <v/>
      </c>
      <c r="X15" s="139" t="str">
        <f>IFERROR(INDEX(Расходка[Наименование расходного материала],MATCH(Расходка[№],Поиск_расходки[Индекс7],0)),"")</f>
        <v/>
      </c>
      <c r="Y15" s="139" t="str">
        <f>IFERROR(INDEX(Расходка[Наименование расходного материала],MATCH(Расходка[№],Поиск_расходки[Индекс8],0)),"")</f>
        <v>Проводник коронарный  1g, Angioline</v>
      </c>
      <c r="Z15" s="139" t="str">
        <f>IFERROR(INDEX(Расходка[Наименование расходного материала],MATCH(Расходка[№],Поиск_расходки[Индекс9],0)),"")</f>
        <v>Проводник коронарный  1g, Angioline</v>
      </c>
      <c r="AA15" s="139" t="str">
        <f>IFERROR(INDEX(Расходка[Наименование расходного материала],MATCH(Расходка[№],Поиск_расходки[Индекс10],0)),"")</f>
        <v>Проводник коронарный  1g, Angioline</v>
      </c>
      <c r="AB15" s="139" t="str">
        <f>IFERROR(INDEX(Расходка[Наименование расходного материала],MATCH(Расходка[№],Поиск_расходки[Индекс11],0)),"")</f>
        <v>Проводник коронарный  1g, Angioline</v>
      </c>
      <c r="AC15" s="139" t="str">
        <f>IFERROR(INDEX(Расходка[Наименование расходного материала],MATCH(Расходка[№],Поиск_расходки[Индекс12],0)),"")</f>
        <v>Проводник коронарный  1g, Angioline</v>
      </c>
      <c r="AD15" s="139" t="str">
        <f>IFERROR(INDEX(Расходка[Наименование расходного материала],MATCH(Расходка[№],Поиск_расходки[Индекс13],0)),"")</f>
        <v>Проводник коронарный  1g, Angioline</v>
      </c>
      <c r="AF15" s="4" t="s">
        <v>5</v>
      </c>
      <c r="AG15" s="4" t="s">
        <v>423</v>
      </c>
      <c r="AI15">
        <v>218190</v>
      </c>
      <c r="AJ15" s="162" t="s">
        <v>392</v>
      </c>
    </row>
    <row r="16" spans="1:37">
      <c r="A16">
        <v>15</v>
      </c>
      <c r="B16" t="s">
        <v>3</v>
      </c>
      <c r="C16" t="s">
        <v>124</v>
      </c>
      <c r="E16" s="140">
        <f>IF(ISNUMBER(SEARCH('Карта учёта'!$B$13,Расходка[[#This Row],[Наименование расходного материала]])),MAX($E$1:E15)+1,0)</f>
        <v>0</v>
      </c>
      <c r="F16" s="140">
        <f>IF(ISNUMBER(SEARCH('Карта учёта'!$B$14,Расходка[[#This Row],[Наименование расходного материала]])),MAX($F$1:F15)+1,0)</f>
        <v>0</v>
      </c>
      <c r="G16" s="140">
        <f>IF(ISNUMBER(SEARCH('Карта учёта'!$B$15,Расходка[Наименование расходного материала])),MAX($G$1:G15)+1,0)</f>
        <v>0</v>
      </c>
      <c r="H16" s="140">
        <f>IF(ISNUMBER(SEARCH('Карта учёта'!$B$16,Расходка[Наименование расходного материала])),MAX($H$1:H15)+1,0)</f>
        <v>0</v>
      </c>
      <c r="I16" s="140">
        <f>IF(ISNUMBER(SEARCH('Карта учёта'!$B$17,Расходка[Наименование расходного материала])),MAX($I$1:I15)+1,0)</f>
        <v>0</v>
      </c>
      <c r="J16" s="140">
        <f>IF(ISNUMBER(SEARCH('Карта учёта'!$B$18,Расходка[Наименование расходного материала])),MAX($J$1:J15)+1,0)</f>
        <v>0</v>
      </c>
      <c r="K16" s="140">
        <f>IF(ISNUMBER(SEARCH('Карта учёта'!$B$19,Расходка[Наименование расходного материала])),MAX($K$1:K15)+1,0)</f>
        <v>0</v>
      </c>
      <c r="L16" s="140">
        <f>IF(ISNUMBER(SEARCH('Карта учёта'!$B$20,Расходка[Наименование расходного материала])),MAX($L$1:L15)+1,0)</f>
        <v>15</v>
      </c>
      <c r="M16" s="140">
        <f>IF(ISNUMBER(SEARCH('Карта учёта'!$B$21,Расходка[Наименование расходного материала])),MAX($M$1:M15)+1,0)</f>
        <v>15</v>
      </c>
      <c r="N16" s="142">
        <f>IF(ISNUMBER(SEARCH('Карта учёта'!$B$22,Расходка[Наименование расходного материала])),MAX($N$1:N15)+1,0)</f>
        <v>15</v>
      </c>
      <c r="O16" s="140">
        <f>IF(ISNUMBER(SEARCH('Карта учёта'!$B$23,Расходка[Наименование расходного материала])),MAX($O$1:O15)+1,0)</f>
        <v>15</v>
      </c>
      <c r="P16" s="140">
        <f>IF(ISNUMBER(SEARCH('Карта учёта'!$B$24,Расходка[Наименование расходного материала])),MAX($P$1:P15)+1,0)</f>
        <v>15</v>
      </c>
      <c r="Q16" s="140">
        <f>IF(ISNUMBER(SEARCH('Карта учёта'!$B$25,Расходка[Наименование расходного материала])),MAX($Q$1:Q15)+1,0)</f>
        <v>15</v>
      </c>
      <c r="R16" s="139" t="str">
        <f>IFERROR(INDEX(Расходка[Наименование расходного материала],MATCH(Расходка[№],Поиск_расходки[Индекс1],0)),"")</f>
        <v/>
      </c>
      <c r="S16" s="139" t="str">
        <f>IFERROR(INDEX(Расходка[Наименование расходного материала],MATCH(Расходка[№],Поиск_расходки[Индекс2],0)),"")</f>
        <v/>
      </c>
      <c r="T16" s="139" t="str">
        <f>IFERROR(INDEX(Расходка[Наименование расходного материала],MATCH(Расходка[№],Поиск_расходки[Индекс3],0)),"")</f>
        <v/>
      </c>
      <c r="U16" s="139" t="str">
        <f>IFERROR(INDEX(Расходка[Наименование расходного материала],MATCH(Расходка[№],Поиск_расходки[Индекс4],0)),"")</f>
        <v/>
      </c>
      <c r="V16" s="139" t="str">
        <f>IFERROR(INDEX(Расходка[Наименование расходного материала],MATCH(Расходка[№],Поиск_расходки[Индекс5],0)),"")</f>
        <v/>
      </c>
      <c r="W16" s="139" t="str">
        <f>IFERROR(INDEX(Расходка[Наименование расходного материала],MATCH(Расходка[№],Поиск_расходки[Индекс6],0)),"")</f>
        <v/>
      </c>
      <c r="X16" s="139" t="str">
        <f>IFERROR(INDEX(Расходка[Наименование расходного материала],MATCH(Расходка[№],Поиск_расходки[Индекс7],0)),"")</f>
        <v/>
      </c>
      <c r="Y16" s="139" t="str">
        <f>IFERROR(INDEX(Расходка[Наименование расходного материала],MATCH(Расходка[№],Поиск_расходки[Индекс8],0)),"")</f>
        <v>Проводник коронарный  3g, Angioline</v>
      </c>
      <c r="Z16" s="139" t="str">
        <f>IFERROR(INDEX(Расходка[Наименование расходного материала],MATCH(Расходка[№],Поиск_расходки[Индекс9],0)),"")</f>
        <v>Проводник коронарный  3g, Angioline</v>
      </c>
      <c r="AA16" s="139" t="str">
        <f>IFERROR(INDEX(Расходка[Наименование расходного материала],MATCH(Расходка[№],Поиск_расходки[Индекс10],0)),"")</f>
        <v>Проводник коронарный  3g, Angioline</v>
      </c>
      <c r="AB16" s="139" t="str">
        <f>IFERROR(INDEX(Расходка[Наименование расходного материала],MATCH(Расходка[№],Поиск_расходки[Индекс11],0)),"")</f>
        <v>Проводник коронарный  3g, Angioline</v>
      </c>
      <c r="AC16" s="139" t="str">
        <f>IFERROR(INDEX(Расходка[Наименование расходного материала],MATCH(Расходка[№],Поиск_расходки[Индекс12],0)),"")</f>
        <v>Проводник коронарный  3g, Angioline</v>
      </c>
      <c r="AD16" s="139" t="str">
        <f>IFERROR(INDEX(Расходка[Наименование расходного материала],MATCH(Расходка[№],Поиск_расходки[Индекс13],0)),"")</f>
        <v>Проводник коронарный  3g, Angioline</v>
      </c>
      <c r="AF16" s="4" t="s">
        <v>5</v>
      </c>
      <c r="AG16" s="4" t="s">
        <v>420</v>
      </c>
    </row>
    <row r="17" spans="1:33">
      <c r="A17">
        <v>16</v>
      </c>
      <c r="B17" t="s">
        <v>3</v>
      </c>
      <c r="C17" t="s">
        <v>402</v>
      </c>
      <c r="E17" s="140">
        <f>IF(ISNUMBER(SEARCH('Карта учёта'!$B$13,Расходка[[#This Row],[Наименование расходного материала]])),MAX($E$1:E16)+1,0)</f>
        <v>0</v>
      </c>
      <c r="F17" s="140">
        <f>IF(ISNUMBER(SEARCH('Карта учёта'!$B$14,Расходка[[#This Row],[Наименование расходного материала]])),MAX($F$1:F16)+1,0)</f>
        <v>0</v>
      </c>
      <c r="G17" s="140">
        <f>IF(ISNUMBER(SEARCH('Карта учёта'!$B$15,Расходка[Наименование расходного материала])),MAX($G$1:G16)+1,0)</f>
        <v>0</v>
      </c>
      <c r="H17" s="140">
        <f>IF(ISNUMBER(SEARCH('Карта учёта'!$B$16,Расходка[Наименование расходного материала])),MAX($H$1:H16)+1,0)</f>
        <v>0</v>
      </c>
      <c r="I17" s="140">
        <f>IF(ISNUMBER(SEARCH('Карта учёта'!$B$17,Расходка[Наименование расходного материала])),MAX($I$1:I16)+1,0)</f>
        <v>0</v>
      </c>
      <c r="J17" s="140">
        <f>IF(ISNUMBER(SEARCH('Карта учёта'!$B$18,Расходка[Наименование расходного материала])),MAX($J$1:J16)+1,0)</f>
        <v>0</v>
      </c>
      <c r="K17" s="140">
        <f>IF(ISNUMBER(SEARCH('Карта учёта'!$B$19,Расходка[Наименование расходного материала])),MAX($K$1:K16)+1,0)</f>
        <v>0</v>
      </c>
      <c r="L17" s="140">
        <f>IF(ISNUMBER(SEARCH('Карта учёта'!$B$20,Расходка[Наименование расходного материала])),MAX($L$1:L16)+1,0)</f>
        <v>16</v>
      </c>
      <c r="M17" s="140">
        <f>IF(ISNUMBER(SEARCH('Карта учёта'!$B$21,Расходка[Наименование расходного материала])),MAX($M$1:M16)+1,0)</f>
        <v>16</v>
      </c>
      <c r="N17" s="142">
        <f>IF(ISNUMBER(SEARCH('Карта учёта'!$B$22,Расходка[Наименование расходного материала])),MAX($N$1:N16)+1,0)</f>
        <v>16</v>
      </c>
      <c r="O17" s="140">
        <f>IF(ISNUMBER(SEARCH('Карта учёта'!$B$23,Расходка[Наименование расходного материала])),MAX($O$1:O16)+1,0)</f>
        <v>16</v>
      </c>
      <c r="P17" s="140">
        <f>IF(ISNUMBER(SEARCH('Карта учёта'!$B$24,Расходка[Наименование расходного материала])),MAX($P$1:P16)+1,0)</f>
        <v>16</v>
      </c>
      <c r="Q17" s="140">
        <f>IF(ISNUMBER(SEARCH('Карта учёта'!$B$25,Расходка[Наименование расходного материала])),MAX($Q$1:Q16)+1,0)</f>
        <v>16</v>
      </c>
      <c r="R17" s="139" t="str">
        <f>IFERROR(INDEX(Расходка[Наименование расходного материала],MATCH(Расходка[№],Поиск_расходки[Индекс1],0)),"")</f>
        <v/>
      </c>
      <c r="S17" s="139" t="str">
        <f>IFERROR(INDEX(Расходка[Наименование расходного материала],MATCH(Расходка[№],Поиск_расходки[Индекс2],0)),"")</f>
        <v/>
      </c>
      <c r="T17" s="139" t="str">
        <f>IFERROR(INDEX(Расходка[Наименование расходного материала],MATCH(Расходка[№],Поиск_расходки[Индекс3],0)),"")</f>
        <v/>
      </c>
      <c r="U17" s="139" t="str">
        <f>IFERROR(INDEX(Расходка[Наименование расходного материала],MATCH(Расходка[№],Поиск_расходки[Индекс4],0)),"")</f>
        <v/>
      </c>
      <c r="V17" s="139" t="str">
        <f>IFERROR(INDEX(Расходка[Наименование расходного материала],MATCH(Расходка[№],Поиск_расходки[Индекс5],0)),"")</f>
        <v/>
      </c>
      <c r="W17" s="139" t="str">
        <f>IFERROR(INDEX(Расходка[Наименование расходного материала],MATCH(Расходка[№],Поиск_расходки[Индекс6],0)),"")</f>
        <v/>
      </c>
      <c r="X17" s="139" t="str">
        <f>IFERROR(INDEX(Расходка[Наименование расходного материала],MATCH(Расходка[№],Поиск_расходки[Индекс7],0)),"")</f>
        <v/>
      </c>
      <c r="Y17" s="139" t="str">
        <f>IFERROR(INDEX(Расходка[Наименование расходного материала],MATCH(Расходка[№],Поиск_расходки[Индекс8],0)),"")</f>
        <v>Cougar LS Hydro-Track®</v>
      </c>
      <c r="Z17" s="139" t="str">
        <f>IFERROR(INDEX(Расходка[Наименование расходного материала],MATCH(Расходка[№],Поиск_расходки[Индекс9],0)),"")</f>
        <v>Cougar LS Hydro-Track®</v>
      </c>
      <c r="AA17" s="139" t="str">
        <f>IFERROR(INDEX(Расходка[Наименование расходного материала],MATCH(Расходка[№],Поиск_расходки[Индекс10],0)),"")</f>
        <v>Cougar LS Hydro-Track®</v>
      </c>
      <c r="AB17" s="139" t="str">
        <f>IFERROR(INDEX(Расходка[Наименование расходного материала],MATCH(Расходка[№],Поиск_расходки[Индекс11],0)),"")</f>
        <v>Cougar LS Hydro-Track®</v>
      </c>
      <c r="AC17" s="139" t="str">
        <f>IFERROR(INDEX(Расходка[Наименование расходного материала],MATCH(Расходка[№],Поиск_расходки[Индекс12],0)),"")</f>
        <v>Cougar LS Hydro-Track®</v>
      </c>
      <c r="AD17" s="139" t="str">
        <f>IFERROR(INDEX(Расходка[Наименование расходного материала],MATCH(Расходка[№],Поиск_расходки[Индекс13],0)),"")</f>
        <v>Cougar LS Hydro-Track®</v>
      </c>
      <c r="AF17" s="4" t="s">
        <v>5</v>
      </c>
      <c r="AG17" s="4" t="s">
        <v>114</v>
      </c>
    </row>
    <row r="18" spans="1:33">
      <c r="A18">
        <v>17</v>
      </c>
      <c r="B18" t="s">
        <v>3</v>
      </c>
      <c r="C18" t="s">
        <v>430</v>
      </c>
      <c r="D18" s="1"/>
      <c r="E18" s="140">
        <f>IF(ISNUMBER(SEARCH('Карта учёта'!$B$13,Расходка[[#This Row],[Наименование расходного материала]])),MAX($E$1:E17)+1,0)</f>
        <v>0</v>
      </c>
      <c r="F18" s="140">
        <f>IF(ISNUMBER(SEARCH('Карта учёта'!$B$14,Расходка[[#This Row],[Наименование расходного материала]])),MAX($F$1:F17)+1,0)</f>
        <v>0</v>
      </c>
      <c r="G18" s="140">
        <f>IF(ISNUMBER(SEARCH('Карта учёта'!$B$15,Расходка[Наименование расходного материала])),MAX($G$1:G17)+1,0)</f>
        <v>0</v>
      </c>
      <c r="H18" s="140">
        <f>IF(ISNUMBER(SEARCH('Карта учёта'!$B$16,Расходка[Наименование расходного материала])),MAX($H$1:H17)+1,0)</f>
        <v>0</v>
      </c>
      <c r="I18" s="140">
        <f>IF(ISNUMBER(SEARCH('Карта учёта'!$B$17,Расходка[Наименование расходного материала])),MAX($I$1:I17)+1,0)</f>
        <v>0</v>
      </c>
      <c r="J18" s="140">
        <f>IF(ISNUMBER(SEARCH('Карта учёта'!$B$18,Расходка[Наименование расходного материала])),MAX($J$1:J17)+1,0)</f>
        <v>0</v>
      </c>
      <c r="K18" s="140">
        <f>IF(ISNUMBER(SEARCH('Карта учёта'!$B$19,Расходка[Наименование расходного материала])),MAX($K$1:K17)+1,0)</f>
        <v>0</v>
      </c>
      <c r="L18" s="140">
        <f>IF(ISNUMBER(SEARCH('Карта учёта'!$B$20,Расходка[Наименование расходного материала])),MAX($L$1:L17)+1,0)</f>
        <v>17</v>
      </c>
      <c r="M18" s="140">
        <f>IF(ISNUMBER(SEARCH('Карта учёта'!$B$21,Расходка[Наименование расходного материала])),MAX($M$1:M17)+1,0)</f>
        <v>17</v>
      </c>
      <c r="N18" s="142">
        <f>IF(ISNUMBER(SEARCH('Карта учёта'!$B$22,Расходка[Наименование расходного материала])),MAX($N$1:N17)+1,0)</f>
        <v>17</v>
      </c>
      <c r="O18" s="140">
        <f>IF(ISNUMBER(SEARCH('Карта учёта'!$B$23,Расходка[Наименование расходного материала])),MAX($O$1:O17)+1,0)</f>
        <v>17</v>
      </c>
      <c r="P18" s="140">
        <f>IF(ISNUMBER(SEARCH('Карта учёта'!$B$24,Расходка[Наименование расходного материала])),MAX($P$1:P17)+1,0)</f>
        <v>17</v>
      </c>
      <c r="Q18" s="140">
        <f>IF(ISNUMBER(SEARCH('Карта учёта'!$B$25,Расходка[Наименование расходного материала])),MAX($Q$1:Q17)+1,0)</f>
        <v>17</v>
      </c>
      <c r="R18" s="139" t="str">
        <f>IFERROR(INDEX(Расходка[Наименование расходного материала],MATCH(Расходка[№],Поиск_расходки[Индекс1],0)),"")</f>
        <v/>
      </c>
      <c r="S18" s="139" t="str">
        <f>IFERROR(INDEX(Расходка[Наименование расходного материала],MATCH(Расходка[№],Поиск_расходки[Индекс2],0)),"")</f>
        <v/>
      </c>
      <c r="T18" s="139" t="str">
        <f>IFERROR(INDEX(Расходка[Наименование расходного материала],MATCH(Расходка[№],Поиск_расходки[Индекс3],0)),"")</f>
        <v/>
      </c>
      <c r="U18" s="139" t="str">
        <f>IFERROR(INDEX(Расходка[Наименование расходного материала],MATCH(Расходка[№],Поиск_расходки[Индекс4],0)),"")</f>
        <v/>
      </c>
      <c r="V18" s="139" t="str">
        <f>IFERROR(INDEX(Расходка[Наименование расходного материала],MATCH(Расходка[№],Поиск_расходки[Индекс5],0)),"")</f>
        <v/>
      </c>
      <c r="W18" s="139" t="str">
        <f>IFERROR(INDEX(Расходка[Наименование расходного материала],MATCH(Расходка[№],Поиск_расходки[Индекс6],0)),"")</f>
        <v/>
      </c>
      <c r="X18" s="139" t="str">
        <f>IFERROR(INDEX(Расходка[Наименование расходного материала],MATCH(Расходка[№],Поиск_расходки[Индекс7],0)),"")</f>
        <v/>
      </c>
      <c r="Y18" s="139" t="str">
        <f>IFERROR(INDEX(Расходка[Наименование расходного материала],MATCH(Расходка[№],Поиск_расходки[Индекс8],0)),"")</f>
        <v>Cougar XT Hydro-Track®</v>
      </c>
      <c r="Z18" s="139" t="str">
        <f>IFERROR(INDEX(Расходка[Наименование расходного материала],MATCH(Расходка[№],Поиск_расходки[Индекс9],0)),"")</f>
        <v>Cougar XT Hydro-Track®</v>
      </c>
      <c r="AA18" s="139" t="str">
        <f>IFERROR(INDEX(Расходка[Наименование расходного материала],MATCH(Расходка[№],Поиск_расходки[Индекс10],0)),"")</f>
        <v>Cougar XT Hydro-Track®</v>
      </c>
      <c r="AB18" s="139" t="str">
        <f>IFERROR(INDEX(Расходка[Наименование расходного материала],MATCH(Расходка[№],Поиск_расходки[Индекс11],0)),"")</f>
        <v>Cougar XT Hydro-Track®</v>
      </c>
      <c r="AC18" s="139" t="str">
        <f>IFERROR(INDEX(Расходка[Наименование расходного материала],MATCH(Расходка[№],Поиск_расходки[Индекс12],0)),"")</f>
        <v>Cougar XT Hydro-Track®</v>
      </c>
      <c r="AD18" s="139" t="str">
        <f>IFERROR(INDEX(Расходка[Наименование расходного материала],MATCH(Расходка[№],Поиск_расходки[Индекс13],0)),"")</f>
        <v>Cougar XT Hydro-Track®</v>
      </c>
      <c r="AF18" s="4" t="s">
        <v>5</v>
      </c>
      <c r="AG18" s="4" t="s">
        <v>115</v>
      </c>
    </row>
    <row r="19" spans="1:33">
      <c r="A19">
        <v>18</v>
      </c>
      <c r="B19" t="s">
        <v>3</v>
      </c>
      <c r="C19" s="1" t="s">
        <v>403</v>
      </c>
      <c r="E19" s="140">
        <f>IF(ISNUMBER(SEARCH('Карта учёта'!$B$13,Расходка[[#This Row],[Наименование расходного материала]])),MAX($E$1:E18)+1,0)</f>
        <v>0</v>
      </c>
      <c r="F19" s="140">
        <f>IF(ISNUMBER(SEARCH('Карта учёта'!$B$14,Расходка[[#This Row],[Наименование расходного материала]])),MAX($F$1:F18)+1,0)</f>
        <v>1</v>
      </c>
      <c r="G19" s="140">
        <f>IF(ISNUMBER(SEARCH('Карта учёта'!$B$15,Расходка[Наименование расходного материала])),MAX($G$1:G18)+1,0)</f>
        <v>0</v>
      </c>
      <c r="H19" s="140">
        <f>IF(ISNUMBER(SEARCH('Карта учёта'!$B$16,Расходка[Наименование расходного материала])),MAX($H$1:H18)+1,0)</f>
        <v>0</v>
      </c>
      <c r="I19" s="140">
        <f>IF(ISNUMBER(SEARCH('Карта учёта'!$B$17,Расходка[Наименование расходного материала])),MAX($I$1:I18)+1,0)</f>
        <v>0</v>
      </c>
      <c r="J19" s="140">
        <f>IF(ISNUMBER(SEARCH('Карта учёта'!$B$18,Расходка[Наименование расходного материала])),MAX($J$1:J18)+1,0)</f>
        <v>0</v>
      </c>
      <c r="K19" s="140">
        <f>IF(ISNUMBER(SEARCH('Карта учёта'!$B$19,Расходка[Наименование расходного материала])),MAX($K$1:K18)+1,0)</f>
        <v>0</v>
      </c>
      <c r="L19" s="140">
        <f>IF(ISNUMBER(SEARCH('Карта учёта'!$B$20,Расходка[Наименование расходного материала])),MAX($L$1:L18)+1,0)</f>
        <v>18</v>
      </c>
      <c r="M19" s="140">
        <f>IF(ISNUMBER(SEARCH('Карта учёта'!$B$21,Расходка[Наименование расходного материала])),MAX($M$1:M18)+1,0)</f>
        <v>18</v>
      </c>
      <c r="N19" s="142">
        <f>IF(ISNUMBER(SEARCH('Карта учёта'!$B$22,Расходка[Наименование расходного материала])),MAX($N$1:N18)+1,0)</f>
        <v>18</v>
      </c>
      <c r="O19" s="140">
        <f>IF(ISNUMBER(SEARCH('Карта учёта'!$B$23,Расходка[Наименование расходного материала])),MAX($O$1:O18)+1,0)</f>
        <v>18</v>
      </c>
      <c r="P19" s="140">
        <f>IF(ISNUMBER(SEARCH('Карта учёта'!$B$24,Расходка[Наименование расходного материала])),MAX($P$1:P18)+1,0)</f>
        <v>18</v>
      </c>
      <c r="Q19" s="140">
        <f>IF(ISNUMBER(SEARCH('Карта учёта'!$B$25,Расходка[Наименование расходного материала])),MAX($Q$1:Q18)+1,0)</f>
        <v>18</v>
      </c>
      <c r="R19" s="139" t="str">
        <f>IFERROR(INDEX(Расходка[Наименование расходного материала],MATCH(Расходка[№],Поиск_расходки[Индекс1],0)),"")</f>
        <v/>
      </c>
      <c r="S19" s="139" t="str">
        <f>IFERROR(INDEX(Расходка[Наименование расходного материала],MATCH(Расходка[№],Поиск_расходки[Индекс2],0)),"")</f>
        <v/>
      </c>
      <c r="T19" s="139" t="str">
        <f>IFERROR(INDEX(Расходка[Наименование расходного материала],MATCH(Расходка[№],Поиск_расходки[Индекс3],0)),"")</f>
        <v/>
      </c>
      <c r="U19" s="139" t="str">
        <f>IFERROR(INDEX(Расходка[Наименование расходного материала],MATCH(Расходка[№],Поиск_расходки[Индекс4],0)),"")</f>
        <v/>
      </c>
      <c r="V19" s="139" t="str">
        <f>IFERROR(INDEX(Расходка[Наименование расходного материала],MATCH(Расходка[№],Поиск_расходки[Индекс5],0)),"")</f>
        <v/>
      </c>
      <c r="W19" s="139" t="str">
        <f>IFERROR(INDEX(Расходка[Наименование расходного материала],MATCH(Расходка[№],Поиск_расходки[Индекс6],0)),"")</f>
        <v/>
      </c>
      <c r="X19" s="139" t="str">
        <f>IFERROR(INDEX(Расходка[Наименование расходного материала],MATCH(Расходка[№],Поиск_расходки[Индекс7],0)),"")</f>
        <v/>
      </c>
      <c r="Y19" s="139" t="str">
        <f>IFERROR(INDEX(Расходка[Наименование расходного материала],MATCH(Расходка[№],Поиск_расходки[Индекс8],0)),"")</f>
        <v>Intuition</v>
      </c>
      <c r="Z19" s="139" t="str">
        <f>IFERROR(INDEX(Расходка[Наименование расходного материала],MATCH(Расходка[№],Поиск_расходки[Индекс9],0)),"")</f>
        <v>Intuition</v>
      </c>
      <c r="AA19" s="139" t="str">
        <f>IFERROR(INDEX(Расходка[Наименование расходного материала],MATCH(Расходка[№],Поиск_расходки[Индекс10],0)),"")</f>
        <v>Intuition</v>
      </c>
      <c r="AB19" s="139" t="str">
        <f>IFERROR(INDEX(Расходка[Наименование расходного материала],MATCH(Расходка[№],Поиск_расходки[Индекс11],0)),"")</f>
        <v>Intuition</v>
      </c>
      <c r="AC19" s="139" t="str">
        <f>IFERROR(INDEX(Расходка[Наименование расходного материала],MATCH(Расходка[№],Поиск_расходки[Индекс12],0)),"")</f>
        <v>Intuition</v>
      </c>
      <c r="AD19" s="139" t="str">
        <f>IFERROR(INDEX(Расходка[Наименование расходного материала],MATCH(Расходка[№],Поиск_расходки[Индекс13],0)),"")</f>
        <v>Intuition</v>
      </c>
      <c r="AF19" s="4" t="s">
        <v>5</v>
      </c>
      <c r="AG19" s="4" t="s">
        <v>116</v>
      </c>
    </row>
    <row r="20" spans="1:33">
      <c r="A20">
        <v>19</v>
      </c>
      <c r="B20" t="s">
        <v>6</v>
      </c>
      <c r="C20" s="163" t="s">
        <v>404</v>
      </c>
      <c r="E20" s="140">
        <f>IF(ISNUMBER(SEARCH('Карта учёта'!$B$13,Расходка[[#This Row],[Наименование расходного материала]])),MAX($E$1:E19)+1,0)</f>
        <v>0</v>
      </c>
      <c r="F20" s="140">
        <f>IF(ISNUMBER(SEARCH('Карта учёта'!$B$14,Расходка[[#This Row],[Наименование расходного материала]])),MAX($F$1:F19)+1,0)</f>
        <v>0</v>
      </c>
      <c r="G20" s="140">
        <f>IF(ISNUMBER(SEARCH('Карта учёта'!$B$15,Расходка[Наименование расходного материала])),MAX($G$1:G19)+1,0)</f>
        <v>0</v>
      </c>
      <c r="H20" s="140">
        <f>IF(ISNUMBER(SEARCH('Карта учёта'!$B$16,Расходка[Наименование расходного материала])),MAX($H$1:H19)+1,0)</f>
        <v>0</v>
      </c>
      <c r="I20" s="140">
        <f>IF(ISNUMBER(SEARCH('Карта учёта'!$B$17,Расходка[Наименование расходного материала])),MAX($I$1:I19)+1,0)</f>
        <v>0</v>
      </c>
      <c r="J20" s="140">
        <f>IF(ISNUMBER(SEARCH('Карта учёта'!$B$18,Расходка[Наименование расходного материала])),MAX($J$1:J19)+1,0)</f>
        <v>1</v>
      </c>
      <c r="K20" s="140">
        <f>IF(ISNUMBER(SEARCH('Карта учёта'!$B$19,Расходка[Наименование расходного материала])),MAX($K$1:K19)+1,0)</f>
        <v>0</v>
      </c>
      <c r="L20" s="140">
        <f>IF(ISNUMBER(SEARCH('Карта учёта'!$B$20,Расходка[Наименование расходного материала])),MAX($L$1:L19)+1,0)</f>
        <v>19</v>
      </c>
      <c r="M20" s="140">
        <f>IF(ISNUMBER(SEARCH('Карта учёта'!$B$21,Расходка[Наименование расходного материала])),MAX($M$1:M19)+1,0)</f>
        <v>19</v>
      </c>
      <c r="N20" s="142">
        <f>IF(ISNUMBER(SEARCH('Карта учёта'!$B$22,Расходка[Наименование расходного материала])),MAX($N$1:N19)+1,0)</f>
        <v>19</v>
      </c>
      <c r="O20" s="140">
        <f>IF(ISNUMBER(SEARCH('Карта учёта'!$B$23,Расходка[Наименование расходного материала])),MAX($O$1:O19)+1,0)</f>
        <v>19</v>
      </c>
      <c r="P20" s="140">
        <f>IF(ISNUMBER(SEARCH('Карта учёта'!$B$24,Расходка[Наименование расходного материала])),MAX($P$1:P19)+1,0)</f>
        <v>19</v>
      </c>
      <c r="Q20" s="140">
        <f>IF(ISNUMBER(SEARCH('Карта учёта'!$B$25,Расходка[Наименование расходного материала])),MAX($Q$1:Q19)+1,0)</f>
        <v>19</v>
      </c>
      <c r="R20" s="139" t="str">
        <f>IFERROR(INDEX(Расходка[Наименование расходного материала],MATCH(Расходка[№],Поиск_расходки[Индекс1],0)),"")</f>
        <v/>
      </c>
      <c r="S20" s="139" t="str">
        <f>IFERROR(INDEX(Расходка[Наименование расходного материала],MATCH(Расходка[№],Поиск_расходки[Индекс2],0)),"")</f>
        <v/>
      </c>
      <c r="T20" s="139" t="str">
        <f>IFERROR(INDEX(Расходка[Наименование расходного материала],MATCH(Расходка[№],Поиск_расходки[Индекс3],0)),"")</f>
        <v/>
      </c>
      <c r="U20" s="139" t="str">
        <f>IFERROR(INDEX(Расходка[Наименование расходного материала],MATCH(Расходка[№],Поиск_расходки[Индекс4],0)),"")</f>
        <v/>
      </c>
      <c r="V20" s="139" t="str">
        <f>IFERROR(INDEX(Расходка[Наименование расходного материала],MATCH(Расходка[№],Поиск_расходки[Индекс5],0)),"")</f>
        <v/>
      </c>
      <c r="W20" s="139" t="str">
        <f>IFERROR(INDEX(Расходка[Наименование расходного материала],MATCH(Расходка[№],Поиск_расходки[Индекс6],0)),"")</f>
        <v/>
      </c>
      <c r="X20" s="139" t="str">
        <f>IFERROR(INDEX(Расходка[Наименование расходного материала],MATCH(Расходка[№],Поиск_расходки[Индекс7],0)),"")</f>
        <v/>
      </c>
      <c r="Y20" s="139" t="str">
        <f>IFERROR(INDEX(Расходка[Наименование расходного материала],MATCH(Расходка[№],Поиск_расходки[Индекс8],0)),"")</f>
        <v>DES, Resolute Integtity</v>
      </c>
      <c r="Z20" s="139" t="str">
        <f>IFERROR(INDEX(Расходка[Наименование расходного материала],MATCH(Расходка[№],Поиск_расходки[Индекс9],0)),"")</f>
        <v>DES, Resolute Integtity</v>
      </c>
      <c r="AA20" s="139" t="str">
        <f>IFERROR(INDEX(Расходка[Наименование расходного материала],MATCH(Расходка[№],Поиск_расходки[Индекс10],0)),"")</f>
        <v>DES, Resolute Integtity</v>
      </c>
      <c r="AB20" s="139" t="str">
        <f>IFERROR(INDEX(Расходка[Наименование расходного материала],MATCH(Расходка[№],Поиск_расходки[Индекс11],0)),"")</f>
        <v>DES, Resolute Integtity</v>
      </c>
      <c r="AC20" s="139" t="str">
        <f>IFERROR(INDEX(Расходка[Наименование расходного материала],MATCH(Расходка[№],Поиск_расходки[Индекс12],0)),"")</f>
        <v>DES, Resolute Integtity</v>
      </c>
      <c r="AD20" s="139" t="str">
        <f>IFERROR(INDEX(Расходка[Наименование расходного материала],MATCH(Расходка[№],Поиск_расходки[Индекс13],0)),"")</f>
        <v>DES, Resolute Integtity</v>
      </c>
      <c r="AF20" s="4" t="s">
        <v>5</v>
      </c>
      <c r="AG20" s="4" t="s">
        <v>117</v>
      </c>
    </row>
    <row r="21" spans="1:33">
      <c r="A21">
        <v>20</v>
      </c>
      <c r="B21" t="s">
        <v>6</v>
      </c>
      <c r="C21" s="197" t="s">
        <v>435</v>
      </c>
      <c r="E21" s="140">
        <f>IF(ISNUMBER(SEARCH('Карта учёта'!$B$13,Расходка[[#This Row],[Наименование расходного материала]])),MAX($E$1:E20)+1,0)</f>
        <v>0</v>
      </c>
      <c r="F21" s="140">
        <f>IF(ISNUMBER(SEARCH('Карта учёта'!$B$14,Расходка[[#This Row],[Наименование расходного материала]])),MAX($F$1:F20)+1,0)</f>
        <v>0</v>
      </c>
      <c r="G21" s="140">
        <f>IF(ISNUMBER(SEARCH('Карта учёта'!$B$15,Расходка[Наименование расходного материала])),MAX($G$1:G20)+1,0)</f>
        <v>0</v>
      </c>
      <c r="H21" s="140">
        <f>IF(ISNUMBER(SEARCH('Карта учёта'!$B$16,Расходка[Наименование расходного материала])),MAX($H$1:H20)+1,0)</f>
        <v>0</v>
      </c>
      <c r="I21" s="140">
        <f>IF(ISNUMBER(SEARCH('Карта учёта'!$B$17,Расходка[Наименование расходного материала])),MAX($I$1:I20)+1,0)</f>
        <v>0</v>
      </c>
      <c r="J21" s="140">
        <f>IF(ISNUMBER(SEARCH('Карта учёта'!$B$18,Расходка[Наименование расходного материала])),MAX($J$1:J20)+1,0)</f>
        <v>0</v>
      </c>
      <c r="K21" s="140">
        <f>IF(ISNUMBER(SEARCH('Карта учёта'!$B$19,Расходка[Наименование расходного материала])),MAX($K$1:K20)+1,0)</f>
        <v>0</v>
      </c>
      <c r="L21" s="140">
        <f>IF(ISNUMBER(SEARCH('Карта учёта'!$B$20,Расходка[Наименование расходного материала])),MAX($L$1:L20)+1,0)</f>
        <v>20</v>
      </c>
      <c r="M21" s="140">
        <f>IF(ISNUMBER(SEARCH('Карта учёта'!$B$21,Расходка[Наименование расходного материала])),MAX($M$1:M20)+1,0)</f>
        <v>20</v>
      </c>
      <c r="N21" s="142">
        <f>IF(ISNUMBER(SEARCH('Карта учёта'!$B$22,Расходка[Наименование расходного материала])),MAX($N$1:N20)+1,0)</f>
        <v>20</v>
      </c>
      <c r="O21" s="140">
        <f>IF(ISNUMBER(SEARCH('Карта учёта'!$B$23,Расходка[Наименование расходного материала])),MAX($O$1:O20)+1,0)</f>
        <v>20</v>
      </c>
      <c r="P21" s="140">
        <f>IF(ISNUMBER(SEARCH('Карта учёта'!$B$24,Расходка[Наименование расходного материала])),MAX($P$1:P20)+1,0)</f>
        <v>20</v>
      </c>
      <c r="Q21" s="140">
        <f>IF(ISNUMBER(SEARCH('Карта учёта'!$B$25,Расходка[Наименование расходного материала])),MAX($Q$1:Q20)+1,0)</f>
        <v>20</v>
      </c>
      <c r="R21" s="139" t="str">
        <f>IFERROR(INDEX(Расходка[Наименование расходного материала],MATCH(Расходка[№],Поиск_расходки[Индекс1],0)),"")</f>
        <v/>
      </c>
      <c r="S21" s="139" t="str">
        <f>IFERROR(INDEX(Расходка[Наименование расходного материала],MATCH(Расходка[№],Поиск_расходки[Индекс2],0)),"")</f>
        <v/>
      </c>
      <c r="T21" s="139" t="str">
        <f>IFERROR(INDEX(Расходка[Наименование расходного материала],MATCH(Расходка[№],Поиск_расходки[Индекс3],0)),"")</f>
        <v/>
      </c>
      <c r="U21" s="139" t="str">
        <f>IFERROR(INDEX(Расходка[Наименование расходного материала],MATCH(Расходка[№],Поиск_расходки[Индекс4],0)),"")</f>
        <v/>
      </c>
      <c r="V21" s="139" t="str">
        <f>IFERROR(INDEX(Расходка[Наименование расходного материала],MATCH(Расходка[№],Поиск_расходки[Индекс5],0)),"")</f>
        <v/>
      </c>
      <c r="W21" s="139" t="str">
        <f>IFERROR(INDEX(Расходка[Наименование расходного материала],MATCH(Расходка[№],Поиск_расходки[Индекс6],0)),"")</f>
        <v/>
      </c>
      <c r="X21" s="139" t="str">
        <f>IFERROR(INDEX(Расходка[Наименование расходного материала],MATCH(Расходка[№],Поиск_расходки[Индекс7],0)),"")</f>
        <v/>
      </c>
      <c r="Y21" s="139" t="str">
        <f>IFERROR(INDEX(Расходка[Наименование расходного материала],MATCH(Расходка[№],Поиск_расходки[Индекс8],0)),"")</f>
        <v>DES, Calipso</v>
      </c>
      <c r="Z21" s="139" t="str">
        <f>IFERROR(INDEX(Расходка[Наименование расходного материала],MATCH(Расходка[№],Поиск_расходки[Индекс9],0)),"")</f>
        <v>DES, Calipso</v>
      </c>
      <c r="AA21" s="139" t="str">
        <f>IFERROR(INDEX(Расходка[Наименование расходного материала],MATCH(Расходка[№],Поиск_расходки[Индекс10],0)),"")</f>
        <v>DES, Calipso</v>
      </c>
      <c r="AB21" s="139" t="str">
        <f>IFERROR(INDEX(Расходка[Наименование расходного материала],MATCH(Расходка[№],Поиск_расходки[Индекс11],0)),"")</f>
        <v>DES, Calipso</v>
      </c>
      <c r="AC21" s="139" t="str">
        <f>IFERROR(INDEX(Расходка[Наименование расходного материала],MATCH(Расходка[№],Поиск_расходки[Индекс12],0)),"")</f>
        <v>DES, Calipso</v>
      </c>
      <c r="AD21" s="139" t="str">
        <f>IFERROR(INDEX(Расходка[Наименование расходного материала],MATCH(Расходка[№],Поиск_расходки[Индекс13],0)),"")</f>
        <v>DES, Calipso</v>
      </c>
      <c r="AF21" s="4" t="s">
        <v>5</v>
      </c>
      <c r="AG21" s="4" t="s">
        <v>118</v>
      </c>
    </row>
    <row r="22" spans="1:33">
      <c r="A22">
        <v>21</v>
      </c>
      <c r="B22" t="s">
        <v>6</v>
      </c>
      <c r="C22" s="197" t="s">
        <v>434</v>
      </c>
      <c r="E22" s="140">
        <f>IF(ISNUMBER(SEARCH('Карта учёта'!$B$13,Расходка[[#This Row],[Наименование расходного материала]])),MAX($E$1:E21)+1,0)</f>
        <v>0</v>
      </c>
      <c r="F22" s="140">
        <f>IF(ISNUMBER(SEARCH('Карта учёта'!$B$14,Расходка[[#This Row],[Наименование расходного материала]])),MAX($F$1:F21)+1,0)</f>
        <v>0</v>
      </c>
      <c r="G22" s="140">
        <f>IF(ISNUMBER(SEARCH('Карта учёта'!$B$15,Расходка[Наименование расходного материала])),MAX($G$1:G21)+1,0)</f>
        <v>0</v>
      </c>
      <c r="H22" s="140">
        <f>IF(ISNUMBER(SEARCH('Карта учёта'!$B$16,Расходка[Наименование расходного материала])),MAX($H$1:H21)+1,0)</f>
        <v>0</v>
      </c>
      <c r="I22" s="140">
        <f>IF(ISNUMBER(SEARCH('Карта учёта'!$B$17,Расходка[Наименование расходного материала])),MAX($I$1:I21)+1,0)</f>
        <v>0</v>
      </c>
      <c r="J22" s="140">
        <f>IF(ISNUMBER(SEARCH('Карта учёта'!$B$18,Расходка[Наименование расходного материала])),MAX($J$1:J21)+1,0)</f>
        <v>0</v>
      </c>
      <c r="K22" s="140">
        <f>IF(ISNUMBER(SEARCH('Карта учёта'!$B$19,Расходка[Наименование расходного материала])),MAX($K$1:K21)+1,0)</f>
        <v>0</v>
      </c>
      <c r="L22" s="140">
        <f>IF(ISNUMBER(SEARCH('Карта учёта'!$B$20,Расходка[Наименование расходного материала])),MAX($L$1:L21)+1,0)</f>
        <v>21</v>
      </c>
      <c r="M22" s="140">
        <f>IF(ISNUMBER(SEARCH('Карта учёта'!$B$21,Расходка[Наименование расходного материала])),MAX($M$1:M21)+1,0)</f>
        <v>21</v>
      </c>
      <c r="N22" s="142">
        <f>IF(ISNUMBER(SEARCH('Карта учёта'!$B$22,Расходка[Наименование расходного материала])),MAX($N$1:N21)+1,0)</f>
        <v>21</v>
      </c>
      <c r="O22" s="140">
        <f>IF(ISNUMBER(SEARCH('Карта учёта'!$B$23,Расходка[Наименование расходного материала])),MAX($O$1:O21)+1,0)</f>
        <v>21</v>
      </c>
      <c r="P22" s="140">
        <f>IF(ISNUMBER(SEARCH('Карта учёта'!$B$24,Расходка[Наименование расходного материала])),MAX($P$1:P21)+1,0)</f>
        <v>21</v>
      </c>
      <c r="Q22" s="140">
        <f>IF(ISNUMBER(SEARCH('Карта учёта'!$B$25,Расходка[Наименование расходного материала])),MAX($Q$1:Q21)+1,0)</f>
        <v>21</v>
      </c>
      <c r="R22" s="139" t="str">
        <f>IFERROR(INDEX(Расходка[Наименование расходного материала],MATCH(Расходка[№],Поиск_расходки[Индекс1],0)),"")</f>
        <v/>
      </c>
      <c r="S22" s="139" t="str">
        <f>IFERROR(INDEX(Расходка[Наименование расходного материала],MATCH(Расходка[№],Поиск_расходки[Индекс2],0)),"")</f>
        <v/>
      </c>
      <c r="T22" s="139" t="str">
        <f>IFERROR(INDEX(Расходка[Наименование расходного материала],MATCH(Расходка[№],Поиск_расходки[Индекс3],0)),"")</f>
        <v/>
      </c>
      <c r="U22" s="139" t="str">
        <f>IFERROR(INDEX(Расходка[Наименование расходного материала],MATCH(Расходка[№],Поиск_расходки[Индекс4],0)),"")</f>
        <v/>
      </c>
      <c r="V22" s="139" t="str">
        <f>IFERROR(INDEX(Расходка[Наименование расходного материала],MATCH(Расходка[№],Поиск_расходки[Индекс5],0)),"")</f>
        <v/>
      </c>
      <c r="W22" s="139" t="str">
        <f>IFERROR(INDEX(Расходка[Наименование расходного материала],MATCH(Расходка[№],Поиск_расходки[Индекс6],0)),"")</f>
        <v/>
      </c>
      <c r="X22" s="139" t="str">
        <f>IFERROR(INDEX(Расходка[Наименование расходного материала],MATCH(Расходка[№],Поиск_расходки[Индекс7],0)),"")</f>
        <v/>
      </c>
      <c r="Y22" s="139" t="str">
        <f>IFERROR(INDEX(Расходка[Наименование расходного материала],MATCH(Расходка[№],Поиск_расходки[Индекс8],0)),"")</f>
        <v>DES, NanoMed</v>
      </c>
      <c r="Z22" s="139" t="str">
        <f>IFERROR(INDEX(Расходка[Наименование расходного материала],MATCH(Расходка[№],Поиск_расходки[Индекс9],0)),"")</f>
        <v>DES, NanoMed</v>
      </c>
      <c r="AA22" s="139" t="str">
        <f>IFERROR(INDEX(Расходка[Наименование расходного материала],MATCH(Расходка[№],Поиск_расходки[Индекс10],0)),"")</f>
        <v>DES, NanoMed</v>
      </c>
      <c r="AB22" s="139" t="str">
        <f>IFERROR(INDEX(Расходка[Наименование расходного материала],MATCH(Расходка[№],Поиск_расходки[Индекс11],0)),"")</f>
        <v>DES, NanoMed</v>
      </c>
      <c r="AC22" s="139" t="str">
        <f>IFERROR(INDEX(Расходка[Наименование расходного материала],MATCH(Расходка[№],Поиск_расходки[Индекс12],0)),"")</f>
        <v>DES, NanoMed</v>
      </c>
      <c r="AD22" s="139" t="str">
        <f>IFERROR(INDEX(Расходка[Наименование расходного материала],MATCH(Расходка[№],Поиск_расходки[Индекс13],0)),"")</f>
        <v>DES, NanoMed</v>
      </c>
      <c r="AF22" s="4" t="s">
        <v>5</v>
      </c>
      <c r="AG22" s="4" t="s">
        <v>119</v>
      </c>
    </row>
    <row r="23" spans="1:33">
      <c r="A23">
        <v>22</v>
      </c>
      <c r="B23" t="s">
        <v>6</v>
      </c>
      <c r="C23" s="1" t="s">
        <v>348</v>
      </c>
      <c r="E23" s="140">
        <f>IF(ISNUMBER(SEARCH('Карта учёта'!$B$13,Расходка[[#This Row],[Наименование расходного материала]])),MAX($E$1:E22)+1,0)</f>
        <v>0</v>
      </c>
      <c r="F23" s="140">
        <f>IF(ISNUMBER(SEARCH('Карта учёта'!$B$14,Расходка[[#This Row],[Наименование расходного материала]])),MAX($F$1:F22)+1,0)</f>
        <v>0</v>
      </c>
      <c r="G23" s="140">
        <f>IF(ISNUMBER(SEARCH('Карта учёта'!$B$15,Расходка[Наименование расходного материала])),MAX($G$1:G22)+1,0)</f>
        <v>0</v>
      </c>
      <c r="H23" s="140">
        <f>IF(ISNUMBER(SEARCH('Карта учёта'!$B$16,Расходка[Наименование расходного материала])),MAX($H$1:H22)+1,0)</f>
        <v>0</v>
      </c>
      <c r="I23" s="140">
        <f>IF(ISNUMBER(SEARCH('Карта учёта'!$B$17,Расходка[Наименование расходного материала])),MAX($I$1:I22)+1,0)</f>
        <v>0</v>
      </c>
      <c r="J23" s="140">
        <f>IF(ISNUMBER(SEARCH('Карта учёта'!$B$18,Расходка[Наименование расходного материала])),MAX($J$1:J22)+1,0)</f>
        <v>0</v>
      </c>
      <c r="K23" s="140">
        <f>IF(ISNUMBER(SEARCH('Карта учёта'!$B$19,Расходка[Наименование расходного материала])),MAX($K$1:K22)+1,0)</f>
        <v>0</v>
      </c>
      <c r="L23" s="140">
        <f>IF(ISNUMBER(SEARCH('Карта учёта'!$B$20,Расходка[Наименование расходного материала])),MAX($L$1:L22)+1,0)</f>
        <v>22</v>
      </c>
      <c r="M23" s="140">
        <f>IF(ISNUMBER(SEARCH('Карта учёта'!$B$21,Расходка[Наименование расходного материала])),MAX($M$1:M22)+1,0)</f>
        <v>22</v>
      </c>
      <c r="N23" s="142">
        <f>IF(ISNUMBER(SEARCH('Карта учёта'!$B$22,Расходка[Наименование расходного материала])),MAX($N$1:N22)+1,0)</f>
        <v>22</v>
      </c>
      <c r="O23" s="140">
        <f>IF(ISNUMBER(SEARCH('Карта учёта'!$B$23,Расходка[Наименование расходного материала])),MAX($O$1:O22)+1,0)</f>
        <v>22</v>
      </c>
      <c r="P23" s="140">
        <f>IF(ISNUMBER(SEARCH('Карта учёта'!$B$24,Расходка[Наименование расходного материала])),MAX($P$1:P22)+1,0)</f>
        <v>22</v>
      </c>
      <c r="Q23" s="140">
        <f>IF(ISNUMBER(SEARCH('Карта учёта'!$B$25,Расходка[Наименование расходного материала])),MAX($Q$1:Q22)+1,0)</f>
        <v>22</v>
      </c>
      <c r="R23" s="139" t="str">
        <f>IFERROR(INDEX(Расходка[Наименование расходного материала],MATCH(Расходка[№],Поиск_расходки[Индекс1],0)),"")</f>
        <v/>
      </c>
      <c r="S23" s="139" t="str">
        <f>IFERROR(INDEX(Расходка[Наименование расходного материала],MATCH(Расходка[№],Поиск_расходки[Индекс2],0)),"")</f>
        <v/>
      </c>
      <c r="T23" s="139" t="str">
        <f>IFERROR(INDEX(Расходка[Наименование расходного материала],MATCH(Расходка[№],Поиск_расходки[Индекс3],0)),"")</f>
        <v/>
      </c>
      <c r="U23" s="139" t="str">
        <f>IFERROR(INDEX(Расходка[Наименование расходного материала],MATCH(Расходка[№],Поиск_расходки[Индекс4],0)),"")</f>
        <v/>
      </c>
      <c r="V23" s="139" t="str">
        <f>IFERROR(INDEX(Расходка[Наименование расходного материала],MATCH(Расходка[№],Поиск_расходки[Индекс5],0)),"")</f>
        <v/>
      </c>
      <c r="W23" s="139" t="str">
        <f>IFERROR(INDEX(Расходка[Наименование расходного материала],MATCH(Расходка[№],Поиск_расходки[Индекс6],0)),"")</f>
        <v/>
      </c>
      <c r="X23" s="139" t="str">
        <f>IFERROR(INDEX(Расходка[Наименование расходного материала],MATCH(Расходка[№],Поиск_расходки[Индекс7],0)),"")</f>
        <v/>
      </c>
      <c r="Y23" s="139" t="str">
        <f>IFERROR(INDEX(Расходка[Наименование расходного материала],MATCH(Расходка[№],Поиск_расходки[Индекс8],0)),"")</f>
        <v>BMS, Integtity</v>
      </c>
      <c r="Z23" s="139" t="str">
        <f>IFERROR(INDEX(Расходка[Наименование расходного материала],MATCH(Расходка[№],Поиск_расходки[Индекс9],0)),"")</f>
        <v>BMS, Integtity</v>
      </c>
      <c r="AA23" s="139" t="str">
        <f>IFERROR(INDEX(Расходка[Наименование расходного материала],MATCH(Расходка[№],Поиск_расходки[Индекс10],0)),"")</f>
        <v>BMS, Integtity</v>
      </c>
      <c r="AB23" s="139" t="str">
        <f>IFERROR(INDEX(Расходка[Наименование расходного материала],MATCH(Расходка[№],Поиск_расходки[Индекс11],0)),"")</f>
        <v>BMS, Integtity</v>
      </c>
      <c r="AC23" s="139" t="str">
        <f>IFERROR(INDEX(Расходка[Наименование расходного материала],MATCH(Расходка[№],Поиск_расходки[Индекс12],0)),"")</f>
        <v>BMS, Integtity</v>
      </c>
      <c r="AD23" s="139" t="str">
        <f>IFERROR(INDEX(Расходка[Наименование расходного материала],MATCH(Расходка[№],Поиск_расходки[Индекс13],0)),"")</f>
        <v>BMS, Integtity</v>
      </c>
      <c r="AF23" s="4" t="s">
        <v>5</v>
      </c>
      <c r="AG23" s="4" t="s">
        <v>120</v>
      </c>
    </row>
    <row r="24" spans="1:33">
      <c r="A24">
        <v>23</v>
      </c>
      <c r="B24" t="s">
        <v>123</v>
      </c>
      <c r="C24" s="1" t="s">
        <v>405</v>
      </c>
      <c r="E24" s="140">
        <f>IF(ISNUMBER(SEARCH('Карта учёта'!$B$13,Расходка[[#This Row],[Наименование расходного материала]])),MAX($E$1:E23)+1,0)</f>
        <v>0</v>
      </c>
      <c r="F24" s="140">
        <f>IF(ISNUMBER(SEARCH('Карта учёта'!$B$14,Расходка[[#This Row],[Наименование расходного материала]])),MAX($F$1:F23)+1,0)</f>
        <v>0</v>
      </c>
      <c r="G24" s="140">
        <f>IF(ISNUMBER(SEARCH('Карта учёта'!$B$15,Расходка[Наименование расходного материала])),MAX($G$1:G23)+1,0)</f>
        <v>0</v>
      </c>
      <c r="H24" s="140">
        <f>IF(ISNUMBER(SEARCH('Карта учёта'!$B$16,Расходка[Наименование расходного материала])),MAX($H$1:H23)+1,0)</f>
        <v>0</v>
      </c>
      <c r="I24" s="140">
        <f>IF(ISNUMBER(SEARCH('Карта учёта'!$B$17,Расходка[Наименование расходного материала])),MAX($I$1:I23)+1,0)</f>
        <v>0</v>
      </c>
      <c r="J24" s="140">
        <f>IF(ISNUMBER(SEARCH('Карта учёта'!$B$18,Расходка[Наименование расходного материала])),MAX($J$1:J23)+1,0)</f>
        <v>0</v>
      </c>
      <c r="K24" s="140">
        <f>IF(ISNUMBER(SEARCH('Карта учёта'!$B$19,Расходка[Наименование расходного материала])),MAX($K$1:K23)+1,0)</f>
        <v>0</v>
      </c>
      <c r="L24" s="140">
        <f>IF(ISNUMBER(SEARCH('Карта учёта'!$B$20,Расходка[Наименование расходного материала])),MAX($L$1:L23)+1,0)</f>
        <v>23</v>
      </c>
      <c r="M24" s="140">
        <f>IF(ISNUMBER(SEARCH('Карта учёта'!$B$21,Расходка[Наименование расходного материала])),MAX($M$1:M23)+1,0)</f>
        <v>23</v>
      </c>
      <c r="N24" s="142">
        <f>IF(ISNUMBER(SEARCH('Карта учёта'!$B$22,Расходка[Наименование расходного материала])),MAX($N$1:N23)+1,0)</f>
        <v>23</v>
      </c>
      <c r="O24" s="140">
        <f>IF(ISNUMBER(SEARCH('Карта учёта'!$B$23,Расходка[Наименование расходного материала])),MAX($O$1:O23)+1,0)</f>
        <v>23</v>
      </c>
      <c r="P24" s="140">
        <f>IF(ISNUMBER(SEARCH('Карта учёта'!$B$24,Расходка[Наименование расходного материала])),MAX($P$1:P23)+1,0)</f>
        <v>23</v>
      </c>
      <c r="Q24" s="140">
        <f>IF(ISNUMBER(SEARCH('Карта учёта'!$B$25,Расходка[Наименование расходного материала])),MAX($Q$1:Q23)+1,0)</f>
        <v>23</v>
      </c>
      <c r="R24" s="139" t="str">
        <f>IFERROR(INDEX(Расходка[Наименование расходного материала],MATCH(Расходка[№],Поиск_расходки[Индекс1],0)),"")</f>
        <v/>
      </c>
      <c r="S24" s="139" t="str">
        <f>IFERROR(INDEX(Расходка[Наименование расходного материала],MATCH(Расходка[№],Поиск_расходки[Индекс2],0)),"")</f>
        <v/>
      </c>
      <c r="T24" s="139" t="str">
        <f>IFERROR(INDEX(Расходка[Наименование расходного материала],MATCH(Расходка[№],Поиск_расходки[Индекс3],0)),"")</f>
        <v/>
      </c>
      <c r="U24" s="139" t="str">
        <f>IFERROR(INDEX(Расходка[Наименование расходного материала],MATCH(Расходка[№],Поиск_расходки[Индекс4],0)),"")</f>
        <v/>
      </c>
      <c r="V24" s="139" t="str">
        <f>IFERROR(INDEX(Расходка[Наименование расходного материала],MATCH(Расходка[№],Поиск_расходки[Индекс5],0)),"")</f>
        <v/>
      </c>
      <c r="W24" s="139" t="str">
        <f>IFERROR(INDEX(Расходка[Наименование расходного материала],MATCH(Расходка[№],Поиск_расходки[Индекс6],0)),"")</f>
        <v/>
      </c>
      <c r="X24" s="139" t="str">
        <f>IFERROR(INDEX(Расходка[Наименование расходного материала],MATCH(Расходка[№],Поиск_расходки[Индекс7],0)),"")</f>
        <v/>
      </c>
      <c r="Y24" s="139" t="str">
        <f>IFERROR(INDEX(Расходка[Наименование расходного материала],MATCH(Расходка[№],Поиск_расходки[Индекс8],0)),"")</f>
        <v>Guidezilla™ II 6F</v>
      </c>
      <c r="Z24" s="139" t="str">
        <f>IFERROR(INDEX(Расходка[Наименование расходного материала],MATCH(Расходка[№],Поиск_расходки[Индекс9],0)),"")</f>
        <v>Guidezilla™ II 6F</v>
      </c>
      <c r="AA24" s="139" t="str">
        <f>IFERROR(INDEX(Расходка[Наименование расходного материала],MATCH(Расходка[№],Поиск_расходки[Индекс10],0)),"")</f>
        <v>Guidezilla™ II 6F</v>
      </c>
      <c r="AB24" s="139" t="str">
        <f>IFERROR(INDEX(Расходка[Наименование расходного материала],MATCH(Расходка[№],Поиск_расходки[Индекс11],0)),"")</f>
        <v>Guidezilla™ II 6F</v>
      </c>
      <c r="AC24" s="139" t="str">
        <f>IFERROR(INDEX(Расходка[Наименование расходного материала],MATCH(Расходка[№],Поиск_расходки[Индекс12],0)),"")</f>
        <v>Guidezilla™ II 6F</v>
      </c>
      <c r="AD24" s="139" t="str">
        <f>IFERROR(INDEX(Расходка[Наименование расходного материала],MATCH(Расходка[№],Поиск_расходки[Индекс13],0)),"")</f>
        <v>Guidezilla™ II 6F</v>
      </c>
      <c r="AF24" s="4" t="s">
        <v>5</v>
      </c>
      <c r="AG24" s="4" t="s">
        <v>121</v>
      </c>
    </row>
    <row r="25" spans="1:33">
      <c r="A25">
        <v>24</v>
      </c>
      <c r="B25" t="s">
        <v>123</v>
      </c>
      <c r="C25" s="1" t="s">
        <v>432</v>
      </c>
      <c r="E25" s="140">
        <f>IF(ISNUMBER(SEARCH('Карта учёта'!$B$13,Расходка[[#This Row],[Наименование расходного материала]])),MAX($E$1:E24)+1,0)</f>
        <v>0</v>
      </c>
      <c r="F25" s="140">
        <f>IF(ISNUMBER(SEARCH('Карта учёта'!$B$14,Расходка[[#This Row],[Наименование расходного материала]])),MAX($F$1:F24)+1,0)</f>
        <v>0</v>
      </c>
      <c r="G25" s="140">
        <f>IF(ISNUMBER(SEARCH('Карта учёта'!$B$15,Расходка[Наименование расходного материала])),MAX($G$1:G24)+1,0)</f>
        <v>0</v>
      </c>
      <c r="H25" s="140">
        <f>IF(ISNUMBER(SEARCH('Карта учёта'!$B$16,Расходка[Наименование расходного материала])),MAX($H$1:H24)+1,0)</f>
        <v>0</v>
      </c>
      <c r="I25" s="140">
        <f>IF(ISNUMBER(SEARCH('Карта учёта'!$B$17,Расходка[Наименование расходного материала])),MAX($I$1:I24)+1,0)</f>
        <v>0</v>
      </c>
      <c r="J25" s="140">
        <f>IF(ISNUMBER(SEARCH('Карта учёта'!$B$18,Расходка[Наименование расходного материала])),MAX($J$1:J24)+1,0)</f>
        <v>0</v>
      </c>
      <c r="K25" s="140">
        <f>IF(ISNUMBER(SEARCH('Карта учёта'!$B$19,Расходка[Наименование расходного материала])),MAX($K$1:K24)+1,0)</f>
        <v>0</v>
      </c>
      <c r="L25" s="140">
        <f>IF(ISNUMBER(SEARCH('Карта учёта'!$B$20,Расходка[Наименование расходного материала])),MAX($L$1:L24)+1,0)</f>
        <v>24</v>
      </c>
      <c r="M25" s="140">
        <f>IF(ISNUMBER(SEARCH('Карта учёта'!$B$21,Расходка[Наименование расходного материала])),MAX($M$1:M24)+1,0)</f>
        <v>24</v>
      </c>
      <c r="N25" s="142">
        <f>IF(ISNUMBER(SEARCH('Карта учёта'!$B$22,Расходка[Наименование расходного материала])),MAX($N$1:N24)+1,0)</f>
        <v>24</v>
      </c>
      <c r="O25" s="140">
        <f>IF(ISNUMBER(SEARCH('Карта учёта'!$B$23,Расходка[Наименование расходного материала])),MAX($O$1:O24)+1,0)</f>
        <v>24</v>
      </c>
      <c r="P25" s="140">
        <f>IF(ISNUMBER(SEARCH('Карта учёта'!$B$24,Расходка[Наименование расходного материала])),MAX($P$1:P24)+1,0)</f>
        <v>24</v>
      </c>
      <c r="Q25" s="140">
        <f>IF(ISNUMBER(SEARCH('Карта учёта'!$B$25,Расходка[Наименование расходного материала])),MAX($Q$1:Q24)+1,0)</f>
        <v>24</v>
      </c>
      <c r="R25" s="139" t="str">
        <f>IFERROR(INDEX(Расходка[Наименование расходного материала],MATCH(Расходка[№],Поиск_расходки[Индекс1],0)),"")</f>
        <v/>
      </c>
      <c r="S25" s="139" t="str">
        <f>IFERROR(INDEX(Расходка[Наименование расходного материала],MATCH(Расходка[№],Поиск_расходки[Индекс2],0)),"")</f>
        <v/>
      </c>
      <c r="T25" s="139" t="str">
        <f>IFERROR(INDEX(Расходка[Наименование расходного материала],MATCH(Расходка[№],Поиск_расходки[Индекс3],0)),"")</f>
        <v/>
      </c>
      <c r="U25" s="139" t="str">
        <f>IFERROR(INDEX(Расходка[Наименование расходного материала],MATCH(Расходка[№],Поиск_расходки[Индекс4],0)),"")</f>
        <v/>
      </c>
      <c r="V25" s="139" t="str">
        <f>IFERROR(INDEX(Расходка[Наименование расходного материала],MATCH(Расходка[№],Поиск_расходки[Индекс5],0)),"")</f>
        <v/>
      </c>
      <c r="W25" s="139" t="str">
        <f>IFERROR(INDEX(Расходка[Наименование расходного материала],MATCH(Расходка[№],Поиск_расходки[Индекс6],0)),"")</f>
        <v/>
      </c>
      <c r="X25" s="139" t="str">
        <f>IFERROR(INDEX(Расходка[Наименование расходного материала],MATCH(Расходка[№],Поиск_расходки[Индекс7],0)),"")</f>
        <v/>
      </c>
      <c r="Y25" s="139" t="str">
        <f>IFERROR(INDEX(Расходка[Наименование расходного материала],MATCH(Расходка[№],Поиск_расходки[Индекс8],0)),"")</f>
        <v>Telescope ™ II 6F</v>
      </c>
      <c r="Z25" s="139" t="str">
        <f>IFERROR(INDEX(Расходка[Наименование расходного материала],MATCH(Расходка[№],Поиск_расходки[Индекс9],0)),"")</f>
        <v>Telescope ™ II 6F</v>
      </c>
      <c r="AA25" s="139" t="str">
        <f>IFERROR(INDEX(Расходка[Наименование расходного материала],MATCH(Расходка[№],Поиск_расходки[Индекс10],0)),"")</f>
        <v>Telescope ™ II 6F</v>
      </c>
      <c r="AB25" s="139" t="str">
        <f>IFERROR(INDEX(Расходка[Наименование расходного материала],MATCH(Расходка[№],Поиск_расходки[Индекс11],0)),"")</f>
        <v>Telescope ™ II 6F</v>
      </c>
      <c r="AC25" s="139" t="str">
        <f>IFERROR(INDEX(Расходка[Наименование расходного материала],MATCH(Расходка[№],Поиск_расходки[Индекс12],0)),"")</f>
        <v>Telescope ™ II 6F</v>
      </c>
      <c r="AD25" s="139" t="str">
        <f>IFERROR(INDEX(Расходка[Наименование расходного материала],MATCH(Расходка[№],Поиск_расходки[Индекс13],0)),"")</f>
        <v>Telescope ™ II 6F</v>
      </c>
      <c r="AF25" s="4" t="s">
        <v>5</v>
      </c>
      <c r="AG25" s="4" t="s">
        <v>377</v>
      </c>
    </row>
    <row r="26" spans="1:33">
      <c r="A26">
        <v>25</v>
      </c>
      <c r="B26" t="s">
        <v>4</v>
      </c>
      <c r="C26" t="s">
        <v>406</v>
      </c>
      <c r="E26" s="142">
        <f>IF(ISNUMBER(SEARCH('Карта учёта'!$B$13,Расходка[[#This Row],[Наименование расходного материала]])),MAX($E$1:E25)+1,0)</f>
        <v>1</v>
      </c>
      <c r="F26" s="142">
        <f>IF(ISNUMBER(SEARCH('Карта учёта'!$B$14,Расходка[[#This Row],[Наименование расходного материала]])),MAX($F$1:F25)+1,0)</f>
        <v>0</v>
      </c>
      <c r="G26" s="142">
        <f>IF(ISNUMBER(SEARCH('Карта учёта'!$B$15,Расходка[Наименование расходного материала])),MAX($G$1:G25)+1,0)</f>
        <v>0</v>
      </c>
      <c r="H26" s="142">
        <f>IF(ISNUMBER(SEARCH('Карта учёта'!$B$16,Расходка[Наименование расходного материала])),MAX($H$1:H25)+1,0)</f>
        <v>0</v>
      </c>
      <c r="I26" s="142">
        <f>IF(ISNUMBER(SEARCH('Карта учёта'!$B$17,Расходка[Наименование расходного материала])),MAX($I$1:I25)+1,0)</f>
        <v>0</v>
      </c>
      <c r="J26" s="142">
        <f>IF(ISNUMBER(SEARCH('Карта учёта'!$B$18,Расходка[Наименование расходного материала])),MAX($J$1:J25)+1,0)</f>
        <v>0</v>
      </c>
      <c r="K26" s="142">
        <f>IF(ISNUMBER(SEARCH('Карта учёта'!$B$19,Расходка[Наименование расходного материала])),MAX($K$1:K25)+1,0)</f>
        <v>0</v>
      </c>
      <c r="L26" s="142">
        <f>IF(ISNUMBER(SEARCH('Карта учёта'!$B$20,Расходка[Наименование расходного материала])),MAX($L$1:L25)+1,0)</f>
        <v>25</v>
      </c>
      <c r="M26" s="142">
        <f>IF(ISNUMBER(SEARCH('Карта учёта'!$B$21,Расходка[Наименование расходного материала])),MAX($M$1:M25)+1,0)</f>
        <v>25</v>
      </c>
      <c r="N26" s="142">
        <f>IF(ISNUMBER(SEARCH('Карта учёта'!$B$22,Расходка[Наименование расходного материала])),MAX($N$1:N25)+1,0)</f>
        <v>25</v>
      </c>
      <c r="O26" s="142">
        <f>IF(ISNUMBER(SEARCH('Карта учёта'!$B$23,Расходка[Наименование расходного материала])),MAX($O$1:O25)+1,0)</f>
        <v>25</v>
      </c>
      <c r="P26" s="142">
        <f>IF(ISNUMBER(SEARCH('Карта учёта'!$B$24,Расходка[Наименование расходного материала])),MAX($P$1:P25)+1,0)</f>
        <v>25</v>
      </c>
      <c r="Q26" s="142">
        <f>IF(ISNUMBER(SEARCH('Карта учёта'!$B$25,Расходка[Наименование расходного материала])),MAX($Q$1:Q25)+1,0)</f>
        <v>25</v>
      </c>
      <c r="R26" s="144" t="str">
        <f>IFERROR(INDEX(Расходка[Наименование расходного материала],MATCH(Расходка[№],Поиск_расходки[Индекс1],0)),"")</f>
        <v/>
      </c>
      <c r="S26" s="144" t="str">
        <f>IFERROR(INDEX(Расходка[Наименование расходного материала],MATCH(Расходка[№],Поиск_расходки[Индекс2],0)),"")</f>
        <v/>
      </c>
      <c r="T26" s="144" t="str">
        <f>IFERROR(INDEX(Расходка[Наименование расходного материала],MATCH(Расходка[№],Поиск_расходки[Индекс3],0)),"")</f>
        <v/>
      </c>
      <c r="U26" s="144" t="str">
        <f>IFERROR(INDEX(Расходка[Наименование расходного материала],MATCH(Расходка[№],Поиск_расходки[Индекс4],0)),"")</f>
        <v/>
      </c>
      <c r="V26" s="144" t="str">
        <f>IFERROR(INDEX(Расходка[Наименование расходного материала],MATCH(Расходка[№],Поиск_расходки[Индекс5],0)),"")</f>
        <v/>
      </c>
      <c r="W26" s="144" t="str">
        <f>IFERROR(INDEX(Расходка[Наименование расходного материала],MATCH(Расходка[№],Поиск_расходки[Индекс6],0)),"")</f>
        <v/>
      </c>
      <c r="X26" s="144" t="str">
        <f>IFERROR(INDEX(Расходка[Наименование расходного материала],MATCH(Расходка[№],Поиск_расходки[Индекс7],0)),"")</f>
        <v/>
      </c>
      <c r="Y26" s="144" t="str">
        <f>IFERROR(INDEX(Расходка[Наименование расходного материала],MATCH(Расходка[№],Поиск_расходки[Индекс8],0)),"")</f>
        <v>Launcher 6F EBU 3.5</v>
      </c>
      <c r="Z26" s="144" t="str">
        <f>IFERROR(INDEX(Расходка[Наименование расходного материала],MATCH(Расходка[№],Поиск_расходки[Индекс9],0)),"")</f>
        <v>Launcher 6F EBU 3.5</v>
      </c>
      <c r="AA26" s="144" t="str">
        <f>IFERROR(INDEX(Расходка[Наименование расходного материала],MATCH(Расходка[№],Поиск_расходки[Индекс10],0)),"")</f>
        <v>Launcher 6F EBU 3.5</v>
      </c>
      <c r="AB26" s="144" t="str">
        <f>IFERROR(INDEX(Расходка[Наименование расходного материала],MATCH(Расходка[№],Поиск_расходки[Индекс11],0)),"")</f>
        <v>Launcher 6F EBU 3.5</v>
      </c>
      <c r="AC26" s="144" t="str">
        <f>IFERROR(INDEX(Расходка[Наименование расходного материала],MATCH(Расходка[№],Поиск_расходки[Индекс12],0)),"")</f>
        <v>Launcher 6F EBU 3.5</v>
      </c>
      <c r="AD26" s="144" t="str">
        <f>IFERROR(INDEX(Расходка[Наименование расходного материала],MATCH(Расходка[№],Поиск_расходки[Индекс13],0)),"")</f>
        <v>Launcher 6F EBU 3.5</v>
      </c>
      <c r="AF26" s="4" t="s">
        <v>5</v>
      </c>
      <c r="AG26" s="4" t="s">
        <v>378</v>
      </c>
    </row>
    <row r="27" spans="1:33">
      <c r="A27">
        <v>26</v>
      </c>
      <c r="B27" t="s">
        <v>4</v>
      </c>
      <c r="C27" t="s">
        <v>407</v>
      </c>
      <c r="E27" s="142">
        <f>IF(ISNUMBER(SEARCH('Карта учёта'!$B$13,Расходка[[#This Row],[Наименование расходного материала]])),MAX($E$1:E26)+1,0)</f>
        <v>0</v>
      </c>
      <c r="F27" s="142">
        <f>IF(ISNUMBER(SEARCH('Карта учёта'!$B$14,Расходка[[#This Row],[Наименование расходного материала]])),MAX($F$1:F26)+1,0)</f>
        <v>0</v>
      </c>
      <c r="G27" s="142">
        <f>IF(ISNUMBER(SEARCH('Карта учёта'!$B$15,Расходка[Наименование расходного материала])),MAX($G$1:G26)+1,0)</f>
        <v>0</v>
      </c>
      <c r="H27" s="142">
        <f>IF(ISNUMBER(SEARCH('Карта учёта'!$B$16,Расходка[Наименование расходного материала])),MAX($H$1:H26)+1,0)</f>
        <v>0</v>
      </c>
      <c r="I27" s="142">
        <f>IF(ISNUMBER(SEARCH('Карта учёта'!$B$17,Расходка[Наименование расходного материала])),MAX($I$1:I26)+1,0)</f>
        <v>0</v>
      </c>
      <c r="J27" s="142">
        <f>IF(ISNUMBER(SEARCH('Карта учёта'!$B$18,Расходка[Наименование расходного материала])),MAX($J$1:J26)+1,0)</f>
        <v>0</v>
      </c>
      <c r="K27" s="142">
        <f>IF(ISNUMBER(SEARCH('Карта учёта'!$B$19,Расходка[Наименование расходного материала])),MAX($K$1:K26)+1,0)</f>
        <v>0</v>
      </c>
      <c r="L27" s="142">
        <f>IF(ISNUMBER(SEARCH('Карта учёта'!$B$20,Расходка[Наименование расходного материала])),MAX($L$1:L26)+1,0)</f>
        <v>26</v>
      </c>
      <c r="M27" s="142">
        <f>IF(ISNUMBER(SEARCH('Карта учёта'!$B$21,Расходка[Наименование расходного материала])),MAX($M$1:M26)+1,0)</f>
        <v>26</v>
      </c>
      <c r="N27" s="142">
        <f>IF(ISNUMBER(SEARCH('Карта учёта'!$B$22,Расходка[Наименование расходного материала])),MAX($N$1:N26)+1,0)</f>
        <v>26</v>
      </c>
      <c r="O27" s="142">
        <f>IF(ISNUMBER(SEARCH('Карта учёта'!$B$23,Расходка[Наименование расходного материала])),MAX($O$1:O26)+1,0)</f>
        <v>26</v>
      </c>
      <c r="P27" s="142">
        <f>IF(ISNUMBER(SEARCH('Карта учёта'!$B$24,Расходка[Наименование расходного материала])),MAX($P$1:P26)+1,0)</f>
        <v>26</v>
      </c>
      <c r="Q27" s="142">
        <f>IF(ISNUMBER(SEARCH('Карта учёта'!$B$25,Расходка[Наименование расходного материала])),MAX($Q$1:Q26)+1,0)</f>
        <v>26</v>
      </c>
      <c r="R27" s="144" t="str">
        <f>IFERROR(INDEX(Расходка[Наименование расходного материала],MATCH(Расходка[№],Поиск_расходки[Индекс1],0)),"")</f>
        <v/>
      </c>
      <c r="S27" s="144" t="str">
        <f>IFERROR(INDEX(Расходка[Наименование расходного материала],MATCH(Расходка[№],Поиск_расходки[Индекс2],0)),"")</f>
        <v/>
      </c>
      <c r="T27" s="144" t="str">
        <f>IFERROR(INDEX(Расходка[Наименование расходного материала],MATCH(Расходка[№],Поиск_расходки[Индекс3],0)),"")</f>
        <v/>
      </c>
      <c r="U27" s="144" t="str">
        <f>IFERROR(INDEX(Расходка[Наименование расходного материала],MATCH(Расходка[№],Поиск_расходки[Индекс4],0)),"")</f>
        <v/>
      </c>
      <c r="V27" s="144" t="str">
        <f>IFERROR(INDEX(Расходка[Наименование расходного материала],MATCH(Расходка[№],Поиск_расходки[Индекс5],0)),"")</f>
        <v/>
      </c>
      <c r="W27" s="144" t="str">
        <f>IFERROR(INDEX(Расходка[Наименование расходного материала],MATCH(Расходка[№],Поиск_расходки[Индекс6],0)),"")</f>
        <v/>
      </c>
      <c r="X27" s="144" t="str">
        <f>IFERROR(INDEX(Расходка[Наименование расходного материала],MATCH(Расходка[№],Поиск_расходки[Индекс7],0)),"")</f>
        <v/>
      </c>
      <c r="Y27" s="144" t="str">
        <f>IFERROR(INDEX(Расходка[Наименование расходного материала],MATCH(Расходка[№],Поиск_расходки[Индекс8],0)),"")</f>
        <v>Launcher 6F EBU 4.0</v>
      </c>
      <c r="Z27" s="144" t="str">
        <f>IFERROR(INDEX(Расходка[Наименование расходного материала],MATCH(Расходка[№],Поиск_расходки[Индекс9],0)),"")</f>
        <v>Launcher 6F EBU 4.0</v>
      </c>
      <c r="AA27" s="144" t="str">
        <f>IFERROR(INDEX(Расходка[Наименование расходного материала],MATCH(Расходка[№],Поиск_расходки[Индекс10],0)),"")</f>
        <v>Launcher 6F EBU 4.0</v>
      </c>
      <c r="AB27" s="144" t="str">
        <f>IFERROR(INDEX(Расходка[Наименование расходного материала],MATCH(Расходка[№],Поиск_расходки[Индекс11],0)),"")</f>
        <v>Launcher 6F EBU 4.0</v>
      </c>
      <c r="AC27" s="144" t="str">
        <f>IFERROR(INDEX(Расходка[Наименование расходного материала],MATCH(Расходка[№],Поиск_расходки[Индекс12],0)),"")</f>
        <v>Launcher 6F EBU 4.0</v>
      </c>
      <c r="AD27" s="144" t="str">
        <f>IFERROR(INDEX(Расходка[Наименование расходного материала],MATCH(Расходка[№],Поиск_расходки[Индекс13],0)),"")</f>
        <v>Launcher 6F EBU 4.0</v>
      </c>
      <c r="AF27" s="4" t="s">
        <v>6</v>
      </c>
      <c r="AG27" s="4" t="s">
        <v>161</v>
      </c>
    </row>
    <row r="28" spans="1:33">
      <c r="A28">
        <v>27</v>
      </c>
      <c r="B28" t="s">
        <v>4</v>
      </c>
      <c r="C28" t="s">
        <v>408</v>
      </c>
      <c r="E28" s="142">
        <f>IF(ISNUMBER(SEARCH('Карта учёта'!$B$13,Расходка[[#This Row],[Наименование расходного материала]])),MAX($E$1:E27)+1,0)</f>
        <v>0</v>
      </c>
      <c r="F28" s="142">
        <f>IF(ISNUMBER(SEARCH('Карта учёта'!$B$14,Расходка[[#This Row],[Наименование расходного материала]])),MAX($F$1:F27)+1,0)</f>
        <v>0</v>
      </c>
      <c r="G28" s="142">
        <f>IF(ISNUMBER(SEARCH('Карта учёта'!$B$15,Расходка[Наименование расходного материала])),MAX($G$1:G27)+1,0)</f>
        <v>0</v>
      </c>
      <c r="H28" s="142">
        <f>IF(ISNUMBER(SEARCH('Карта учёта'!$B$16,Расходка[Наименование расходного материала])),MAX($H$1:H27)+1,0)</f>
        <v>0</v>
      </c>
      <c r="I28" s="142">
        <f>IF(ISNUMBER(SEARCH('Карта учёта'!$B$17,Расходка[Наименование расходного материала])),MAX($I$1:I27)+1,0)</f>
        <v>0</v>
      </c>
      <c r="J28" s="142">
        <f>IF(ISNUMBER(SEARCH('Карта учёта'!$B$18,Расходка[Наименование расходного материала])),MAX($J$1:J27)+1,0)</f>
        <v>0</v>
      </c>
      <c r="K28" s="142">
        <f>IF(ISNUMBER(SEARCH('Карта учёта'!$B$19,Расходка[Наименование расходного материала])),MAX($K$1:K27)+1,0)</f>
        <v>0</v>
      </c>
      <c r="L28" s="142">
        <f>IF(ISNUMBER(SEARCH('Карта учёта'!$B$20,Расходка[Наименование расходного материала])),MAX($L$1:L27)+1,0)</f>
        <v>27</v>
      </c>
      <c r="M28" s="142">
        <f>IF(ISNUMBER(SEARCH('Карта учёта'!$B$21,Расходка[Наименование расходного материала])),MAX($M$1:M27)+1,0)</f>
        <v>27</v>
      </c>
      <c r="N28" s="142">
        <f>IF(ISNUMBER(SEARCH('Карта учёта'!$B$22,Расходка[Наименование расходного материала])),MAX($N$1:N27)+1,0)</f>
        <v>27</v>
      </c>
      <c r="O28" s="142">
        <f>IF(ISNUMBER(SEARCH('Карта учёта'!$B$23,Расходка[Наименование расходного материала])),MAX($O$1:O27)+1,0)</f>
        <v>27</v>
      </c>
      <c r="P28" s="142">
        <f>IF(ISNUMBER(SEARCH('Карта учёта'!$B$24,Расходка[Наименование расходного материала])),MAX($P$1:P27)+1,0)</f>
        <v>27</v>
      </c>
      <c r="Q28" s="142">
        <f>IF(ISNUMBER(SEARCH('Карта учёта'!$B$25,Расходка[Наименование расходного материала])),MAX($Q$1:Q27)+1,0)</f>
        <v>27</v>
      </c>
      <c r="R28" s="144" t="str">
        <f>IFERROR(INDEX(Расходка[Наименование расходного материала],MATCH(Расходка[№],Поиск_расходки[Индекс1],0)),"")</f>
        <v/>
      </c>
      <c r="S28" s="144" t="str">
        <f>IFERROR(INDEX(Расходка[Наименование расходного материала],MATCH(Расходка[№],Поиск_расходки[Индекс2],0)),"")</f>
        <v/>
      </c>
      <c r="T28" s="144" t="str">
        <f>IFERROR(INDEX(Расходка[Наименование расходного материала],MATCH(Расходка[№],Поиск_расходки[Индекс3],0)),"")</f>
        <v/>
      </c>
      <c r="U28" s="144" t="str">
        <f>IFERROR(INDEX(Расходка[Наименование расходного материала],MATCH(Расходка[№],Поиск_расходки[Индекс4],0)),"")</f>
        <v/>
      </c>
      <c r="V28" s="144" t="str">
        <f>IFERROR(INDEX(Расходка[Наименование расходного материала],MATCH(Расходка[№],Поиск_расходки[Индекс5],0)),"")</f>
        <v/>
      </c>
      <c r="W28" s="144" t="str">
        <f>IFERROR(INDEX(Расходка[Наименование расходного материала],MATCH(Расходка[№],Поиск_расходки[Индекс6],0)),"")</f>
        <v/>
      </c>
      <c r="X28" s="144" t="str">
        <f>IFERROR(INDEX(Расходка[Наименование расходного материала],MATCH(Расходка[№],Поиск_расходки[Индекс7],0)),"")</f>
        <v/>
      </c>
      <c r="Y28" s="144" t="str">
        <f>IFERROR(INDEX(Расходка[Наименование расходного материала],MATCH(Расходка[№],Поиск_расходки[Индекс8],0)),"")</f>
        <v>Launcher 6F JL 3.5</v>
      </c>
      <c r="Z28" s="144" t="str">
        <f>IFERROR(INDEX(Расходка[Наименование расходного материала],MATCH(Расходка[№],Поиск_расходки[Индекс9],0)),"")</f>
        <v>Launcher 6F JL 3.5</v>
      </c>
      <c r="AA28" s="144" t="str">
        <f>IFERROR(INDEX(Расходка[Наименование расходного материала],MATCH(Расходка[№],Поиск_расходки[Индекс10],0)),"")</f>
        <v>Launcher 6F JL 3.5</v>
      </c>
      <c r="AB28" s="144" t="str">
        <f>IFERROR(INDEX(Расходка[Наименование расходного материала],MATCH(Расходка[№],Поиск_расходки[Индекс11],0)),"")</f>
        <v>Launcher 6F JL 3.5</v>
      </c>
      <c r="AC28" s="144" t="str">
        <f>IFERROR(INDEX(Расходка[Наименование расходного материала],MATCH(Расходка[№],Поиск_расходки[Индекс12],0)),"")</f>
        <v>Launcher 6F JL 3.5</v>
      </c>
      <c r="AD28" s="144" t="str">
        <f>IFERROR(INDEX(Расходка[Наименование расходного материала],MATCH(Расходка[№],Поиск_расходки[Индекс13],0)),"")</f>
        <v>Launcher 6F JL 3.5</v>
      </c>
      <c r="AF28" s="4" t="s">
        <v>6</v>
      </c>
      <c r="AG28" s="4" t="s">
        <v>424</v>
      </c>
    </row>
    <row r="29" spans="1:33">
      <c r="A29">
        <v>28</v>
      </c>
      <c r="B29" t="s">
        <v>4</v>
      </c>
      <c r="C29" t="s">
        <v>409</v>
      </c>
      <c r="E29" s="142">
        <f>IF(ISNUMBER(SEARCH('Карта учёта'!$B$13,Расходка[[#This Row],[Наименование расходного материала]])),MAX($E$1:E28)+1,0)</f>
        <v>0</v>
      </c>
      <c r="F29" s="142">
        <f>IF(ISNUMBER(SEARCH('Карта учёта'!$B$14,Расходка[[#This Row],[Наименование расходного материала]])),MAX($F$1:F28)+1,0)</f>
        <v>0</v>
      </c>
      <c r="G29" s="142">
        <f>IF(ISNUMBER(SEARCH('Карта учёта'!$B$15,Расходка[Наименование расходного материала])),MAX($G$1:G28)+1,0)</f>
        <v>0</v>
      </c>
      <c r="H29" s="142">
        <f>IF(ISNUMBER(SEARCH('Карта учёта'!$B$16,Расходка[Наименование расходного материала])),MAX($H$1:H28)+1,0)</f>
        <v>0</v>
      </c>
      <c r="I29" s="142">
        <f>IF(ISNUMBER(SEARCH('Карта учёта'!$B$17,Расходка[Наименование расходного материала])),MAX($I$1:I28)+1,0)</f>
        <v>0</v>
      </c>
      <c r="J29" s="142">
        <f>IF(ISNUMBER(SEARCH('Карта учёта'!$B$18,Расходка[Наименование расходного материала])),MAX($J$1:J28)+1,0)</f>
        <v>0</v>
      </c>
      <c r="K29" s="142">
        <f>IF(ISNUMBER(SEARCH('Карта учёта'!$B$19,Расходка[Наименование расходного материала])),MAX($K$1:K28)+1,0)</f>
        <v>0</v>
      </c>
      <c r="L29" s="142">
        <f>IF(ISNUMBER(SEARCH('Карта учёта'!$B$20,Расходка[Наименование расходного материала])),MAX($L$1:L28)+1,0)</f>
        <v>28</v>
      </c>
      <c r="M29" s="142">
        <f>IF(ISNUMBER(SEARCH('Карта учёта'!$B$21,Расходка[Наименование расходного материала])),MAX($M$1:M28)+1,0)</f>
        <v>28</v>
      </c>
      <c r="N29" s="142">
        <f>IF(ISNUMBER(SEARCH('Карта учёта'!$B$22,Расходка[Наименование расходного материала])),MAX($N$1:N28)+1,0)</f>
        <v>28</v>
      </c>
      <c r="O29" s="142">
        <f>IF(ISNUMBER(SEARCH('Карта учёта'!$B$23,Расходка[Наименование расходного материала])),MAX($O$1:O28)+1,0)</f>
        <v>28</v>
      </c>
      <c r="P29" s="142">
        <f>IF(ISNUMBER(SEARCH('Карта учёта'!$B$24,Расходка[Наименование расходного материала])),MAX($P$1:P28)+1,0)</f>
        <v>28</v>
      </c>
      <c r="Q29" s="142">
        <f>IF(ISNUMBER(SEARCH('Карта учёта'!$B$25,Расходка[Наименование расходного материала])),MAX($Q$1:Q28)+1,0)</f>
        <v>28</v>
      </c>
      <c r="R29" s="144" t="str">
        <f>IFERROR(INDEX(Расходка[Наименование расходного материала],MATCH(Расходка[№],Поиск_расходки[Индекс1],0)),"")</f>
        <v/>
      </c>
      <c r="S29" s="144" t="str">
        <f>IFERROR(INDEX(Расходка[Наименование расходного материала],MATCH(Расходка[№],Поиск_расходки[Индекс2],0)),"")</f>
        <v/>
      </c>
      <c r="T29" s="144" t="str">
        <f>IFERROR(INDEX(Расходка[Наименование расходного материала],MATCH(Расходка[№],Поиск_расходки[Индекс3],0)),"")</f>
        <v/>
      </c>
      <c r="U29" s="144" t="str">
        <f>IFERROR(INDEX(Расходка[Наименование расходного материала],MATCH(Расходка[№],Поиск_расходки[Индекс4],0)),"")</f>
        <v/>
      </c>
      <c r="V29" s="144" t="str">
        <f>IFERROR(INDEX(Расходка[Наименование расходного материала],MATCH(Расходка[№],Поиск_расходки[Индекс5],0)),"")</f>
        <v/>
      </c>
      <c r="W29" s="144" t="str">
        <f>IFERROR(INDEX(Расходка[Наименование расходного материала],MATCH(Расходка[№],Поиск_расходки[Индекс6],0)),"")</f>
        <v/>
      </c>
      <c r="X29" s="144" t="str">
        <f>IFERROR(INDEX(Расходка[Наименование расходного материала],MATCH(Расходка[№],Поиск_расходки[Индекс7],0)),"")</f>
        <v/>
      </c>
      <c r="Y29" s="144" t="str">
        <f>IFERROR(INDEX(Расходка[Наименование расходного материала],MATCH(Расходка[№],Поиск_расходки[Индекс8],0)),"")</f>
        <v>Launcher 6F JL 4.0</v>
      </c>
      <c r="Z29" s="144" t="str">
        <f>IFERROR(INDEX(Расходка[Наименование расходного материала],MATCH(Расходка[№],Поиск_расходки[Индекс9],0)),"")</f>
        <v>Launcher 6F JL 4.0</v>
      </c>
      <c r="AA29" s="144" t="str">
        <f>IFERROR(INDEX(Расходка[Наименование расходного материала],MATCH(Расходка[№],Поиск_расходки[Индекс10],0)),"")</f>
        <v>Launcher 6F JL 4.0</v>
      </c>
      <c r="AB29" s="144" t="str">
        <f>IFERROR(INDEX(Расходка[Наименование расходного материала],MATCH(Расходка[№],Поиск_расходки[Индекс11],0)),"")</f>
        <v>Launcher 6F JL 4.0</v>
      </c>
      <c r="AC29" s="144" t="str">
        <f>IFERROR(INDEX(Расходка[Наименование расходного материала],MATCH(Расходка[№],Поиск_расходки[Индекс12],0)),"")</f>
        <v>Launcher 6F JL 4.0</v>
      </c>
      <c r="AD29" s="144" t="str">
        <f>IFERROR(INDEX(Расходка[Наименование расходного материала],MATCH(Расходка[№],Поиск_расходки[Индекс13],0)),"")</f>
        <v>Launcher 6F JL 4.0</v>
      </c>
      <c r="AF29" s="4" t="s">
        <v>6</v>
      </c>
      <c r="AG29" s="4" t="s">
        <v>436</v>
      </c>
    </row>
    <row r="30" spans="1:33">
      <c r="A30">
        <v>29</v>
      </c>
      <c r="B30" t="s">
        <v>4</v>
      </c>
      <c r="C30" t="s">
        <v>415</v>
      </c>
      <c r="E30" s="142">
        <f>IF(ISNUMBER(SEARCH('Карта учёта'!$B$13,Расходка[[#This Row],[Наименование расходного материала]])),MAX($E$1:E29)+1,0)</f>
        <v>0</v>
      </c>
      <c r="F30" s="142">
        <f>IF(ISNUMBER(SEARCH('Карта учёта'!$B$14,Расходка[[#This Row],[Наименование расходного материала]])),MAX($F$1:F29)+1,0)</f>
        <v>0</v>
      </c>
      <c r="G30" s="142">
        <f>IF(ISNUMBER(SEARCH('Карта учёта'!$B$15,Расходка[Наименование расходного материала])),MAX($G$1:G29)+1,0)</f>
        <v>0</v>
      </c>
      <c r="H30" s="142">
        <f>IF(ISNUMBER(SEARCH('Карта учёта'!$B$16,Расходка[Наименование расходного материала])),MAX($H$1:H29)+1,0)</f>
        <v>0</v>
      </c>
      <c r="I30" s="142">
        <f>IF(ISNUMBER(SEARCH('Карта учёта'!$B$17,Расходка[Наименование расходного материала])),MAX($I$1:I29)+1,0)</f>
        <v>0</v>
      </c>
      <c r="J30" s="142">
        <f>IF(ISNUMBER(SEARCH('Карта учёта'!$B$18,Расходка[Наименование расходного материала])),MAX($J$1:J29)+1,0)</f>
        <v>0</v>
      </c>
      <c r="K30" s="142">
        <f>IF(ISNUMBER(SEARCH('Карта учёта'!$B$19,Расходка[Наименование расходного материала])),MAX($K$1:K29)+1,0)</f>
        <v>0</v>
      </c>
      <c r="L30" s="142">
        <f>IF(ISNUMBER(SEARCH('Карта учёта'!$B$20,Расходка[Наименование расходного материала])),MAX($L$1:L29)+1,0)</f>
        <v>29</v>
      </c>
      <c r="M30" s="142">
        <f>IF(ISNUMBER(SEARCH('Карта учёта'!$B$21,Расходка[Наименование расходного материала])),MAX($M$1:M29)+1,0)</f>
        <v>29</v>
      </c>
      <c r="N30" s="142">
        <f>IF(ISNUMBER(SEARCH('Карта учёта'!$B$22,Расходка[Наименование расходного материала])),MAX($N$1:N29)+1,0)</f>
        <v>29</v>
      </c>
      <c r="O30" s="142">
        <f>IF(ISNUMBER(SEARCH('Карта учёта'!$B$23,Расходка[Наименование расходного материала])),MAX($O$1:O29)+1,0)</f>
        <v>29</v>
      </c>
      <c r="P30" s="142">
        <f>IF(ISNUMBER(SEARCH('Карта учёта'!$B$24,Расходка[Наименование расходного материала])),MAX($P$1:P29)+1,0)</f>
        <v>29</v>
      </c>
      <c r="Q30" s="142">
        <f>IF(ISNUMBER(SEARCH('Карта учёта'!$B$25,Расходка[Наименование расходного материала])),MAX($Q$1:Q29)+1,0)</f>
        <v>29</v>
      </c>
      <c r="R30" s="144" t="str">
        <f>IFERROR(INDEX(Расходка[Наименование расходного материала],MATCH(Расходка[№],Поиск_расходки[Индекс1],0)),"")</f>
        <v/>
      </c>
      <c r="S30" s="144" t="str">
        <f>IFERROR(INDEX(Расходка[Наименование расходного материала],MATCH(Расходка[№],Поиск_расходки[Индекс2],0)),"")</f>
        <v/>
      </c>
      <c r="T30" s="144" t="str">
        <f>IFERROR(INDEX(Расходка[Наименование расходного материала],MATCH(Расходка[№],Поиск_расходки[Индекс3],0)),"")</f>
        <v/>
      </c>
      <c r="U30" s="144" t="str">
        <f>IFERROR(INDEX(Расходка[Наименование расходного материала],MATCH(Расходка[№],Поиск_расходки[Индекс4],0)),"")</f>
        <v/>
      </c>
      <c r="V30" s="144" t="str">
        <f>IFERROR(INDEX(Расходка[Наименование расходного материала],MATCH(Расходка[№],Поиск_расходки[Индекс5],0)),"")</f>
        <v/>
      </c>
      <c r="W30" s="144" t="str">
        <f>IFERROR(INDEX(Расходка[Наименование расходного материала],MATCH(Расходка[№],Поиск_расходки[Индекс6],0)),"")</f>
        <v/>
      </c>
      <c r="X30" s="144" t="str">
        <f>IFERROR(INDEX(Расходка[Наименование расходного материала],MATCH(Расходка[№],Поиск_расходки[Индекс7],0)),"")</f>
        <v/>
      </c>
      <c r="Y30" s="144" t="str">
        <f>IFERROR(INDEX(Расходка[Наименование расходного материала],MATCH(Расходка[№],Поиск_расходки[Индекс8],0)),"")</f>
        <v>Launcher 6F JL 4.5</v>
      </c>
      <c r="Z30" s="144" t="str">
        <f>IFERROR(INDEX(Расходка[Наименование расходного материала],MATCH(Расходка[№],Поиск_расходки[Индекс9],0)),"")</f>
        <v>Launcher 6F JL 4.5</v>
      </c>
      <c r="AA30" s="144" t="str">
        <f>IFERROR(INDEX(Расходка[Наименование расходного материала],MATCH(Расходка[№],Поиск_расходки[Индекс10],0)),"")</f>
        <v>Launcher 6F JL 4.5</v>
      </c>
      <c r="AB30" s="144" t="str">
        <f>IFERROR(INDEX(Расходка[Наименование расходного материала],MATCH(Расходка[№],Поиск_расходки[Индекс11],0)),"")</f>
        <v>Launcher 6F JL 4.5</v>
      </c>
      <c r="AC30" s="144" t="str">
        <f>IFERROR(INDEX(Расходка[Наименование расходного материала],MATCH(Расходка[№],Поиск_расходки[Индекс12],0)),"")</f>
        <v>Launcher 6F JL 4.5</v>
      </c>
      <c r="AD30" s="144" t="str">
        <f>IFERROR(INDEX(Расходка[Наименование расходного материала],MATCH(Расходка[№],Поиск_расходки[Индекс13],0)),"")</f>
        <v>Launcher 6F JL 4.5</v>
      </c>
      <c r="AF30" s="4" t="s">
        <v>6</v>
      </c>
      <c r="AG30" s="4" t="s">
        <v>162</v>
      </c>
    </row>
    <row r="31" spans="1:33">
      <c r="A31">
        <v>30</v>
      </c>
      <c r="B31" t="s">
        <v>4</v>
      </c>
      <c r="C31" t="s">
        <v>410</v>
      </c>
      <c r="E31" s="142">
        <f>IF(ISNUMBER(SEARCH('Карта учёта'!$B$13,Расходка[[#This Row],[Наименование расходного материала]])),MAX($E$1:E30)+1,0)</f>
        <v>0</v>
      </c>
      <c r="F31" s="142">
        <f>IF(ISNUMBER(SEARCH('Карта учёта'!$B$14,Расходка[[#This Row],[Наименование расходного материала]])),MAX($F$1:F30)+1,0)</f>
        <v>0</v>
      </c>
      <c r="G31" s="142">
        <f>IF(ISNUMBER(SEARCH('Карта учёта'!$B$15,Расходка[Наименование расходного материала])),MAX($G$1:G30)+1,0)</f>
        <v>0</v>
      </c>
      <c r="H31" s="142">
        <f>IF(ISNUMBER(SEARCH('Карта учёта'!$B$16,Расходка[Наименование расходного материала])),MAX($H$1:H30)+1,0)</f>
        <v>0</v>
      </c>
      <c r="I31" s="142">
        <f>IF(ISNUMBER(SEARCH('Карта учёта'!$B$17,Расходка[Наименование расходного материала])),MAX($I$1:I30)+1,0)</f>
        <v>0</v>
      </c>
      <c r="J31" s="142">
        <f>IF(ISNUMBER(SEARCH('Карта учёта'!$B$18,Расходка[Наименование расходного материала])),MAX($J$1:J30)+1,0)</f>
        <v>0</v>
      </c>
      <c r="K31" s="142">
        <f>IF(ISNUMBER(SEARCH('Карта учёта'!$B$19,Расходка[Наименование расходного материала])),MAX($K$1:K30)+1,0)</f>
        <v>0</v>
      </c>
      <c r="L31" s="142">
        <f>IF(ISNUMBER(SEARCH('Карта учёта'!$B$20,Расходка[Наименование расходного материала])),MAX($L$1:L30)+1,0)</f>
        <v>30</v>
      </c>
      <c r="M31" s="142">
        <f>IF(ISNUMBER(SEARCH('Карта учёта'!$B$21,Расходка[Наименование расходного материала])),MAX($M$1:M30)+1,0)</f>
        <v>30</v>
      </c>
      <c r="N31" s="142">
        <f>IF(ISNUMBER(SEARCH('Карта учёта'!$B$22,Расходка[Наименование расходного материала])),MAX($N$1:N30)+1,0)</f>
        <v>30</v>
      </c>
      <c r="O31" s="142">
        <f>IF(ISNUMBER(SEARCH('Карта учёта'!$B$23,Расходка[Наименование расходного материала])),MAX($O$1:O30)+1,0)</f>
        <v>30</v>
      </c>
      <c r="P31" s="142">
        <f>IF(ISNUMBER(SEARCH('Карта учёта'!$B$24,Расходка[Наименование расходного материала])),MAX($P$1:P30)+1,0)</f>
        <v>30</v>
      </c>
      <c r="Q31" s="142">
        <f>IF(ISNUMBER(SEARCH('Карта учёта'!$B$25,Расходка[Наименование расходного материала])),MAX($Q$1:Q30)+1,0)</f>
        <v>30</v>
      </c>
      <c r="R31" s="144" t="str">
        <f>IFERROR(INDEX(Расходка[Наименование расходного материала],MATCH(Расходка[№],Поиск_расходки[Индекс1],0)),"")</f>
        <v/>
      </c>
      <c r="S31" s="144" t="str">
        <f>IFERROR(INDEX(Расходка[Наименование расходного материала],MATCH(Расходка[№],Поиск_расходки[Индекс2],0)),"")</f>
        <v/>
      </c>
      <c r="T31" s="144" t="str">
        <f>IFERROR(INDEX(Расходка[Наименование расходного материала],MATCH(Расходка[№],Поиск_расходки[Индекс3],0)),"")</f>
        <v/>
      </c>
      <c r="U31" s="144" t="str">
        <f>IFERROR(INDEX(Расходка[Наименование расходного материала],MATCH(Расходка[№],Поиск_расходки[Индекс4],0)),"")</f>
        <v/>
      </c>
      <c r="V31" s="144" t="str">
        <f>IFERROR(INDEX(Расходка[Наименование расходного материала],MATCH(Расходка[№],Поиск_расходки[Индекс5],0)),"")</f>
        <v/>
      </c>
      <c r="W31" s="144" t="str">
        <f>IFERROR(INDEX(Расходка[Наименование расходного материала],MATCH(Расходка[№],Поиск_расходки[Индекс6],0)),"")</f>
        <v/>
      </c>
      <c r="X31" s="144" t="str">
        <f>IFERROR(INDEX(Расходка[Наименование расходного материала],MATCH(Расходка[№],Поиск_расходки[Индекс7],0)),"")</f>
        <v/>
      </c>
      <c r="Y31" s="144" t="str">
        <f>IFERROR(INDEX(Расходка[Наименование расходного материала],MATCH(Расходка[№],Поиск_расходки[Индекс8],0)),"")</f>
        <v>Launcher 6F JR 3.5</v>
      </c>
      <c r="Z31" s="144" t="str">
        <f>IFERROR(INDEX(Расходка[Наименование расходного материала],MATCH(Расходка[№],Поиск_расходки[Индекс9],0)),"")</f>
        <v>Launcher 6F JR 3.5</v>
      </c>
      <c r="AA31" s="144" t="str">
        <f>IFERROR(INDEX(Расходка[Наименование расходного материала],MATCH(Расходка[№],Поиск_расходки[Индекс10],0)),"")</f>
        <v>Launcher 6F JR 3.5</v>
      </c>
      <c r="AB31" s="144" t="str">
        <f>IFERROR(INDEX(Расходка[Наименование расходного материала],MATCH(Расходка[№],Поиск_расходки[Индекс11],0)),"")</f>
        <v>Launcher 6F JR 3.5</v>
      </c>
      <c r="AC31" s="144" t="str">
        <f>IFERROR(INDEX(Расходка[Наименование расходного материала],MATCH(Расходка[№],Поиск_расходки[Индекс12],0)),"")</f>
        <v>Launcher 6F JR 3.5</v>
      </c>
      <c r="AD31" s="144" t="str">
        <f>IFERROR(INDEX(Расходка[Наименование расходного материала],MATCH(Расходка[№],Поиск_расходки[Индекс13],0)),"")</f>
        <v>Launcher 6F JR 3.5</v>
      </c>
      <c r="AF31" s="4" t="s">
        <v>6</v>
      </c>
      <c r="AG31" s="4" t="s">
        <v>165</v>
      </c>
    </row>
    <row r="32" spans="1:33">
      <c r="A32">
        <v>31</v>
      </c>
      <c r="B32" t="s">
        <v>4</v>
      </c>
      <c r="C32" t="s">
        <v>411</v>
      </c>
      <c r="E32" s="142">
        <f>IF(ISNUMBER(SEARCH('Карта учёта'!$B$13,Расходка[[#This Row],[Наименование расходного материала]])),MAX($E$1:E31)+1,0)</f>
        <v>0</v>
      </c>
      <c r="F32" s="142">
        <f>IF(ISNUMBER(SEARCH('Карта учёта'!$B$14,Расходка[[#This Row],[Наименование расходного материала]])),MAX($F$1:F31)+1,0)</f>
        <v>0</v>
      </c>
      <c r="G32" s="142">
        <f>IF(ISNUMBER(SEARCH('Карта учёта'!$B$15,Расходка[Наименование расходного материала])),MAX($G$1:G31)+1,0)</f>
        <v>0</v>
      </c>
      <c r="H32" s="142">
        <f>IF(ISNUMBER(SEARCH('Карта учёта'!$B$16,Расходка[Наименование расходного материала])),MAX($H$1:H31)+1,0)</f>
        <v>0</v>
      </c>
      <c r="I32" s="142">
        <f>IF(ISNUMBER(SEARCH('Карта учёта'!$B$17,Расходка[Наименование расходного материала])),MAX($I$1:I31)+1,0)</f>
        <v>0</v>
      </c>
      <c r="J32" s="142">
        <f>IF(ISNUMBER(SEARCH('Карта учёта'!$B$18,Расходка[Наименование расходного материала])),MAX($J$1:J31)+1,0)</f>
        <v>0</v>
      </c>
      <c r="K32" s="142">
        <f>IF(ISNUMBER(SEARCH('Карта учёта'!$B$19,Расходка[Наименование расходного материала])),MAX($K$1:K31)+1,0)</f>
        <v>0</v>
      </c>
      <c r="L32" s="142">
        <f>IF(ISNUMBER(SEARCH('Карта учёта'!$B$20,Расходка[Наименование расходного материала])),MAX($L$1:L31)+1,0)</f>
        <v>31</v>
      </c>
      <c r="M32" s="142">
        <f>IF(ISNUMBER(SEARCH('Карта учёта'!$B$21,Расходка[Наименование расходного материала])),MAX($M$1:M31)+1,0)</f>
        <v>31</v>
      </c>
      <c r="N32" s="142">
        <f>IF(ISNUMBER(SEARCH('Карта учёта'!$B$22,Расходка[Наименование расходного материала])),MAX($N$1:N31)+1,0)</f>
        <v>31</v>
      </c>
      <c r="O32" s="142">
        <f>IF(ISNUMBER(SEARCH('Карта учёта'!$B$23,Расходка[Наименование расходного материала])),MAX($O$1:O31)+1,0)</f>
        <v>31</v>
      </c>
      <c r="P32" s="142">
        <f>IF(ISNUMBER(SEARCH('Карта учёта'!$B$24,Расходка[Наименование расходного материала])),MAX($P$1:P31)+1,0)</f>
        <v>31</v>
      </c>
      <c r="Q32" s="142">
        <f>IF(ISNUMBER(SEARCH('Карта учёта'!$B$25,Расходка[Наименование расходного материала])),MAX($Q$1:Q31)+1,0)</f>
        <v>31</v>
      </c>
      <c r="R32" s="144" t="str">
        <f>IFERROR(INDEX(Расходка[Наименование расходного материала],MATCH(Расходка[№],Поиск_расходки[Индекс1],0)),"")</f>
        <v/>
      </c>
      <c r="S32" s="144" t="str">
        <f>IFERROR(INDEX(Расходка[Наименование расходного материала],MATCH(Расходка[№],Поиск_расходки[Индекс2],0)),"")</f>
        <v/>
      </c>
      <c r="T32" s="144" t="str">
        <f>IFERROR(INDEX(Расходка[Наименование расходного материала],MATCH(Расходка[№],Поиск_расходки[Индекс3],0)),"")</f>
        <v/>
      </c>
      <c r="U32" s="144" t="str">
        <f>IFERROR(INDEX(Расходка[Наименование расходного материала],MATCH(Расходка[№],Поиск_расходки[Индекс4],0)),"")</f>
        <v/>
      </c>
      <c r="V32" s="144" t="str">
        <f>IFERROR(INDEX(Расходка[Наименование расходного материала],MATCH(Расходка[№],Поиск_расходки[Индекс5],0)),"")</f>
        <v/>
      </c>
      <c r="W32" s="144" t="str">
        <f>IFERROR(INDEX(Расходка[Наименование расходного материала],MATCH(Расходка[№],Поиск_расходки[Индекс6],0)),"")</f>
        <v/>
      </c>
      <c r="X32" s="144" t="str">
        <f>IFERROR(INDEX(Расходка[Наименование расходного материала],MATCH(Расходка[№],Поиск_расходки[Индекс7],0)),"")</f>
        <v/>
      </c>
      <c r="Y32" s="144" t="str">
        <f>IFERROR(INDEX(Расходка[Наименование расходного материала],MATCH(Расходка[№],Поиск_расходки[Индекс8],0)),"")</f>
        <v>Launcher 6F JR 4.0</v>
      </c>
      <c r="Z32" s="144" t="str">
        <f>IFERROR(INDEX(Расходка[Наименование расходного материала],MATCH(Расходка[№],Поиск_расходки[Индекс9],0)),"")</f>
        <v>Launcher 6F JR 4.0</v>
      </c>
      <c r="AA32" s="144" t="str">
        <f>IFERROR(INDEX(Расходка[Наименование расходного материала],MATCH(Расходка[№],Поиск_расходки[Индекс10],0)),"")</f>
        <v>Launcher 6F JR 4.0</v>
      </c>
      <c r="AB32" s="144" t="str">
        <f>IFERROR(INDEX(Расходка[Наименование расходного материала],MATCH(Расходка[№],Поиск_расходки[Индекс11],0)),"")</f>
        <v>Launcher 6F JR 4.0</v>
      </c>
      <c r="AC32" s="144" t="str">
        <f>IFERROR(INDEX(Расходка[Наименование расходного материала],MATCH(Расходка[№],Поиск_расходки[Индекс12],0)),"")</f>
        <v>Launcher 6F JR 4.0</v>
      </c>
      <c r="AD32" s="144" t="str">
        <f>IFERROR(INDEX(Расходка[Наименование расходного материала],MATCH(Расходка[№],Поиск_расходки[Индекс13],0)),"")</f>
        <v>Launcher 6F JR 4.0</v>
      </c>
      <c r="AF32" s="4" t="s">
        <v>6</v>
      </c>
      <c r="AG32" s="4" t="s">
        <v>167</v>
      </c>
    </row>
    <row r="33" spans="1:33">
      <c r="A33">
        <v>32</v>
      </c>
      <c r="B33" t="s">
        <v>4</v>
      </c>
      <c r="C33" t="s">
        <v>422</v>
      </c>
      <c r="E33" s="142">
        <f>IF(ISNUMBER(SEARCH('Карта учёта'!$B$13,Расходка[[#This Row],[Наименование расходного материала]])),MAX($E$1:E32)+1,0)</f>
        <v>0</v>
      </c>
      <c r="F33" s="142">
        <f>IF(ISNUMBER(SEARCH('Карта учёта'!$B$14,Расходка[[#This Row],[Наименование расходного материала]])),MAX($F$1:F32)+1,0)</f>
        <v>0</v>
      </c>
      <c r="G33" s="142">
        <f>IF(ISNUMBER(SEARCH('Карта учёта'!$B$15,Расходка[Наименование расходного материала])),MAX($G$1:G32)+1,0)</f>
        <v>0</v>
      </c>
      <c r="H33" s="142">
        <f>IF(ISNUMBER(SEARCH('Карта учёта'!$B$16,Расходка[Наименование расходного материала])),MAX($H$1:H32)+1,0)</f>
        <v>0</v>
      </c>
      <c r="I33" s="142">
        <f>IF(ISNUMBER(SEARCH('Карта учёта'!$B$17,Расходка[Наименование расходного материала])),MAX($I$1:I32)+1,0)</f>
        <v>0</v>
      </c>
      <c r="J33" s="142">
        <f>IF(ISNUMBER(SEARCH('Карта учёта'!$B$18,Расходка[Наименование расходного материала])),MAX($J$1:J32)+1,0)</f>
        <v>0</v>
      </c>
      <c r="K33" s="142">
        <f>IF(ISNUMBER(SEARCH('Карта учёта'!$B$19,Расходка[Наименование расходного материала])),MAX($K$1:K32)+1,0)</f>
        <v>0</v>
      </c>
      <c r="L33" s="142">
        <f>IF(ISNUMBER(SEARCH('Карта учёта'!$B$20,Расходка[Наименование расходного материала])),MAX($L$1:L32)+1,0)</f>
        <v>32</v>
      </c>
      <c r="M33" s="142">
        <f>IF(ISNUMBER(SEARCH('Карта учёта'!$B$21,Расходка[Наименование расходного материала])),MAX($M$1:M32)+1,0)</f>
        <v>32</v>
      </c>
      <c r="N33" s="142">
        <f>IF(ISNUMBER(SEARCH('Карта учёта'!$B$22,Расходка[Наименование расходного материала])),MAX($N$1:N32)+1,0)</f>
        <v>32</v>
      </c>
      <c r="O33" s="142">
        <f>IF(ISNUMBER(SEARCH('Карта учёта'!$B$23,Расходка[Наименование расходного материала])),MAX($O$1:O32)+1,0)</f>
        <v>32</v>
      </c>
      <c r="P33" s="142">
        <f>IF(ISNUMBER(SEARCH('Карта учёта'!$B$24,Расходка[Наименование расходного материала])),MAX($P$1:P32)+1,0)</f>
        <v>32</v>
      </c>
      <c r="Q33" s="142">
        <f>IF(ISNUMBER(SEARCH('Карта учёта'!$B$25,Расходка[Наименование расходного материала])),MAX($Q$1:Q32)+1,0)</f>
        <v>32</v>
      </c>
      <c r="R33" s="144" t="str">
        <f>IFERROR(INDEX(Расходка[Наименование расходного материала],MATCH(Расходка[№],Поиск_расходки[Индекс1],0)),"")</f>
        <v/>
      </c>
      <c r="S33" s="144" t="str">
        <f>IFERROR(INDEX(Расходка[Наименование расходного материала],MATCH(Расходка[№],Поиск_расходки[Индекс2],0)),"")</f>
        <v/>
      </c>
      <c r="T33" s="144" t="str">
        <f>IFERROR(INDEX(Расходка[Наименование расходного материала],MATCH(Расходка[№],Поиск_расходки[Индекс3],0)),"")</f>
        <v/>
      </c>
      <c r="U33" s="144" t="str">
        <f>IFERROR(INDEX(Расходка[Наименование расходного материала],MATCH(Расходка[№],Поиск_расходки[Индекс4],0)),"")</f>
        <v/>
      </c>
      <c r="V33" s="144" t="str">
        <f>IFERROR(INDEX(Расходка[Наименование расходного материала],MATCH(Расходка[№],Поиск_расходки[Индекс5],0)),"")</f>
        <v/>
      </c>
      <c r="W33" s="144" t="str">
        <f>IFERROR(INDEX(Расходка[Наименование расходного материала],MATCH(Расходка[№],Поиск_расходки[Индекс6],0)),"")</f>
        <v/>
      </c>
      <c r="X33" s="144" t="str">
        <f>IFERROR(INDEX(Расходка[Наименование расходного материала],MATCH(Расходка[№],Поиск_расходки[Индекс7],0)),"")</f>
        <v/>
      </c>
      <c r="Y33" s="144" t="str">
        <f>IFERROR(INDEX(Расходка[Наименование расходного материала],MATCH(Расходка[№],Поиск_расходки[Индекс8],0)),"")</f>
        <v>Launcher 7F JL 3.5</v>
      </c>
      <c r="Z33" s="144" t="str">
        <f>IFERROR(INDEX(Расходка[Наименование расходного материала],MATCH(Расходка[№],Поиск_расходки[Индекс9],0)),"")</f>
        <v>Launcher 7F JL 3.5</v>
      </c>
      <c r="AA33" s="144" t="str">
        <f>IFERROR(INDEX(Расходка[Наименование расходного материала],MATCH(Расходка[№],Поиск_расходки[Индекс10],0)),"")</f>
        <v>Launcher 7F JL 3.5</v>
      </c>
      <c r="AB33" s="144" t="str">
        <f>IFERROR(INDEX(Расходка[Наименование расходного материала],MATCH(Расходка[№],Поиск_расходки[Индекс11],0)),"")</f>
        <v>Launcher 7F JL 3.5</v>
      </c>
      <c r="AC33" s="144" t="str">
        <f>IFERROR(INDEX(Расходка[Наименование расходного материала],MATCH(Расходка[№],Поиск_расходки[Индекс12],0)),"")</f>
        <v>Launcher 7F JL 3.5</v>
      </c>
      <c r="AD33" s="144" t="str">
        <f>IFERROR(INDEX(Расходка[Наименование расходного материала],MATCH(Расходка[№],Поиск_расходки[Индекс13],0)),"")</f>
        <v>Launcher 7F JL 3.5</v>
      </c>
      <c r="AF33" s="4" t="s">
        <v>6</v>
      </c>
      <c r="AG33" s="4" t="s">
        <v>439</v>
      </c>
    </row>
    <row r="34" spans="1:33">
      <c r="A34">
        <v>33</v>
      </c>
      <c r="B34" t="s">
        <v>4</v>
      </c>
      <c r="C34" t="s">
        <v>421</v>
      </c>
      <c r="E34" s="142">
        <f>IF(ISNUMBER(SEARCH('Карта учёта'!$B$13,Расходка[[#This Row],[Наименование расходного материала]])),MAX($E$1:E33)+1,0)</f>
        <v>0</v>
      </c>
      <c r="F34" s="142">
        <f>IF(ISNUMBER(SEARCH('Карта учёта'!$B$14,Расходка[[#This Row],[Наименование расходного материала]])),MAX($F$1:F33)+1,0)</f>
        <v>0</v>
      </c>
      <c r="G34" s="142">
        <f>IF(ISNUMBER(SEARCH('Карта учёта'!$B$15,Расходка[Наименование расходного материала])),MAX($G$1:G33)+1,0)</f>
        <v>0</v>
      </c>
      <c r="H34" s="142">
        <f>IF(ISNUMBER(SEARCH('Карта учёта'!$B$16,Расходка[Наименование расходного материала])),MAX($H$1:H33)+1,0)</f>
        <v>0</v>
      </c>
      <c r="I34" s="142">
        <f>IF(ISNUMBER(SEARCH('Карта учёта'!$B$17,Расходка[Наименование расходного материала])),MAX($I$1:I33)+1,0)</f>
        <v>0</v>
      </c>
      <c r="J34" s="142">
        <f>IF(ISNUMBER(SEARCH('Карта учёта'!$B$18,Расходка[Наименование расходного материала])),MAX($J$1:J33)+1,0)</f>
        <v>0</v>
      </c>
      <c r="K34" s="142">
        <f>IF(ISNUMBER(SEARCH('Карта учёта'!$B$19,Расходка[Наименование расходного материала])),MAX($K$1:K33)+1,0)</f>
        <v>0</v>
      </c>
      <c r="L34" s="142">
        <f>IF(ISNUMBER(SEARCH('Карта учёта'!$B$20,Расходка[Наименование расходного материала])),MAX($L$1:L33)+1,0)</f>
        <v>33</v>
      </c>
      <c r="M34" s="142">
        <f>IF(ISNUMBER(SEARCH('Карта учёта'!$B$21,Расходка[Наименование расходного материала])),MAX($M$1:M33)+1,0)</f>
        <v>33</v>
      </c>
      <c r="N34" s="142">
        <f>IF(ISNUMBER(SEARCH('Карта учёта'!$B$22,Расходка[Наименование расходного материала])),MAX($N$1:N33)+1,0)</f>
        <v>33</v>
      </c>
      <c r="O34" s="142">
        <f>IF(ISNUMBER(SEARCH('Карта учёта'!$B$23,Расходка[Наименование расходного материала])),MAX($O$1:O33)+1,0)</f>
        <v>33</v>
      </c>
      <c r="P34" s="142">
        <f>IF(ISNUMBER(SEARCH('Карта учёта'!$B$24,Расходка[Наименование расходного материала])),MAX($P$1:P33)+1,0)</f>
        <v>33</v>
      </c>
      <c r="Q34" s="142">
        <f>IF(ISNUMBER(SEARCH('Карта учёта'!$B$25,Расходка[Наименование расходного материала])),MAX($Q$1:Q33)+1,0)</f>
        <v>33</v>
      </c>
      <c r="R34" s="144" t="str">
        <f>IFERROR(INDEX(Расходка[Наименование расходного материала],MATCH(Расходка[№],Поиск_расходки[Индекс1],0)),"")</f>
        <v/>
      </c>
      <c r="S34" s="144" t="str">
        <f>IFERROR(INDEX(Расходка[Наименование расходного материала],MATCH(Расходка[№],Поиск_расходки[Индекс2],0)),"")</f>
        <v/>
      </c>
      <c r="T34" s="144" t="str">
        <f>IFERROR(INDEX(Расходка[Наименование расходного материала],MATCH(Расходка[№],Поиск_расходки[Индекс3],0)),"")</f>
        <v/>
      </c>
      <c r="U34" s="144" t="str">
        <f>IFERROR(INDEX(Расходка[Наименование расходного материала],MATCH(Расходка[№],Поиск_расходки[Индекс4],0)),"")</f>
        <v/>
      </c>
      <c r="V34" s="144" t="str">
        <f>IFERROR(INDEX(Расходка[Наименование расходного материала],MATCH(Расходка[№],Поиск_расходки[Индекс5],0)),"")</f>
        <v/>
      </c>
      <c r="W34" s="144" t="str">
        <f>IFERROR(INDEX(Расходка[Наименование расходного материала],MATCH(Расходка[№],Поиск_расходки[Индекс6],0)),"")</f>
        <v/>
      </c>
      <c r="X34" s="144" t="str">
        <f>IFERROR(INDEX(Расходка[Наименование расходного материала],MATCH(Расходка[№],Поиск_расходки[Индекс7],0)),"")</f>
        <v/>
      </c>
      <c r="Y34" s="144" t="str">
        <f>IFERROR(INDEX(Расходка[Наименование расходного материала],MATCH(Расходка[№],Поиск_расходки[Индекс8],0)),"")</f>
        <v>Launcher 7F JL 4.0</v>
      </c>
      <c r="Z34" s="144" t="str">
        <f>IFERROR(INDEX(Расходка[Наименование расходного материала],MATCH(Расходка[№],Поиск_расходки[Индекс9],0)),"")</f>
        <v>Launcher 7F JL 4.0</v>
      </c>
      <c r="AA34" s="144" t="str">
        <f>IFERROR(INDEX(Расходка[Наименование расходного материала],MATCH(Расходка[№],Поиск_расходки[Индекс10],0)),"")</f>
        <v>Launcher 7F JL 4.0</v>
      </c>
      <c r="AB34" s="144" t="str">
        <f>IFERROR(INDEX(Расходка[Наименование расходного материала],MATCH(Расходка[№],Поиск_расходки[Индекс11],0)),"")</f>
        <v>Launcher 7F JL 4.0</v>
      </c>
      <c r="AC34" s="144" t="str">
        <f>IFERROR(INDEX(Расходка[Наименование расходного материала],MATCH(Расходка[№],Поиск_расходки[Индекс12],0)),"")</f>
        <v>Launcher 7F JL 4.0</v>
      </c>
      <c r="AD34" s="144" t="str">
        <f>IFERROR(INDEX(Расходка[Наименование расходного материала],MATCH(Расходка[№],Поиск_расходки[Индекс13],0)),"")</f>
        <v>Launcher 7F JL 4.0</v>
      </c>
      <c r="AF34" s="4" t="s">
        <v>6</v>
      </c>
      <c r="AG34" s="4" t="s">
        <v>166</v>
      </c>
    </row>
    <row r="35" spans="1:33">
      <c r="A35">
        <v>34</v>
      </c>
      <c r="B35" t="s">
        <v>371</v>
      </c>
      <c r="C35" s="1" t="s">
        <v>412</v>
      </c>
      <c r="E35" s="142">
        <f>IF(ISNUMBER(SEARCH('Карта учёта'!$B$13,Расходка[[#This Row],[Наименование расходного материала]])),MAX($E$1:E34)+1,0)</f>
        <v>0</v>
      </c>
      <c r="F35" s="142">
        <f>IF(ISNUMBER(SEARCH('Карта учёта'!$B$14,Расходка[[#This Row],[Наименование расходного материала]])),MAX($F$1:F34)+1,0)</f>
        <v>0</v>
      </c>
      <c r="G35" s="142">
        <f>IF(ISNUMBER(SEARCH('Карта учёта'!$B$15,Расходка[Наименование расходного материала])),MAX($G$1:G34)+1,0)</f>
        <v>0</v>
      </c>
      <c r="H35" s="142">
        <f>IF(ISNUMBER(SEARCH('Карта учёта'!$B$16,Расходка[Наименование расходного материала])),MAX($H$1:H34)+1,0)</f>
        <v>0</v>
      </c>
      <c r="I35" s="142">
        <f>IF(ISNUMBER(SEARCH('Карта учёта'!$B$17,Расходка[Наименование расходного материала])),MAX($I$1:I34)+1,0)</f>
        <v>0</v>
      </c>
      <c r="J35" s="142">
        <f>IF(ISNUMBER(SEARCH('Карта учёта'!$B$18,Расходка[Наименование расходного материала])),MAX($J$1:J34)+1,0)</f>
        <v>0</v>
      </c>
      <c r="K35" s="142">
        <f>IF(ISNUMBER(SEARCH('Карта учёта'!$B$19,Расходка[Наименование расходного материала])),MAX($K$1:K34)+1,0)</f>
        <v>0</v>
      </c>
      <c r="L35" s="142">
        <f>IF(ISNUMBER(SEARCH('Карта учёта'!$B$20,Расходка[Наименование расходного материала])),MAX($L$1:L34)+1,0)</f>
        <v>34</v>
      </c>
      <c r="M35" s="142">
        <f>IF(ISNUMBER(SEARCH('Карта учёта'!$B$21,Расходка[Наименование расходного материала])),MAX($M$1:M34)+1,0)</f>
        <v>34</v>
      </c>
      <c r="N35" s="142">
        <f>IF(ISNUMBER(SEARCH('Карта учёта'!$B$22,Расходка[Наименование расходного материала])),MAX($N$1:N34)+1,0)</f>
        <v>34</v>
      </c>
      <c r="O35" s="142">
        <f>IF(ISNUMBER(SEARCH('Карта учёта'!$B$23,Расходка[Наименование расходного материала])),MAX($O$1:O34)+1,0)</f>
        <v>34</v>
      </c>
      <c r="P35" s="142">
        <f>IF(ISNUMBER(SEARCH('Карта учёта'!$B$24,Расходка[Наименование расходного материала])),MAX($P$1:P34)+1,0)</f>
        <v>34</v>
      </c>
      <c r="Q35" s="142">
        <f>IF(ISNUMBER(SEARCH('Карта учёта'!$B$25,Расходка[Наименование расходного материала])),MAX($Q$1:Q34)+1,0)</f>
        <v>34</v>
      </c>
      <c r="R35" s="144" t="str">
        <f>IFERROR(INDEX(Расходка[Наименование расходного материала],MATCH(Расходка[№],Поиск_расходки[Индекс1],0)),"")</f>
        <v/>
      </c>
      <c r="S35" s="144" t="str">
        <f>IFERROR(INDEX(Расходка[Наименование расходного материала],MATCH(Расходка[№],Поиск_расходки[Индекс2],0)),"")</f>
        <v/>
      </c>
      <c r="T35" s="144" t="str">
        <f>IFERROR(INDEX(Расходка[Наименование расходного материала],MATCH(Расходка[№],Поиск_расходки[Индекс3],0)),"")</f>
        <v/>
      </c>
      <c r="U35" s="144" t="str">
        <f>IFERROR(INDEX(Расходка[Наименование расходного материала],MATCH(Расходка[№],Поиск_расходки[Индекс4],0)),"")</f>
        <v/>
      </c>
      <c r="V35" s="144" t="str">
        <f>IFERROR(INDEX(Расходка[Наименование расходного материала],MATCH(Расходка[№],Поиск_расходки[Индекс5],0)),"")</f>
        <v/>
      </c>
      <c r="W35" s="144" t="str">
        <f>IFERROR(INDEX(Расходка[Наименование расходного материала],MATCH(Расходка[№],Поиск_расходки[Индекс6],0)),"")</f>
        <v/>
      </c>
      <c r="X35" s="144" t="str">
        <f>IFERROR(INDEX(Расходка[Наименование расходного материала],MATCH(Расходка[№],Поиск_расходки[Индекс7],0)),"")</f>
        <v/>
      </c>
      <c r="Y35" s="144" t="str">
        <f>IFERROR(INDEX(Расходка[Наименование расходного материала],MATCH(Расходка[№],Поиск_расходки[Индекс8],0)),"")</f>
        <v>Angio-Seal™ VIP</v>
      </c>
      <c r="Z35" s="144" t="str">
        <f>IFERROR(INDEX(Расходка[Наименование расходного материала],MATCH(Расходка[№],Поиск_расходки[Индекс9],0)),"")</f>
        <v>Angio-Seal™ VIP</v>
      </c>
      <c r="AA35" s="144" t="str">
        <f>IFERROR(INDEX(Расходка[Наименование расходного материала],MATCH(Расходка[№],Поиск_расходки[Индекс10],0)),"")</f>
        <v>Angio-Seal™ VIP</v>
      </c>
      <c r="AB35" s="144" t="str">
        <f>IFERROR(INDEX(Расходка[Наименование расходного материала],MATCH(Расходка[№],Поиск_расходки[Индекс11],0)),"")</f>
        <v>Angio-Seal™ VIP</v>
      </c>
      <c r="AC35" s="144" t="str">
        <f>IFERROR(INDEX(Расходка[Наименование расходного материала],MATCH(Расходка[№],Поиск_расходки[Индекс12],0)),"")</f>
        <v>Angio-Seal™ VIP</v>
      </c>
      <c r="AD35" s="144" t="str">
        <f>IFERROR(INDEX(Расходка[Наименование расходного материала],MATCH(Расходка[№],Поиск_расходки[Индекс13],0)),"")</f>
        <v>Angio-Seal™ VIP</v>
      </c>
      <c r="AF35" s="4" t="s">
        <v>6</v>
      </c>
      <c r="AG35" s="4" t="s">
        <v>440</v>
      </c>
    </row>
    <row r="36" spans="1:33">
      <c r="A36">
        <v>35</v>
      </c>
      <c r="B36" t="s">
        <v>381</v>
      </c>
      <c r="C36" t="s">
        <v>413</v>
      </c>
      <c r="E36" s="142">
        <f>IF(ISNUMBER(SEARCH('Карта учёта'!$B$13,Расходка[[#This Row],[Наименование расходного материала]])),MAX($E$1:E35)+1,0)</f>
        <v>0</v>
      </c>
      <c r="F36" s="142">
        <f>IF(ISNUMBER(SEARCH('Карта учёта'!$B$14,Расходка[[#This Row],[Наименование расходного материала]])),MAX($F$1:F35)+1,0)</f>
        <v>0</v>
      </c>
      <c r="G36" s="142">
        <f>IF(ISNUMBER(SEARCH('Карта учёта'!$B$15,Расходка[Наименование расходного материала])),MAX($G$1:G35)+1,0)</f>
        <v>0</v>
      </c>
      <c r="H36" s="142">
        <f>IF(ISNUMBER(SEARCH('Карта учёта'!$B$16,Расходка[Наименование расходного материала])),MAX($H$1:H35)+1,0)</f>
        <v>0</v>
      </c>
      <c r="I36" s="142">
        <f>IF(ISNUMBER(SEARCH('Карта учёта'!$B$17,Расходка[Наименование расходного материала])),MAX($I$1:I35)+1,0)</f>
        <v>0</v>
      </c>
      <c r="J36" s="142">
        <f>IF(ISNUMBER(SEARCH('Карта учёта'!$B$18,Расходка[Наименование расходного материала])),MAX($J$1:J35)+1,0)</f>
        <v>0</v>
      </c>
      <c r="K36" s="142">
        <f>IF(ISNUMBER(SEARCH('Карта учёта'!$B$19,Расходка[Наименование расходного материала])),MAX($K$1:K35)+1,0)</f>
        <v>1</v>
      </c>
      <c r="L36" s="142">
        <f>IF(ISNUMBER(SEARCH('Карта учёта'!$B$20,Расходка[Наименование расходного материала])),MAX($L$1:L35)+1,0)</f>
        <v>35</v>
      </c>
      <c r="M36" s="142">
        <f>IF(ISNUMBER(SEARCH('Карта учёта'!$B$21,Расходка[Наименование расходного материала])),MAX($M$1:M35)+1,0)</f>
        <v>35</v>
      </c>
      <c r="N36" s="142">
        <f>IF(ISNUMBER(SEARCH('Карта учёта'!$B$22,Расходка[Наименование расходного материала])),MAX($N$1:N35)+1,0)</f>
        <v>35</v>
      </c>
      <c r="O36" s="142">
        <f>IF(ISNUMBER(SEARCH('Карта учёта'!$B$23,Расходка[Наименование расходного материала])),MAX($O$1:O35)+1,0)</f>
        <v>35</v>
      </c>
      <c r="P36" s="142">
        <f>IF(ISNUMBER(SEARCH('Карта учёта'!$B$24,Расходка[Наименование расходного материала])),MAX($P$1:P35)+1,0)</f>
        <v>35</v>
      </c>
      <c r="Q36" s="142">
        <f>IF(ISNUMBER(SEARCH('Карта учёта'!$B$25,Расходка[Наименование расходного материала])),MAX($Q$1:Q35)+1,0)</f>
        <v>35</v>
      </c>
      <c r="R36" s="144" t="str">
        <f>IFERROR(INDEX(Расходка[Наименование расходного материала],MATCH(Расходка[№],Поиск_расходки[Индекс1],0)),"")</f>
        <v/>
      </c>
      <c r="S36" s="144" t="str">
        <f>IFERROR(INDEX(Расходка[Наименование расходного материала],MATCH(Расходка[№],Поиск_расходки[Индекс2],0)),"")</f>
        <v/>
      </c>
      <c r="T36" s="144" t="str">
        <f>IFERROR(INDEX(Расходка[Наименование расходного материала],MATCH(Расходка[№],Поиск_расходки[Индекс3],0)),"")</f>
        <v/>
      </c>
      <c r="U36" s="144" t="str">
        <f>IFERROR(INDEX(Расходка[Наименование расходного материала],MATCH(Расходка[№],Поиск_расходки[Индекс4],0)),"")</f>
        <v/>
      </c>
      <c r="V36" s="144" t="str">
        <f>IFERROR(INDEX(Расходка[Наименование расходного материала],MATCH(Расходка[№],Поиск_расходки[Индекс5],0)),"")</f>
        <v/>
      </c>
      <c r="W36" s="144" t="str">
        <f>IFERROR(INDEX(Расходка[Наименование расходного материала],MATCH(Расходка[№],Поиск_расходки[Индекс6],0)),"")</f>
        <v/>
      </c>
      <c r="X36" s="144" t="str">
        <f>IFERROR(INDEX(Расходка[Наименование расходного материала],MATCH(Расходка[№],Поиск_расходки[Индекс7],0)),"")</f>
        <v/>
      </c>
      <c r="Y36" s="144" t="str">
        <f>IFERROR(INDEX(Расходка[Наименование расходного материала],MATCH(Расходка[№],Поиск_расходки[Индекс8],0)),"")</f>
        <v>BasixCOMPAK</v>
      </c>
      <c r="Z36" s="144" t="str">
        <f>IFERROR(INDEX(Расходка[Наименование расходного материала],MATCH(Расходка[№],Поиск_расходки[Индекс9],0)),"")</f>
        <v>BasixCOMPAK</v>
      </c>
      <c r="AA36" s="144" t="str">
        <f>IFERROR(INDEX(Расходка[Наименование расходного материала],MATCH(Расходка[№],Поиск_расходки[Индекс10],0)),"")</f>
        <v>BasixCOMPAK</v>
      </c>
      <c r="AB36" s="144" t="str">
        <f>IFERROR(INDEX(Расходка[Наименование расходного материала],MATCH(Расходка[№],Поиск_расходки[Индекс11],0)),"")</f>
        <v>BasixCOMPAK</v>
      </c>
      <c r="AC36" s="144" t="str">
        <f>IFERROR(INDEX(Расходка[Наименование расходного материала],MATCH(Расходка[№],Поиск_расходки[Индекс12],0)),"")</f>
        <v>BasixCOMPAK</v>
      </c>
      <c r="AD36" s="144" t="str">
        <f>IFERROR(INDEX(Расходка[Наименование расходного материала],MATCH(Расходка[№],Поиск_расходки[Индекс13],0)),"")</f>
        <v>BasixCOMPAK</v>
      </c>
      <c r="AF36" s="4" t="s">
        <v>6</v>
      </c>
      <c r="AG36" s="4" t="s">
        <v>169</v>
      </c>
    </row>
    <row r="37" spans="1:33">
      <c r="A37">
        <v>36</v>
      </c>
      <c r="B37" t="s">
        <v>383</v>
      </c>
      <c r="C37" s="1" t="s">
        <v>414</v>
      </c>
      <c r="E37" s="142">
        <f>IF(ISNUMBER(SEARCH('Карта учёта'!$B$13,Расходка[[#This Row],[Наименование расходного материала]])),MAX($E$1:E36)+1,0)</f>
        <v>0</v>
      </c>
      <c r="F37" s="142">
        <f>IF(ISNUMBER(SEARCH('Карта учёта'!$B$14,Расходка[[#This Row],[Наименование расходного материала]])),MAX($F$1:F36)+1,0)</f>
        <v>0</v>
      </c>
      <c r="G37" s="142">
        <f>IF(ISNUMBER(SEARCH('Карта учёта'!$B$15,Расходка[Наименование расходного материала])),MAX($G$1:G36)+1,0)</f>
        <v>0</v>
      </c>
      <c r="H37" s="142">
        <f>IF(ISNUMBER(SEARCH('Карта учёта'!$B$16,Расходка[Наименование расходного материала])),MAX($H$1:H36)+1,0)</f>
        <v>0</v>
      </c>
      <c r="I37" s="142">
        <f>IF(ISNUMBER(SEARCH('Карта учёта'!$B$17,Расходка[Наименование расходного материала])),MAX($I$1:I36)+1,0)</f>
        <v>0</v>
      </c>
      <c r="J37" s="142">
        <f>IF(ISNUMBER(SEARCH('Карта учёта'!$B$18,Расходка[Наименование расходного материала])),MAX($J$1:J36)+1,0)</f>
        <v>0</v>
      </c>
      <c r="K37" s="142">
        <f>IF(ISNUMBER(SEARCH('Карта учёта'!$B$19,Расходка[Наименование расходного материала])),MAX($K$1:K36)+1,0)</f>
        <v>0</v>
      </c>
      <c r="L37" s="142">
        <f>IF(ISNUMBER(SEARCH('Карта учёта'!$B$20,Расходка[Наименование расходного материала])),MAX($L$1:L36)+1,0)</f>
        <v>36</v>
      </c>
      <c r="M37" s="142">
        <f>IF(ISNUMBER(SEARCH('Карта учёта'!$B$21,Расходка[Наименование расходного материала])),MAX($M$1:M36)+1,0)</f>
        <v>36</v>
      </c>
      <c r="N37" s="142">
        <f>IF(ISNUMBER(SEARCH('Карта учёта'!$B$22,Расходка[Наименование расходного материала])),MAX($N$1:N36)+1,0)</f>
        <v>36</v>
      </c>
      <c r="O37" s="142">
        <f>IF(ISNUMBER(SEARCH('Карта учёта'!$B$23,Расходка[Наименование расходного материала])),MAX($O$1:O36)+1,0)</f>
        <v>36</v>
      </c>
      <c r="P37" s="142">
        <f>IF(ISNUMBER(SEARCH('Карта учёта'!$B$24,Расходка[Наименование расходного материала])),MAX($P$1:P36)+1,0)</f>
        <v>36</v>
      </c>
      <c r="Q37" s="142">
        <f>IF(ISNUMBER(SEARCH('Карта учёта'!$B$25,Расходка[Наименование расходного материала])),MAX($Q$1:Q36)+1,0)</f>
        <v>36</v>
      </c>
      <c r="R37" s="144" t="str">
        <f>IFERROR(INDEX(Расходка[Наименование расходного материала],MATCH(Расходка[№],Поиск_расходки[Индекс1],0)),"")</f>
        <v/>
      </c>
      <c r="S37" s="144" t="str">
        <f>IFERROR(INDEX(Расходка[Наименование расходного материала],MATCH(Расходка[№],Поиск_расходки[Индекс2],0)),"")</f>
        <v/>
      </c>
      <c r="T37" s="144" t="str">
        <f>IFERROR(INDEX(Расходка[Наименование расходного материала],MATCH(Расходка[№],Поиск_расходки[Индекс3],0)),"")</f>
        <v/>
      </c>
      <c r="U37" s="144" t="str">
        <f>IFERROR(INDEX(Расходка[Наименование расходного материала],MATCH(Расходка[№],Поиск_расходки[Индекс4],0)),"")</f>
        <v/>
      </c>
      <c r="V37" s="144" t="str">
        <f>IFERROR(INDEX(Расходка[Наименование расходного материала],MATCH(Расходка[№],Поиск_расходки[Индекс5],0)),"")</f>
        <v/>
      </c>
      <c r="W37" s="144" t="str">
        <f>IFERROR(INDEX(Расходка[Наименование расходного материала],MATCH(Расходка[№],Поиск_расходки[Индекс6],0)),"")</f>
        <v/>
      </c>
      <c r="X37" s="144" t="str">
        <f>IFERROR(INDEX(Расходка[Наименование расходного материала],MATCH(Расходка[№],Поиск_расходки[Индекс7],0)),"")</f>
        <v/>
      </c>
      <c r="Y37" s="144" t="str">
        <f>IFERROR(INDEX(Расходка[Наименование расходного материала],MATCH(Расходка[№],Поиск_расходки[Индекс8],0)),"")</f>
        <v>Nitrex 260</v>
      </c>
      <c r="Z37" s="144" t="str">
        <f>IFERROR(INDEX(Расходка[Наименование расходного материала],MATCH(Расходка[№],Поиск_расходки[Индекс9],0)),"")</f>
        <v>Nitrex 260</v>
      </c>
      <c r="AA37" s="144" t="str">
        <f>IFERROR(INDEX(Расходка[Наименование расходного материала],MATCH(Расходка[№],Поиск_расходки[Индекс10],0)),"")</f>
        <v>Nitrex 260</v>
      </c>
      <c r="AB37" s="144" t="str">
        <f>IFERROR(INDEX(Расходка[Наименование расходного материала],MATCH(Расходка[№],Поиск_расходки[Индекс11],0)),"")</f>
        <v>Nitrex 260</v>
      </c>
      <c r="AC37" s="144" t="str">
        <f>IFERROR(INDEX(Расходка[Наименование расходного материала],MATCH(Расходка[№],Поиск_расходки[Индекс12],0)),"")</f>
        <v>Nitrex 260</v>
      </c>
      <c r="AD37" s="144" t="str">
        <f>IFERROR(INDEX(Расходка[Наименование расходного материала],MATCH(Расходка[№],Поиск_расходки[Индекс13],0)),"")</f>
        <v>Nitrex 260</v>
      </c>
      <c r="AF37" s="4" t="s">
        <v>6</v>
      </c>
      <c r="AG37" s="4" t="s">
        <v>170</v>
      </c>
    </row>
    <row r="38" spans="1:33">
      <c r="A38">
        <v>37</v>
      </c>
      <c r="B38" t="s">
        <v>271</v>
      </c>
      <c r="C38" s="1" t="s">
        <v>419</v>
      </c>
      <c r="E38" s="142">
        <f>IF(ISNUMBER(SEARCH('Карта учёта'!$B$13,Расходка[[#This Row],[Наименование расходного материала]])),MAX($E$1:E37)+1,0)</f>
        <v>0</v>
      </c>
      <c r="F38" s="142">
        <f>IF(ISNUMBER(SEARCH('Карта учёта'!$B$14,Расходка[[#This Row],[Наименование расходного материала]])),MAX($F$1:F37)+1,0)</f>
        <v>0</v>
      </c>
      <c r="G38" s="142">
        <f>IF(ISNUMBER(SEARCH('Карта учёта'!$B$15,Расходка[Наименование расходного материала])),MAX($G$1:G37)+1,0)</f>
        <v>0</v>
      </c>
      <c r="H38" s="142">
        <f>IF(ISNUMBER(SEARCH('Карта учёта'!$B$16,Расходка[Наименование расходного материала])),MAX($H$1:H37)+1,0)</f>
        <v>0</v>
      </c>
      <c r="I38" s="142">
        <f>IF(ISNUMBER(SEARCH('Карта учёта'!$B$17,Расходка[Наименование расходного материала])),MAX($I$1:I37)+1,0)</f>
        <v>0</v>
      </c>
      <c r="J38" s="142">
        <f>IF(ISNUMBER(SEARCH('Карта учёта'!$B$18,Расходка[Наименование расходного материала])),MAX($J$1:J37)+1,0)</f>
        <v>0</v>
      </c>
      <c r="K38" s="142">
        <f>IF(ISNUMBER(SEARCH('Карта учёта'!$B$19,Расходка[Наименование расходного материала])),MAX($K$1:K37)+1,0)</f>
        <v>0</v>
      </c>
      <c r="L38" s="142">
        <f>IF(ISNUMBER(SEARCH('Карта учёта'!$B$20,Расходка[Наименование расходного материала])),MAX($L$1:L37)+1,0)</f>
        <v>37</v>
      </c>
      <c r="M38" s="142">
        <f>IF(ISNUMBER(SEARCH('Карта учёта'!$B$21,Расходка[Наименование расходного материала])),MAX($M$1:M37)+1,0)</f>
        <v>37</v>
      </c>
      <c r="N38" s="142">
        <f>IF(ISNUMBER(SEARCH('Карта учёта'!$B$22,Расходка[Наименование расходного материала])),MAX($N$1:N37)+1,0)</f>
        <v>37</v>
      </c>
      <c r="O38" s="142">
        <f>IF(ISNUMBER(SEARCH('Карта учёта'!$B$23,Расходка[Наименование расходного материала])),MAX($O$1:O37)+1,0)</f>
        <v>37</v>
      </c>
      <c r="P38" s="142">
        <f>IF(ISNUMBER(SEARCH('Карта учёта'!$B$24,Расходка[Наименование расходного материала])),MAX($P$1:P37)+1,0)</f>
        <v>37</v>
      </c>
      <c r="Q38" s="142">
        <f>IF(ISNUMBER(SEARCH('Карта учёта'!$B$25,Расходка[Наименование расходного материала])),MAX($Q$1:Q37)+1,0)</f>
        <v>37</v>
      </c>
      <c r="R38" s="144" t="str">
        <f>IFERROR(INDEX(Расходка[Наименование расходного материала],MATCH(Расходка[№],Поиск_расходки[Индекс1],0)),"")</f>
        <v/>
      </c>
      <c r="S38" s="144" t="str">
        <f>IFERROR(INDEX(Расходка[Наименование расходного материала],MATCH(Расходка[№],Поиск_расходки[Индекс2],0)),"")</f>
        <v/>
      </c>
      <c r="T38" s="144" t="str">
        <f>IFERROR(INDEX(Расходка[Наименование расходного материала],MATCH(Расходка[№],Поиск_расходки[Индекс3],0)),"")</f>
        <v/>
      </c>
      <c r="U38" s="144" t="str">
        <f>IFERROR(INDEX(Расходка[Наименование расходного материала],MATCH(Расходка[№],Поиск_расходки[Индекс4],0)),"")</f>
        <v/>
      </c>
      <c r="V38" s="144" t="str">
        <f>IFERROR(INDEX(Расходка[Наименование расходного материала],MATCH(Расходка[№],Поиск_расходки[Индекс5],0)),"")</f>
        <v/>
      </c>
      <c r="W38" s="144" t="str">
        <f>IFERROR(INDEX(Расходка[Наименование расходного материала],MATCH(Расходка[№],Поиск_расходки[Индекс6],0)),"")</f>
        <v/>
      </c>
      <c r="X38" s="144" t="str">
        <f>IFERROR(INDEX(Расходка[Наименование расходного материала],MATCH(Расходка[№],Поиск_расходки[Индекс7],0)),"")</f>
        <v/>
      </c>
      <c r="Y38" s="144" t="str">
        <f>IFERROR(INDEX(Расходка[Наименование расходного материала],MATCH(Расходка[№],Поиск_расходки[Индекс8],0)),"")</f>
        <v>Oscor 7F</v>
      </c>
      <c r="Z38" s="144" t="str">
        <f>IFERROR(INDEX(Расходка[Наименование расходного материала],MATCH(Расходка[№],Поиск_расходки[Индекс9],0)),"")</f>
        <v>Oscor 7F</v>
      </c>
      <c r="AA38" s="144" t="str">
        <f>IFERROR(INDEX(Расходка[Наименование расходного материала],MATCH(Расходка[№],Поиск_расходки[Индекс10],0)),"")</f>
        <v>Oscor 7F</v>
      </c>
      <c r="AB38" s="144" t="str">
        <f>IFERROR(INDEX(Расходка[Наименование расходного материала],MATCH(Расходка[№],Поиск_расходки[Индекс11],0)),"")</f>
        <v>Oscor 7F</v>
      </c>
      <c r="AC38" s="144" t="str">
        <f>IFERROR(INDEX(Расходка[Наименование расходного материала],MATCH(Расходка[№],Поиск_расходки[Индекс12],0)),"")</f>
        <v>Oscor 7F</v>
      </c>
      <c r="AD38" s="144" t="str">
        <f>IFERROR(INDEX(Расходка[Наименование расходного материала],MATCH(Расходка[№],Поиск_расходки[Индекс13],0)),"")</f>
        <v>Oscor 7F</v>
      </c>
      <c r="AF38" s="4" t="s">
        <v>6</v>
      </c>
      <c r="AG38" s="4" t="s">
        <v>425</v>
      </c>
    </row>
    <row r="39" spans="1:33">
      <c r="C39" s="1"/>
      <c r="AF39" s="4" t="s">
        <v>6</v>
      </c>
      <c r="AG39" s="4" t="s">
        <v>426</v>
      </c>
    </row>
    <row r="40" spans="1:33">
      <c r="AF40" s="4" t="s">
        <v>6</v>
      </c>
      <c r="AG40" s="4" t="s">
        <v>427</v>
      </c>
    </row>
    <row r="41" spans="1:33">
      <c r="AF41" s="4" t="s">
        <v>6</v>
      </c>
      <c r="AG41" s="4" t="s">
        <v>442</v>
      </c>
    </row>
    <row r="42" spans="1:33">
      <c r="AF42" s="4" t="s">
        <v>6</v>
      </c>
      <c r="AG42" s="4" t="s">
        <v>428</v>
      </c>
    </row>
    <row r="43" spans="1:33">
      <c r="AF43" s="4" t="s">
        <v>6</v>
      </c>
      <c r="AG43" s="4" t="s">
        <v>443</v>
      </c>
    </row>
    <row r="44" spans="1:33">
      <c r="AF44" s="4" t="s">
        <v>6</v>
      </c>
      <c r="AG44" s="4" t="s">
        <v>177</v>
      </c>
    </row>
    <row r="45" spans="1:33">
      <c r="AF45" s="4" t="s">
        <v>6</v>
      </c>
      <c r="AG45" s="4" t="s">
        <v>171</v>
      </c>
    </row>
    <row r="46" spans="1:33">
      <c r="AF46" s="4" t="s">
        <v>6</v>
      </c>
      <c r="AG46" s="4" t="s">
        <v>172</v>
      </c>
    </row>
    <row r="47" spans="1:33">
      <c r="AF47" s="4" t="s">
        <v>6</v>
      </c>
      <c r="AG47" s="4" t="s">
        <v>173</v>
      </c>
    </row>
    <row r="48" spans="1:33">
      <c r="C48" s="1"/>
      <c r="AF48" s="4" t="s">
        <v>6</v>
      </c>
      <c r="AG48" s="4" t="s">
        <v>174</v>
      </c>
    </row>
    <row r="49" spans="32:33">
      <c r="AF49" s="4" t="s">
        <v>6</v>
      </c>
      <c r="AG49" s="4" t="s">
        <v>437</v>
      </c>
    </row>
    <row r="50" spans="32:33">
      <c r="AF50" s="4" t="s">
        <v>6</v>
      </c>
      <c r="AG50" s="4" t="s">
        <v>175</v>
      </c>
    </row>
    <row r="51" spans="32:33">
      <c r="AF51" s="4" t="s">
        <v>6</v>
      </c>
      <c r="AG51" s="4" t="s">
        <v>176</v>
      </c>
    </row>
    <row r="52" spans="32:33">
      <c r="AF52" s="4" t="s">
        <v>6</v>
      </c>
      <c r="AG52" s="4" t="s">
        <v>189</v>
      </c>
    </row>
    <row r="53" spans="32:33">
      <c r="AF53" s="4" t="s">
        <v>6</v>
      </c>
      <c r="AG53" s="4" t="s">
        <v>111</v>
      </c>
    </row>
    <row r="54" spans="32:33">
      <c r="AF54" s="4" t="s">
        <v>6</v>
      </c>
      <c r="AG54" s="4" t="s">
        <v>163</v>
      </c>
    </row>
    <row r="55" spans="32:33">
      <c r="AF55" s="4" t="s">
        <v>6</v>
      </c>
      <c r="AG55" s="4" t="s">
        <v>178</v>
      </c>
    </row>
    <row r="56" spans="32:33">
      <c r="AF56" s="4" t="s">
        <v>6</v>
      </c>
      <c r="AG56" s="4" t="s">
        <v>168</v>
      </c>
    </row>
    <row r="57" spans="32:33">
      <c r="AF57" s="4" t="s">
        <v>6</v>
      </c>
      <c r="AG57" s="4" t="s">
        <v>433</v>
      </c>
    </row>
    <row r="58" spans="32:33">
      <c r="AF58" s="4" t="s">
        <v>6</v>
      </c>
      <c r="AG58" s="4" t="s">
        <v>179</v>
      </c>
    </row>
    <row r="59" spans="32:33">
      <c r="AF59" s="4" t="s">
        <v>6</v>
      </c>
      <c r="AG59" s="4" t="s">
        <v>438</v>
      </c>
    </row>
    <row r="60" spans="32:33">
      <c r="AF60" s="4" t="s">
        <v>6</v>
      </c>
      <c r="AG60" s="4" t="s">
        <v>180</v>
      </c>
    </row>
    <row r="61" spans="32:33">
      <c r="AF61" s="4" t="s">
        <v>6</v>
      </c>
      <c r="AG61" s="4" t="s">
        <v>181</v>
      </c>
    </row>
    <row r="62" spans="32:33">
      <c r="AF62" s="4" t="s">
        <v>6</v>
      </c>
      <c r="AG62" s="4" t="s">
        <v>188</v>
      </c>
    </row>
    <row r="63" spans="32:33">
      <c r="AF63" s="4" t="s">
        <v>6</v>
      </c>
      <c r="AG63" s="4" t="s">
        <v>116</v>
      </c>
    </row>
    <row r="64" spans="32:33">
      <c r="AF64" s="4" t="s">
        <v>6</v>
      </c>
      <c r="AG64" s="4" t="s">
        <v>182</v>
      </c>
    </row>
    <row r="65" spans="32:33">
      <c r="AF65" s="4" t="s">
        <v>6</v>
      </c>
      <c r="AG65" s="4" t="s">
        <v>183</v>
      </c>
    </row>
    <row r="66" spans="32:33">
      <c r="AF66" s="4" t="s">
        <v>6</v>
      </c>
      <c r="AG66" s="4" t="s">
        <v>184</v>
      </c>
    </row>
    <row r="67" spans="32:33">
      <c r="AF67" s="4" t="s">
        <v>6</v>
      </c>
      <c r="AG67" s="4" t="s">
        <v>185</v>
      </c>
    </row>
    <row r="68" spans="32:33">
      <c r="AF68" s="4" t="s">
        <v>6</v>
      </c>
      <c r="AG68" s="4" t="s">
        <v>186</v>
      </c>
    </row>
    <row r="69" spans="32:33">
      <c r="AF69" s="4" t="s">
        <v>6</v>
      </c>
      <c r="AG69" s="4" t="s">
        <v>187</v>
      </c>
    </row>
    <row r="70" spans="32:33">
      <c r="AF70" s="4" t="s">
        <v>6</v>
      </c>
      <c r="AG70" s="4" t="s">
        <v>376</v>
      </c>
    </row>
    <row r="71" spans="32:33">
      <c r="AF71" s="4" t="s">
        <v>6</v>
      </c>
      <c r="AG71" s="4" t="s">
        <v>120</v>
      </c>
    </row>
    <row r="72" spans="32:33">
      <c r="AF72" s="4" t="s">
        <v>6</v>
      </c>
      <c r="AG72" s="4" t="s">
        <v>121</v>
      </c>
    </row>
    <row r="73" spans="32:33">
      <c r="AF73" s="4" t="s">
        <v>6</v>
      </c>
      <c r="AG73" s="4" t="s">
        <v>164</v>
      </c>
    </row>
    <row r="74" spans="32:33">
      <c r="AF74" s="4" t="s">
        <v>6</v>
      </c>
      <c r="AG74" s="4" t="s">
        <v>444</v>
      </c>
    </row>
  </sheetData>
  <sheetProtection sheet="1" objects="1" scenarios="1" formatCells="0" formatColumns="0"/>
  <phoneticPr fontId="14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49" zoomScale="90" zoomScaleNormal="90" workbookViewId="0">
      <selection activeCell="A61" sqref="A61"/>
    </sheetView>
  </sheetViews>
  <sheetFormatPr defaultRowHeight="15"/>
  <cols>
    <col min="1" max="1" width="28.28515625" bestFit="1" customWidth="1"/>
    <col min="2" max="2" width="18.7109375" bestFit="1" customWidth="1"/>
    <col min="3" max="3" width="42.140625" bestFit="1" customWidth="1"/>
    <col min="4" max="4" width="8.85546875" customWidth="1"/>
    <col min="5" max="5" width="28.5703125" bestFit="1" customWidth="1"/>
    <col min="6" max="10" width="8.85546875" customWidth="1"/>
  </cols>
  <sheetData>
    <row r="1" spans="1:5">
      <c r="A1" t="s">
        <v>140</v>
      </c>
      <c r="B1" t="s">
        <v>139</v>
      </c>
      <c r="C1" t="s">
        <v>141</v>
      </c>
      <c r="E1" t="s">
        <v>239</v>
      </c>
    </row>
    <row r="2" spans="1:5">
      <c r="A2" t="s">
        <v>198</v>
      </c>
      <c r="B2" t="s">
        <v>135</v>
      </c>
      <c r="C2" t="str">
        <f t="shared" ref="C2:C15" si="0">CONCATENATE(A2,B2)</f>
        <v xml:space="preserve">Заведующий отделения: Д.В. Карчевский </v>
      </c>
      <c r="E2" t="s">
        <v>236</v>
      </c>
    </row>
    <row r="3" spans="1:5">
      <c r="A3" t="s">
        <v>153</v>
      </c>
      <c r="B3" t="s">
        <v>137</v>
      </c>
      <c r="C3" t="str">
        <f t="shared" si="0"/>
        <v xml:space="preserve">И/О заведующего отделения: В.Л. Мартынко </v>
      </c>
      <c r="E3" t="s">
        <v>243</v>
      </c>
    </row>
    <row r="4" spans="1:5">
      <c r="A4" t="s">
        <v>136</v>
      </c>
      <c r="B4" t="s">
        <v>146</v>
      </c>
      <c r="C4" t="str">
        <f t="shared" si="0"/>
        <v>Оператор: В.В. Анохин</v>
      </c>
      <c r="E4" t="s">
        <v>237</v>
      </c>
    </row>
    <row r="5" spans="1:5">
      <c r="A5" t="s">
        <v>136</v>
      </c>
      <c r="B5" t="s">
        <v>144</v>
      </c>
      <c r="C5" t="str">
        <f t="shared" si="0"/>
        <v xml:space="preserve">Оператор: А.В. Воронков </v>
      </c>
      <c r="E5" t="s">
        <v>234</v>
      </c>
    </row>
    <row r="6" spans="1:5">
      <c r="A6" t="s">
        <v>136</v>
      </c>
      <c r="B6" t="s">
        <v>147</v>
      </c>
      <c r="C6" t="str">
        <f t="shared" si="0"/>
        <v>Оператор: И.Н. Зимин</v>
      </c>
      <c r="E6" t="s">
        <v>374</v>
      </c>
    </row>
    <row r="7" spans="1:5">
      <c r="A7" t="s">
        <v>136</v>
      </c>
      <c r="B7" t="s">
        <v>135</v>
      </c>
      <c r="C7" t="str">
        <f t="shared" si="0"/>
        <v xml:space="preserve">Оператор: Д.В. Карчевский </v>
      </c>
      <c r="E7" t="s">
        <v>244</v>
      </c>
    </row>
    <row r="8" spans="1:5">
      <c r="A8" t="s">
        <v>136</v>
      </c>
      <c r="B8" t="s">
        <v>137</v>
      </c>
      <c r="C8" t="str">
        <f t="shared" si="0"/>
        <v xml:space="preserve">Оператор: В.Л. Мартынко </v>
      </c>
      <c r="E8" t="s">
        <v>245</v>
      </c>
    </row>
    <row r="9" spans="1:5">
      <c r="A9" t="s">
        <v>136</v>
      </c>
      <c r="B9" t="s">
        <v>142</v>
      </c>
      <c r="C9" t="str">
        <f t="shared" si="0"/>
        <v xml:space="preserve">Оператор: А.С. Меренков </v>
      </c>
      <c r="E9" t="s">
        <v>246</v>
      </c>
    </row>
    <row r="10" spans="1:5">
      <c r="A10" t="s">
        <v>136</v>
      </c>
      <c r="B10" t="s">
        <v>145</v>
      </c>
      <c r="C10" t="str">
        <f t="shared" si="0"/>
        <v xml:space="preserve">Оператор: О.В. Мещеряков </v>
      </c>
      <c r="E10" t="s">
        <v>247</v>
      </c>
    </row>
    <row r="11" spans="1:5">
      <c r="A11" t="s">
        <v>136</v>
      </c>
      <c r="B11" t="s">
        <v>143</v>
      </c>
      <c r="C11" t="str">
        <f t="shared" si="0"/>
        <v xml:space="preserve">Оператор: И.А. Московский </v>
      </c>
      <c r="E11" t="s">
        <v>248</v>
      </c>
    </row>
    <row r="12" spans="1:5">
      <c r="A12" t="s">
        <v>136</v>
      </c>
      <c r="B12" t="s">
        <v>150</v>
      </c>
      <c r="C12" s="14" t="str">
        <f>CONCATENATE(A12,B12)</f>
        <v>Оператор: А.Ф. Паращенко</v>
      </c>
    </row>
    <row r="13" spans="1:5">
      <c r="A13" t="s">
        <v>136</v>
      </c>
      <c r="B13" t="s">
        <v>138</v>
      </c>
      <c r="C13" t="str">
        <f t="shared" si="0"/>
        <v xml:space="preserve">Оператор: А.С. Щербаков </v>
      </c>
    </row>
    <row r="14" spans="1:5">
      <c r="A14" t="s">
        <v>149</v>
      </c>
      <c r="B14" t="s">
        <v>151</v>
      </c>
      <c r="C14" t="str">
        <f t="shared" si="0"/>
        <v>Старшая мед.сетра: О.Н. Черткова</v>
      </c>
    </row>
    <row r="15" spans="1:5">
      <c r="A15" t="s">
        <v>152</v>
      </c>
      <c r="B15" t="s">
        <v>148</v>
      </c>
      <c r="C15" t="str">
        <f t="shared" si="0"/>
        <v xml:space="preserve">И/О старшей мед.сетры: А. Нефёдова </v>
      </c>
    </row>
    <row r="17" spans="1:2">
      <c r="A17" t="s">
        <v>239</v>
      </c>
      <c r="B17" t="s">
        <v>238</v>
      </c>
    </row>
    <row r="18" spans="1:2">
      <c r="A18" t="s">
        <v>234</v>
      </c>
      <c r="B18" t="s">
        <v>332</v>
      </c>
    </row>
    <row r="19" spans="1:2">
      <c r="A19" t="s">
        <v>234</v>
      </c>
      <c r="B19" t="s">
        <v>240</v>
      </c>
    </row>
    <row r="20" spans="1:2">
      <c r="A20" t="s">
        <v>234</v>
      </c>
      <c r="B20" t="s">
        <v>375</v>
      </c>
    </row>
    <row r="21" spans="1:2">
      <c r="A21" t="s">
        <v>234</v>
      </c>
      <c r="B21" t="s">
        <v>315</v>
      </c>
    </row>
    <row r="22" spans="1:2">
      <c r="A22" t="s">
        <v>234</v>
      </c>
      <c r="B22" t="s">
        <v>329</v>
      </c>
    </row>
    <row r="23" spans="1:2">
      <c r="A23" t="s">
        <v>234</v>
      </c>
      <c r="B23" t="s">
        <v>333</v>
      </c>
    </row>
    <row r="24" spans="1:2">
      <c r="A24" t="s">
        <v>234</v>
      </c>
      <c r="B24" t="s">
        <v>321</v>
      </c>
    </row>
    <row r="25" spans="1:2">
      <c r="A25" t="s">
        <v>234</v>
      </c>
      <c r="B25" t="s">
        <v>320</v>
      </c>
    </row>
    <row r="26" spans="1:2">
      <c r="A26" t="s">
        <v>234</v>
      </c>
      <c r="B26" t="s">
        <v>373</v>
      </c>
    </row>
    <row r="27" spans="1:2">
      <c r="A27" t="s">
        <v>234</v>
      </c>
      <c r="B27" t="s">
        <v>319</v>
      </c>
    </row>
    <row r="28" spans="1:2">
      <c r="A28" t="s">
        <v>234</v>
      </c>
      <c r="B28" t="s">
        <v>335</v>
      </c>
    </row>
    <row r="29" spans="1:2">
      <c r="A29" t="s">
        <v>234</v>
      </c>
      <c r="B29" t="s">
        <v>328</v>
      </c>
    </row>
    <row r="30" spans="1:2">
      <c r="A30" t="s">
        <v>234</v>
      </c>
      <c r="B30" t="s">
        <v>314</v>
      </c>
    </row>
    <row r="31" spans="1:2">
      <c r="A31" t="s">
        <v>234</v>
      </c>
      <c r="B31" t="s">
        <v>318</v>
      </c>
    </row>
    <row r="32" spans="1:2">
      <c r="A32" t="s">
        <v>234</v>
      </c>
      <c r="B32" t="s">
        <v>313</v>
      </c>
    </row>
    <row r="33" spans="1:2">
      <c r="A33" t="s">
        <v>234</v>
      </c>
      <c r="B33" t="s">
        <v>331</v>
      </c>
    </row>
    <row r="34" spans="1:2">
      <c r="A34" t="s">
        <v>234</v>
      </c>
      <c r="B34" t="s">
        <v>330</v>
      </c>
    </row>
    <row r="35" spans="1:2">
      <c r="A35" t="s">
        <v>234</v>
      </c>
      <c r="B35" t="s">
        <v>322</v>
      </c>
    </row>
    <row r="36" spans="1:2">
      <c r="A36" t="s">
        <v>234</v>
      </c>
      <c r="B36" t="s">
        <v>316</v>
      </c>
    </row>
    <row r="37" spans="1:2">
      <c r="A37" t="s">
        <v>234</v>
      </c>
      <c r="B37" t="s">
        <v>317</v>
      </c>
    </row>
    <row r="38" spans="1:2">
      <c r="A38" t="s">
        <v>374</v>
      </c>
      <c r="B38" t="s">
        <v>325</v>
      </c>
    </row>
    <row r="39" spans="1:2">
      <c r="A39" t="s">
        <v>374</v>
      </c>
      <c r="B39" t="s">
        <v>326</v>
      </c>
    </row>
    <row r="40" spans="1:2">
      <c r="A40" t="s">
        <v>374</v>
      </c>
      <c r="B40" t="s">
        <v>327</v>
      </c>
    </row>
    <row r="41" spans="1:2">
      <c r="A41" t="s">
        <v>374</v>
      </c>
      <c r="B41" t="s">
        <v>242</v>
      </c>
    </row>
    <row r="42" spans="1:2">
      <c r="A42" t="s">
        <v>374</v>
      </c>
      <c r="B42" t="s">
        <v>323</v>
      </c>
    </row>
    <row r="43" spans="1:2">
      <c r="A43" t="s">
        <v>374</v>
      </c>
      <c r="B43" t="s">
        <v>334</v>
      </c>
    </row>
    <row r="44" spans="1:2">
      <c r="A44" t="s">
        <v>374</v>
      </c>
      <c r="B44" t="s">
        <v>241</v>
      </c>
    </row>
    <row r="45" spans="1:2">
      <c r="A45" t="s">
        <v>374</v>
      </c>
      <c r="B45" t="s">
        <v>324</v>
      </c>
    </row>
    <row r="46" spans="1:2">
      <c r="A46" t="s">
        <v>235</v>
      </c>
      <c r="B46" t="s">
        <v>208</v>
      </c>
    </row>
    <row r="47" spans="1:2">
      <c r="A47" t="s">
        <v>235</v>
      </c>
      <c r="B47" t="s">
        <v>211</v>
      </c>
    </row>
    <row r="48" spans="1:2">
      <c r="A48" t="s">
        <v>235</v>
      </c>
      <c r="B48" t="s">
        <v>214</v>
      </c>
    </row>
    <row r="49" spans="1:2">
      <c r="A49" t="s">
        <v>235</v>
      </c>
      <c r="B49" t="s">
        <v>217</v>
      </c>
    </row>
    <row r="50" spans="1:2">
      <c r="A50" t="s">
        <v>235</v>
      </c>
      <c r="B50" t="s">
        <v>220</v>
      </c>
    </row>
    <row r="51" spans="1:2">
      <c r="A51" t="s">
        <v>235</v>
      </c>
      <c r="B51" t="s">
        <v>223</v>
      </c>
    </row>
    <row r="52" spans="1:2">
      <c r="A52" t="s">
        <v>235</v>
      </c>
      <c r="B52" t="s">
        <v>228</v>
      </c>
    </row>
    <row r="53" spans="1:2">
      <c r="A53" t="s">
        <v>235</v>
      </c>
      <c r="B53" t="s">
        <v>342</v>
      </c>
    </row>
    <row r="54" spans="1:2">
      <c r="A54" t="s">
        <v>235</v>
      </c>
      <c r="B54" t="s">
        <v>230</v>
      </c>
    </row>
    <row r="55" spans="1:2">
      <c r="A55" t="s">
        <v>235</v>
      </c>
      <c r="B55" t="s">
        <v>231</v>
      </c>
    </row>
    <row r="56" spans="1:2">
      <c r="A56" t="s">
        <v>235</v>
      </c>
      <c r="B56" t="s">
        <v>232</v>
      </c>
    </row>
    <row r="57" spans="1:2">
      <c r="A57" t="s">
        <v>235</v>
      </c>
      <c r="B57" t="s">
        <v>233</v>
      </c>
    </row>
    <row r="58" spans="1:2">
      <c r="A58" t="s">
        <v>235</v>
      </c>
      <c r="B58" t="s">
        <v>205</v>
      </c>
    </row>
    <row r="59" spans="1:2">
      <c r="A59" t="s">
        <v>235</v>
      </c>
      <c r="B59" t="s">
        <v>249</v>
      </c>
    </row>
    <row r="60" spans="1:2">
      <c r="A60" t="s">
        <v>236</v>
      </c>
      <c r="B60" t="s">
        <v>429</v>
      </c>
    </row>
    <row r="61" spans="1:2">
      <c r="A61" t="s">
        <v>236</v>
      </c>
      <c r="B61" t="s">
        <v>207</v>
      </c>
    </row>
    <row r="62" spans="1:2">
      <c r="A62" t="s">
        <v>236</v>
      </c>
      <c r="B62" t="s">
        <v>210</v>
      </c>
    </row>
    <row r="63" spans="1:2">
      <c r="A63" t="s">
        <v>236</v>
      </c>
      <c r="B63" t="s">
        <v>204</v>
      </c>
    </row>
    <row r="64" spans="1:2">
      <c r="A64" t="s">
        <v>236</v>
      </c>
      <c r="B64" t="s">
        <v>213</v>
      </c>
    </row>
    <row r="65" spans="1:2">
      <c r="A65" t="s">
        <v>236</v>
      </c>
      <c r="B65" t="s">
        <v>216</v>
      </c>
    </row>
    <row r="66" spans="1:2">
      <c r="A66" t="s">
        <v>236</v>
      </c>
      <c r="B66" t="s">
        <v>219</v>
      </c>
    </row>
    <row r="67" spans="1:2">
      <c r="A67" t="s">
        <v>236</v>
      </c>
      <c r="B67" t="s">
        <v>222</v>
      </c>
    </row>
    <row r="68" spans="1:2">
      <c r="A68" t="s">
        <v>236</v>
      </c>
      <c r="B68" t="s">
        <v>225</v>
      </c>
    </row>
    <row r="69" spans="1:2">
      <c r="A69" t="s">
        <v>236</v>
      </c>
      <c r="B69" t="s">
        <v>227</v>
      </c>
    </row>
    <row r="70" spans="1:2">
      <c r="A70" t="s">
        <v>248</v>
      </c>
      <c r="B70" t="s">
        <v>206</v>
      </c>
    </row>
    <row r="71" spans="1:2">
      <c r="A71" t="s">
        <v>248</v>
      </c>
      <c r="B71" t="s">
        <v>341</v>
      </c>
    </row>
    <row r="72" spans="1:2">
      <c r="A72" t="s">
        <v>248</v>
      </c>
      <c r="B72" t="s">
        <v>209</v>
      </c>
    </row>
    <row r="73" spans="1:2">
      <c r="A73" t="s">
        <v>248</v>
      </c>
      <c r="B73" t="s">
        <v>212</v>
      </c>
    </row>
    <row r="74" spans="1:2">
      <c r="A74" t="s">
        <v>248</v>
      </c>
      <c r="B74" t="s">
        <v>215</v>
      </c>
    </row>
    <row r="75" spans="1:2">
      <c r="A75" t="s">
        <v>248</v>
      </c>
      <c r="B75" t="s">
        <v>218</v>
      </c>
    </row>
    <row r="76" spans="1:2">
      <c r="A76" t="s">
        <v>248</v>
      </c>
      <c r="B76" t="s">
        <v>224</v>
      </c>
    </row>
    <row r="77" spans="1:2">
      <c r="A77" t="s">
        <v>248</v>
      </c>
      <c r="B77" t="s">
        <v>221</v>
      </c>
    </row>
    <row r="78" spans="1:2">
      <c r="A78" t="s">
        <v>248</v>
      </c>
      <c r="B78" t="s">
        <v>226</v>
      </c>
    </row>
    <row r="79" spans="1:2">
      <c r="A79" t="s">
        <v>248</v>
      </c>
      <c r="B79" t="s">
        <v>229</v>
      </c>
    </row>
  </sheetData>
  <sheetProtection sheet="1"/>
  <phoneticPr fontId="14" type="noConversion"/>
  <dataValidations count="1">
    <dataValidation type="list" allowBlank="1" showInputMessage="1" showErrorMessage="1" sqref="A18:A79">
      <formula1>INDIRECT("Должность[Должность]")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9A6A5-3F72-4E61-96B2-AC138935A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КАГ</vt:lpstr>
      <vt:lpstr>ЧКВ</vt:lpstr>
      <vt:lpstr>Карта учёта</vt:lpstr>
      <vt:lpstr>Вмешательства</vt:lpstr>
      <vt:lpstr>Расходный материал</vt:lpstr>
      <vt:lpstr>Сотрудники</vt:lpstr>
      <vt:lpstr>КАГ!Область_печати</vt:lpstr>
      <vt:lpstr>'Карта учёта'!Область_печати</vt:lpstr>
      <vt:lpstr>ЧКВ!Область_печати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Ангиограф Экстренный</cp:lastModifiedBy>
  <cp:lastPrinted>2022-05-04T19:05:17Z</cp:lastPrinted>
  <dcterms:created xsi:type="dcterms:W3CDTF">2015-06-05T18:19:34Z</dcterms:created>
  <dcterms:modified xsi:type="dcterms:W3CDTF">2022-05-07T11:04:17Z</dcterms:modified>
</cp:coreProperties>
</file>