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gioEmerg\Desktop\Щербаков\ПРОТОКОЛЫ\Протоколы\2022\05\25\"/>
    </mc:Choice>
  </mc:AlternateContent>
  <bookViews>
    <workbookView xWindow="-105" yWindow="-105" windowWidth="23250" windowHeight="12570"/>
  </bookViews>
  <sheets>
    <sheet name="КАГ" sheetId="6" r:id="rId1"/>
    <sheet name="ЧКВ" sheetId="9" r:id="rId2"/>
    <sheet name="Карта учёта" sheetId="3" r:id="rId3"/>
    <sheet name="Вмешательства" sheetId="4" r:id="rId4"/>
    <sheet name="Расходный материал" sheetId="1" r:id="rId5"/>
    <sheet name="Сотрудники" sheetId="5" r:id="rId6"/>
  </sheets>
  <definedNames>
    <definedName name="_xlnm._FilterDatabase" localSheetId="0" hidden="1">КАГ!#REF!</definedName>
    <definedName name="_xlnm._FilterDatabase" localSheetId="2"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'Карта учёта'!$A$2:$D$40</definedName>
    <definedName name="_xlnm.Print_Area" localSheetId="1">ЧКВ!$A$1:$H$54</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16" i="5" l="1"/>
  <c r="C2" i="3" l="1"/>
  <c r="A10" i="9"/>
  <c r="A16" i="3" l="1"/>
  <c r="B5" i="3" l="1"/>
  <c r="B15" i="9" l="1"/>
  <c r="H20" i="9" l="1"/>
  <c r="G20" i="9"/>
  <c r="G17" i="9" l="1"/>
  <c r="Q2" i="1"/>
  <c r="P2" i="1"/>
  <c r="O2" i="1"/>
  <c r="N2" i="1"/>
  <c r="M2" i="1"/>
  <c r="L2" i="1"/>
  <c r="K2" i="1"/>
  <c r="I2" i="1"/>
  <c r="J2" i="1"/>
  <c r="A9" i="3"/>
  <c r="G2" i="1"/>
  <c r="H2" i="1"/>
  <c r="F2" i="1"/>
  <c r="E2" i="1"/>
  <c r="A5" i="3"/>
  <c r="B6" i="3"/>
  <c r="G13" i="9"/>
  <c r="G51" i="9" s="1"/>
  <c r="G14" i="9"/>
  <c r="H13" i="9"/>
  <c r="G53" i="9" s="1"/>
  <c r="H14" i="9"/>
  <c r="H15" i="9"/>
  <c r="H16" i="9"/>
  <c r="H17" i="9"/>
  <c r="G16" i="9"/>
  <c r="G15" i="9"/>
  <c r="G53" i="6"/>
  <c r="B22" i="9"/>
  <c r="A22" i="9"/>
  <c r="B12" i="9"/>
  <c r="B16" i="9"/>
  <c r="B18" i="9"/>
  <c r="B19" i="9"/>
  <c r="B20" i="9"/>
  <c r="A9" i="9" s="1"/>
  <c r="D37" i="6"/>
  <c r="G51" i="6"/>
  <c r="A8" i="9"/>
  <c r="D10" i="3"/>
  <c r="B2" i="3" s="1"/>
  <c r="D9" i="3"/>
  <c r="D8" i="3"/>
  <c r="D7" i="3"/>
  <c r="D5" i="3"/>
  <c r="D4" i="3"/>
  <c r="AK7" i="1"/>
  <c r="AK8" i="1"/>
  <c r="AK3" i="1"/>
  <c r="AK4" i="1"/>
  <c r="AK5" i="1"/>
  <c r="AK6" i="1"/>
  <c r="AK2" i="1"/>
  <c r="B13" i="6"/>
  <c r="B17" i="9" s="1"/>
  <c r="A7" i="6"/>
  <c r="A25" i="3"/>
  <c r="A26" i="3"/>
  <c r="A27" i="3"/>
  <c r="A13" i="3"/>
  <c r="A14" i="3"/>
  <c r="A15" i="3"/>
  <c r="A17" i="3"/>
  <c r="A18" i="3"/>
  <c r="A19" i="3"/>
  <c r="A20" i="3"/>
  <c r="A21" i="3"/>
  <c r="A22" i="3"/>
  <c r="A23" i="3"/>
  <c r="A24" i="3"/>
  <c r="C12" i="5"/>
  <c r="C3" i="5"/>
  <c r="C4" i="5"/>
  <c r="C5" i="5"/>
  <c r="C6" i="5"/>
  <c r="C7" i="5"/>
  <c r="C8" i="5"/>
  <c r="C9" i="5"/>
  <c r="C10" i="5"/>
  <c r="C11" i="5"/>
  <c r="C13" i="5"/>
  <c r="C14" i="5"/>
  <c r="C15" i="5"/>
  <c r="C2" i="5"/>
  <c r="H22" i="9" l="1"/>
  <c r="A8" i="3"/>
  <c r="H3" i="1"/>
  <c r="I3" i="1"/>
  <c r="L3" i="1"/>
  <c r="L4" i="1" s="1"/>
  <c r="L5" i="1" s="1"/>
  <c r="N3" i="1"/>
  <c r="N4" i="1" s="1"/>
  <c r="N5" i="1" s="1"/>
  <c r="J3" i="1"/>
  <c r="O3" i="1"/>
  <c r="O4" i="1" s="1"/>
  <c r="Q3" i="1"/>
  <c r="P3" i="1"/>
  <c r="P4" i="1" s="1"/>
  <c r="P5" i="1" s="1"/>
  <c r="P6" i="1" s="1"/>
  <c r="P7" i="1" s="1"/>
  <c r="P8" i="1" s="1"/>
  <c r="D6" i="3"/>
  <c r="G22" i="9"/>
  <c r="E3" i="1"/>
  <c r="B37" i="3"/>
  <c r="K3" i="1"/>
  <c r="K4" i="1" s="1"/>
  <c r="M3" i="1"/>
  <c r="AD2" i="1"/>
  <c r="G3" i="1"/>
  <c r="G4" i="1" s="1"/>
  <c r="H4" i="1"/>
  <c r="A6" i="3"/>
  <c r="F3" i="1"/>
  <c r="I4" i="1" l="1"/>
  <c r="Q4" i="1"/>
  <c r="J4" i="1"/>
  <c r="E4" i="1"/>
  <c r="H5" i="1"/>
  <c r="O5" i="1"/>
  <c r="L6" i="1"/>
  <c r="N6" i="1"/>
  <c r="M4" i="1"/>
  <c r="P9" i="1"/>
  <c r="K5" i="1"/>
  <c r="AC2" i="1"/>
  <c r="G5" i="1"/>
  <c r="F4" i="1"/>
  <c r="I5" i="1" l="1"/>
  <c r="J5" i="1"/>
  <c r="N7" i="1"/>
  <c r="Q5" i="1"/>
  <c r="M5" i="1"/>
  <c r="F5" i="1"/>
  <c r="E5" i="1"/>
  <c r="Q6" i="1"/>
  <c r="Q7" i="1" s="1"/>
  <c r="G6" i="1"/>
  <c r="H6" i="1"/>
  <c r="O6" i="1"/>
  <c r="L7" i="1"/>
  <c r="P10" i="1"/>
  <c r="K6" i="1"/>
  <c r="J6" i="1" l="1"/>
  <c r="J7" i="1" s="1"/>
  <c r="N8" i="1"/>
  <c r="F6" i="1"/>
  <c r="I6" i="1"/>
  <c r="G7" i="1"/>
  <c r="E6" i="1"/>
  <c r="J8" i="1"/>
  <c r="M6" i="1"/>
  <c r="H7" i="1"/>
  <c r="O7" i="1"/>
  <c r="Q8" i="1"/>
  <c r="L8" i="1"/>
  <c r="K7" i="1"/>
  <c r="P11" i="1"/>
  <c r="G8" i="1" l="1"/>
  <c r="G9" i="1" s="1"/>
  <c r="N9" i="1"/>
  <c r="E7" i="1"/>
  <c r="E8" i="1" s="1"/>
  <c r="I7" i="1"/>
  <c r="I8" i="1" s="1"/>
  <c r="I9" i="1" s="1"/>
  <c r="N10" i="1"/>
  <c r="N11" i="1" s="1"/>
  <c r="F7" i="1"/>
  <c r="J9" i="1"/>
  <c r="J10" i="1" s="1"/>
  <c r="M7" i="1"/>
  <c r="M8" i="1" s="1"/>
  <c r="M9" i="1" s="1"/>
  <c r="O8" i="1"/>
  <c r="O9" i="1" s="1"/>
  <c r="O10" i="1" s="1"/>
  <c r="H8" i="1"/>
  <c r="E9" i="1"/>
  <c r="P12" i="1"/>
  <c r="Q9" i="1"/>
  <c r="Q10" i="1" s="1"/>
  <c r="L9" i="1"/>
  <c r="K8" i="1"/>
  <c r="H9" i="1" l="1"/>
  <c r="I10" i="1"/>
  <c r="I11" i="1" s="1"/>
  <c r="I12" i="1" s="1"/>
  <c r="F8" i="1"/>
  <c r="F9" i="1" s="1"/>
  <c r="F10" i="1" s="1"/>
  <c r="F11" i="1" s="1"/>
  <c r="F12" i="1" s="1"/>
  <c r="J11" i="1"/>
  <c r="E10" i="1"/>
  <c r="M10" i="1"/>
  <c r="M11" i="1" s="1"/>
  <c r="M12" i="1" s="1"/>
  <c r="K9" i="1"/>
  <c r="K10" i="1" s="1"/>
  <c r="N12" i="1"/>
  <c r="P13" i="1"/>
  <c r="P14" i="1" s="1"/>
  <c r="Q11" i="1"/>
  <c r="Q12" i="1" s="1"/>
  <c r="Q13" i="1" s="1"/>
  <c r="O11" i="1"/>
  <c r="O12" i="1" s="1"/>
  <c r="G10" i="1"/>
  <c r="L10" i="1"/>
  <c r="J12" i="1" l="1"/>
  <c r="J13" i="1" s="1"/>
  <c r="J14" i="1" s="1"/>
  <c r="J15" i="1" s="1"/>
  <c r="J16" i="1" s="1"/>
  <c r="H10" i="1"/>
  <c r="H11" i="1" s="1"/>
  <c r="H12" i="1" s="1"/>
  <c r="H13" i="1" s="1"/>
  <c r="N13" i="1"/>
  <c r="AA2" i="1" s="1"/>
  <c r="E11" i="1"/>
  <c r="F13" i="1"/>
  <c r="G11" i="1"/>
  <c r="G12" i="1" s="1"/>
  <c r="I13" i="1"/>
  <c r="I14" i="1" s="1"/>
  <c r="O13" i="1"/>
  <c r="O14" i="1" s="1"/>
  <c r="L11" i="1"/>
  <c r="L12" i="1" s="1"/>
  <c r="Q14" i="1"/>
  <c r="P15" i="1"/>
  <c r="M13" i="1"/>
  <c r="M14" i="1" s="1"/>
  <c r="K11" i="1"/>
  <c r="N14" i="1" l="1"/>
  <c r="N15" i="1" s="1"/>
  <c r="E12" i="1"/>
  <c r="H14" i="1"/>
  <c r="H15" i="1" s="1"/>
  <c r="F14" i="1"/>
  <c r="F15" i="1" s="1"/>
  <c r="I15" i="1"/>
  <c r="M15" i="1"/>
  <c r="O15" i="1"/>
  <c r="L13" i="1"/>
  <c r="L14" i="1" s="1"/>
  <c r="L15" i="1" s="1"/>
  <c r="J17" i="1"/>
  <c r="P16" i="1"/>
  <c r="Q15" i="1"/>
  <c r="N16" i="1"/>
  <c r="K12" i="1"/>
  <c r="G13" i="1"/>
  <c r="H16" i="1" l="1"/>
  <c r="H17" i="1" s="1"/>
  <c r="E13" i="1"/>
  <c r="F16" i="1"/>
  <c r="F17" i="1" s="1"/>
  <c r="I16" i="1"/>
  <c r="I17" i="1" s="1"/>
  <c r="M16" i="1"/>
  <c r="M17" i="1" s="1"/>
  <c r="J18" i="1"/>
  <c r="O16" i="1"/>
  <c r="O17" i="1" s="1"/>
  <c r="K13" i="1"/>
  <c r="K14" i="1" s="1"/>
  <c r="P17" i="1"/>
  <c r="Q16" i="1"/>
  <c r="N17" i="1"/>
  <c r="L16" i="1"/>
  <c r="G14" i="1"/>
  <c r="F18" i="1" l="1"/>
  <c r="F19" i="1" s="1"/>
  <c r="H18" i="1"/>
  <c r="H19" i="1" s="1"/>
  <c r="H20" i="1" s="1"/>
  <c r="H21" i="1" s="1"/>
  <c r="H22" i="1" s="1"/>
  <c r="E14" i="1"/>
  <c r="I18" i="1"/>
  <c r="I19" i="1" s="1"/>
  <c r="I20" i="1" s="1"/>
  <c r="I21" i="1" s="1"/>
  <c r="I22" i="1" s="1"/>
  <c r="I23" i="1" s="1"/>
  <c r="I24" i="1" s="1"/>
  <c r="P18" i="1"/>
  <c r="P19" i="1" s="1"/>
  <c r="P20" i="1" s="1"/>
  <c r="M18" i="1"/>
  <c r="M19" i="1" s="1"/>
  <c r="M20" i="1" s="1"/>
  <c r="O18" i="1"/>
  <c r="O19" i="1" s="1"/>
  <c r="J19" i="1"/>
  <c r="J20" i="1" s="1"/>
  <c r="J21" i="1" s="1"/>
  <c r="N18" i="1"/>
  <c r="L17" i="1"/>
  <c r="K15" i="1"/>
  <c r="K16" i="1" s="1"/>
  <c r="K17" i="1" s="1"/>
  <c r="Q17" i="1"/>
  <c r="G15" i="1"/>
  <c r="H23" i="1" l="1"/>
  <c r="E15" i="1"/>
  <c r="K18" i="1"/>
  <c r="K19" i="1" s="1"/>
  <c r="K20" i="1" s="1"/>
  <c r="K21" i="1" s="1"/>
  <c r="K22" i="1" s="1"/>
  <c r="K23" i="1" s="1"/>
  <c r="K24" i="1" s="1"/>
  <c r="Q18" i="1"/>
  <c r="Q19" i="1" s="1"/>
  <c r="Q20" i="1" s="1"/>
  <c r="Q21" i="1" s="1"/>
  <c r="Q22" i="1" s="1"/>
  <c r="Q23" i="1" s="1"/>
  <c r="Q24" i="1" s="1"/>
  <c r="P21" i="1"/>
  <c r="P22" i="1" s="1"/>
  <c r="I25" i="1"/>
  <c r="I26" i="1" s="1"/>
  <c r="AD12" i="1"/>
  <c r="AD9" i="1"/>
  <c r="AD11" i="1"/>
  <c r="AD4" i="1"/>
  <c r="AD6" i="1"/>
  <c r="AD3" i="1"/>
  <c r="AD5" i="1"/>
  <c r="AD8" i="1"/>
  <c r="AD10" i="1"/>
  <c r="AD7" i="1"/>
  <c r="AD15" i="1"/>
  <c r="AD13" i="1"/>
  <c r="AD14" i="1"/>
  <c r="M21" i="1"/>
  <c r="O20" i="1"/>
  <c r="AD19" i="1"/>
  <c r="N19" i="1"/>
  <c r="N20" i="1" s="1"/>
  <c r="J22" i="1"/>
  <c r="L18" i="1"/>
  <c r="G16" i="1"/>
  <c r="G17" i="1" s="1"/>
  <c r="F20" i="1"/>
  <c r="Q25" i="1" l="1"/>
  <c r="Q26" i="1" s="1"/>
  <c r="K25" i="1"/>
  <c r="K26" i="1" s="1"/>
  <c r="K27" i="1" s="1"/>
  <c r="E16" i="1"/>
  <c r="E17" i="1" s="1"/>
  <c r="H24" i="1"/>
  <c r="AD24" i="1"/>
  <c r="AD18" i="1"/>
  <c r="AD21" i="1"/>
  <c r="G18" i="1"/>
  <c r="G19" i="1" s="1"/>
  <c r="G20" i="1" s="1"/>
  <c r="AD26" i="1"/>
  <c r="I27" i="1"/>
  <c r="Q27" i="1"/>
  <c r="Q28" i="1" s="1"/>
  <c r="K28" i="1"/>
  <c r="M22" i="1"/>
  <c r="O21" i="1"/>
  <c r="N21" i="1"/>
  <c r="N22" i="1" s="1"/>
  <c r="P23" i="1"/>
  <c r="J23" i="1"/>
  <c r="J24" i="1" s="1"/>
  <c r="L19" i="1"/>
  <c r="L20" i="1" s="1"/>
  <c r="F21" i="1"/>
  <c r="G21" i="1" l="1"/>
  <c r="G22" i="1" s="1"/>
  <c r="G23" i="1" s="1"/>
  <c r="H25" i="1"/>
  <c r="E18" i="1"/>
  <c r="AD27" i="1"/>
  <c r="I28" i="1"/>
  <c r="Q29" i="1"/>
  <c r="K29" i="1"/>
  <c r="P24" i="1"/>
  <c r="M23" i="1"/>
  <c r="O22" i="1"/>
  <c r="J25" i="1"/>
  <c r="N23" i="1"/>
  <c r="L21" i="1"/>
  <c r="F22" i="1"/>
  <c r="H26" i="1" l="1"/>
  <c r="H27" i="1" s="1"/>
  <c r="H28" i="1" s="1"/>
  <c r="H29" i="1" s="1"/>
  <c r="E19" i="1"/>
  <c r="L22" i="1"/>
  <c r="L23" i="1" s="1"/>
  <c r="L24" i="1" s="1"/>
  <c r="M24" i="1"/>
  <c r="K30" i="1"/>
  <c r="Q30" i="1"/>
  <c r="AD25" i="1"/>
  <c r="I29" i="1"/>
  <c r="L25" i="1"/>
  <c r="L26" i="1" s="1"/>
  <c r="J26" i="1"/>
  <c r="J27" i="1" s="1"/>
  <c r="J28" i="1" s="1"/>
  <c r="J29" i="1" s="1"/>
  <c r="J30" i="1" s="1"/>
  <c r="J31" i="1" s="1"/>
  <c r="J32" i="1" s="1"/>
  <c r="J33" i="1" s="1"/>
  <c r="J34" i="1" s="1"/>
  <c r="J35" i="1" s="1"/>
  <c r="J36" i="1" s="1"/>
  <c r="J37" i="1" s="1"/>
  <c r="J38" i="1" s="1"/>
  <c r="G24" i="1"/>
  <c r="P25" i="1"/>
  <c r="N24" i="1"/>
  <c r="AA9" i="1"/>
  <c r="O23" i="1"/>
  <c r="O24" i="1" s="1"/>
  <c r="AA18" i="1"/>
  <c r="F23" i="1"/>
  <c r="F24" i="1" s="1"/>
  <c r="H30" i="1" l="1"/>
  <c r="H31" i="1" s="1"/>
  <c r="E20" i="1"/>
  <c r="W37" i="1"/>
  <c r="W38" i="1"/>
  <c r="W34" i="1"/>
  <c r="W36" i="1"/>
  <c r="W35" i="1"/>
  <c r="M25" i="1"/>
  <c r="M26" i="1" s="1"/>
  <c r="H32" i="1"/>
  <c r="W33" i="1"/>
  <c r="W32" i="1"/>
  <c r="AD30" i="1"/>
  <c r="Q31" i="1"/>
  <c r="K31" i="1"/>
  <c r="W30" i="1"/>
  <c r="W31" i="1"/>
  <c r="I30" i="1"/>
  <c r="L27" i="1"/>
  <c r="W29" i="1"/>
  <c r="AA13" i="1"/>
  <c r="G25" i="1"/>
  <c r="G26" i="1" s="1"/>
  <c r="W9" i="1"/>
  <c r="W14" i="1"/>
  <c r="W24" i="1"/>
  <c r="W20" i="1"/>
  <c r="W17" i="1"/>
  <c r="W22" i="1"/>
  <c r="W25" i="1"/>
  <c r="W15" i="1"/>
  <c r="W3" i="1"/>
  <c r="W23" i="1"/>
  <c r="W10" i="1"/>
  <c r="W21" i="1"/>
  <c r="W27" i="1"/>
  <c r="W28" i="1"/>
  <c r="W2" i="1"/>
  <c r="W8" i="1"/>
  <c r="W4" i="1"/>
  <c r="W13" i="1"/>
  <c r="W12" i="1"/>
  <c r="W7" i="1"/>
  <c r="W16" i="1"/>
  <c r="W18" i="1"/>
  <c r="W19" i="1"/>
  <c r="W11" i="1"/>
  <c r="W6" i="1"/>
  <c r="W5" i="1"/>
  <c r="W26" i="1"/>
  <c r="P26" i="1"/>
  <c r="N25" i="1"/>
  <c r="AC18" i="1"/>
  <c r="AC24" i="1"/>
  <c r="AC4" i="1"/>
  <c r="AC10" i="1"/>
  <c r="AC3" i="1"/>
  <c r="AC13" i="1"/>
  <c r="AC9" i="1"/>
  <c r="AC5" i="1"/>
  <c r="AC6" i="1"/>
  <c r="AC8" i="1"/>
  <c r="AC14" i="1"/>
  <c r="AC12" i="1"/>
  <c r="AC11" i="1"/>
  <c r="AC7" i="1"/>
  <c r="AC21" i="1"/>
  <c r="AC19" i="1"/>
  <c r="AC15" i="1"/>
  <c r="AA4" i="1"/>
  <c r="AA21" i="1"/>
  <c r="AA15" i="1"/>
  <c r="AA8" i="1"/>
  <c r="AA12" i="1"/>
  <c r="AA10" i="1"/>
  <c r="AA3" i="1"/>
  <c r="AA6" i="1"/>
  <c r="AA24" i="1"/>
  <c r="AA11" i="1"/>
  <c r="AA5" i="1"/>
  <c r="AA14" i="1"/>
  <c r="AA19" i="1"/>
  <c r="O25" i="1"/>
  <c r="O26" i="1" s="1"/>
  <c r="F25" i="1"/>
  <c r="E21" i="1" l="1"/>
  <c r="Q32" i="1"/>
  <c r="Q33" i="1" s="1"/>
  <c r="AD17" i="1" s="1"/>
  <c r="G27" i="1"/>
  <c r="G28" i="1" s="1"/>
  <c r="AD32" i="1"/>
  <c r="H33" i="1"/>
  <c r="H34" i="1" s="1"/>
  <c r="H35" i="1" s="1"/>
  <c r="H36" i="1" s="1"/>
  <c r="H37" i="1" s="1"/>
  <c r="H38" i="1" s="1"/>
  <c r="I31" i="1"/>
  <c r="I32" i="1" s="1"/>
  <c r="I33" i="1" s="1"/>
  <c r="I34" i="1" s="1"/>
  <c r="I35" i="1" s="1"/>
  <c r="I36" i="1" s="1"/>
  <c r="I37" i="1" s="1"/>
  <c r="I38" i="1" s="1"/>
  <c r="V2" i="1" s="1"/>
  <c r="K32" i="1"/>
  <c r="K33" i="1" s="1"/>
  <c r="K34" i="1" s="1"/>
  <c r="K35" i="1" s="1"/>
  <c r="K36" i="1" s="1"/>
  <c r="K37" i="1" s="1"/>
  <c r="K38" i="1" s="1"/>
  <c r="X2" i="1"/>
  <c r="AD31" i="1"/>
  <c r="AD29" i="1"/>
  <c r="AD28" i="1"/>
  <c r="L28" i="1"/>
  <c r="L29" i="1" s="1"/>
  <c r="M27" i="1"/>
  <c r="AB26" i="1"/>
  <c r="O27" i="1"/>
  <c r="AC26" i="1"/>
  <c r="P27" i="1"/>
  <c r="T2" i="1"/>
  <c r="F26" i="1"/>
  <c r="F27" i="1" s="1"/>
  <c r="N26" i="1"/>
  <c r="AB2" i="1"/>
  <c r="AB5" i="1"/>
  <c r="AB4" i="1"/>
  <c r="AB3" i="1"/>
  <c r="AB7" i="1"/>
  <c r="AB6" i="1"/>
  <c r="AB8" i="1"/>
  <c r="AB9" i="1"/>
  <c r="AB13" i="1"/>
  <c r="AB12" i="1"/>
  <c r="AB10" i="1"/>
  <c r="AB11" i="1"/>
  <c r="AB15" i="1"/>
  <c r="AB14" i="1"/>
  <c r="AB18" i="1"/>
  <c r="AB24" i="1"/>
  <c r="AB21" i="1"/>
  <c r="AB19" i="1"/>
  <c r="U2" i="1" l="1"/>
  <c r="E22" i="1"/>
  <c r="E23" i="1" s="1"/>
  <c r="E24" i="1" s="1"/>
  <c r="V37" i="1"/>
  <c r="V38" i="1"/>
  <c r="X37" i="1"/>
  <c r="X38" i="1"/>
  <c r="U37" i="1"/>
  <c r="U38" i="1"/>
  <c r="V34" i="1"/>
  <c r="V36" i="1"/>
  <c r="V35" i="1"/>
  <c r="X34" i="1"/>
  <c r="X35" i="1"/>
  <c r="X36" i="1"/>
  <c r="U34" i="1"/>
  <c r="U35" i="1"/>
  <c r="U36" i="1"/>
  <c r="U10" i="1"/>
  <c r="AD33" i="1"/>
  <c r="Q34" i="1"/>
  <c r="Q35" i="1" s="1"/>
  <c r="Q36" i="1" s="1"/>
  <c r="Q37" i="1" s="1"/>
  <c r="Q38" i="1" s="1"/>
  <c r="AD38" i="1" s="1"/>
  <c r="N27" i="1"/>
  <c r="X18" i="1"/>
  <c r="V24" i="1"/>
  <c r="V13" i="1"/>
  <c r="V23" i="1"/>
  <c r="V4" i="1"/>
  <c r="U17" i="1"/>
  <c r="U31" i="1"/>
  <c r="M28" i="1"/>
  <c r="M29" i="1" s="1"/>
  <c r="X8" i="1"/>
  <c r="X5" i="1"/>
  <c r="X25" i="1"/>
  <c r="X12" i="1"/>
  <c r="V19" i="1"/>
  <c r="V8" i="1"/>
  <c r="V31" i="1"/>
  <c r="V5" i="1"/>
  <c r="U32" i="1"/>
  <c r="U5" i="1"/>
  <c r="U27" i="1"/>
  <c r="U11" i="1"/>
  <c r="X17" i="1"/>
  <c r="X31" i="1"/>
  <c r="X24" i="1"/>
  <c r="X15" i="1"/>
  <c r="X19" i="1"/>
  <c r="X3" i="1"/>
  <c r="X23" i="1"/>
  <c r="X14" i="1"/>
  <c r="X13" i="1"/>
  <c r="X28" i="1"/>
  <c r="X6" i="1"/>
  <c r="X22" i="1"/>
  <c r="X27" i="1"/>
  <c r="X7" i="1"/>
  <c r="X4" i="1"/>
  <c r="X16" i="1"/>
  <c r="X9" i="1"/>
  <c r="X11" i="1"/>
  <c r="X26" i="1"/>
  <c r="X29" i="1"/>
  <c r="X20" i="1"/>
  <c r="X30" i="1"/>
  <c r="X10" i="1"/>
  <c r="X21" i="1"/>
  <c r="V17" i="1"/>
  <c r="V16" i="1"/>
  <c r="V21" i="1"/>
  <c r="V27" i="1"/>
  <c r="V10" i="1"/>
  <c r="V3" i="1"/>
  <c r="V7" i="1"/>
  <c r="V29" i="1"/>
  <c r="V6" i="1"/>
  <c r="V11" i="1"/>
  <c r="V22" i="1"/>
  <c r="V28" i="1"/>
  <c r="V20" i="1"/>
  <c r="V15" i="1"/>
  <c r="V9" i="1"/>
  <c r="V14" i="1"/>
  <c r="V12" i="1"/>
  <c r="V26" i="1"/>
  <c r="V18" i="1"/>
  <c r="V30" i="1"/>
  <c r="V25" i="1"/>
  <c r="U33" i="1"/>
  <c r="U3" i="1"/>
  <c r="U9" i="1"/>
  <c r="U23" i="1"/>
  <c r="U19" i="1"/>
  <c r="U12" i="1"/>
  <c r="U20" i="1"/>
  <c r="U6" i="1"/>
  <c r="U15" i="1"/>
  <c r="U4" i="1"/>
  <c r="U29" i="1"/>
  <c r="U21" i="1"/>
  <c r="U14" i="1"/>
  <c r="U30" i="1"/>
  <c r="U7" i="1"/>
  <c r="U18" i="1"/>
  <c r="U8" i="1"/>
  <c r="U25" i="1"/>
  <c r="U22" i="1"/>
  <c r="U16" i="1"/>
  <c r="U26" i="1"/>
  <c r="U24" i="1"/>
  <c r="U13" i="1"/>
  <c r="U28" i="1"/>
  <c r="X32" i="1"/>
  <c r="X33" i="1"/>
  <c r="V33" i="1"/>
  <c r="V32" i="1"/>
  <c r="L30" i="1"/>
  <c r="G29" i="1"/>
  <c r="G30" i="1" s="1"/>
  <c r="F28" i="1"/>
  <c r="AA27" i="1"/>
  <c r="N28" i="1"/>
  <c r="AC27" i="1"/>
  <c r="P28" i="1"/>
  <c r="AB27" i="1"/>
  <c r="O28" i="1"/>
  <c r="AA26" i="1"/>
  <c r="AA7" i="1"/>
  <c r="E25" i="1" l="1"/>
  <c r="AD37" i="1"/>
  <c r="AD16" i="1"/>
  <c r="AD36" i="1"/>
  <c r="AD35" i="1"/>
  <c r="AD34" i="1"/>
  <c r="AD20" i="1"/>
  <c r="AD23" i="1"/>
  <c r="AD22" i="1"/>
  <c r="G31" i="1"/>
  <c r="G32" i="1" s="1"/>
  <c r="G33" i="1" s="1"/>
  <c r="G34" i="1" s="1"/>
  <c r="G35" i="1" s="1"/>
  <c r="G36" i="1" s="1"/>
  <c r="G37" i="1" s="1"/>
  <c r="G38" i="1" s="1"/>
  <c r="L31" i="1"/>
  <c r="L32" i="1" s="1"/>
  <c r="M30" i="1"/>
  <c r="F29" i="1"/>
  <c r="F30" i="1" s="1"/>
  <c r="N29" i="1"/>
  <c r="P29" i="1"/>
  <c r="O29" i="1"/>
  <c r="E26" i="1" l="1"/>
  <c r="T37" i="1"/>
  <c r="T38" i="1"/>
  <c r="T34" i="1"/>
  <c r="T36" i="1"/>
  <c r="T35" i="1"/>
  <c r="T19" i="1"/>
  <c r="T15" i="1"/>
  <c r="T21" i="1"/>
  <c r="T24" i="1"/>
  <c r="T14" i="1"/>
  <c r="T6" i="1"/>
  <c r="T17" i="1"/>
  <c r="T11" i="1"/>
  <c r="T28" i="1"/>
  <c r="T3" i="1"/>
  <c r="T7" i="1"/>
  <c r="T25" i="1"/>
  <c r="T8" i="1"/>
  <c r="T12" i="1"/>
  <c r="T26" i="1"/>
  <c r="T9" i="1"/>
  <c r="T13" i="1"/>
  <c r="T23" i="1"/>
  <c r="T22" i="1"/>
  <c r="T16" i="1"/>
  <c r="T18" i="1"/>
  <c r="T5" i="1"/>
  <c r="T10" i="1"/>
  <c r="T4" i="1"/>
  <c r="T27" i="1"/>
  <c r="T20" i="1"/>
  <c r="T29" i="1"/>
  <c r="T30" i="1"/>
  <c r="T31" i="1"/>
  <c r="F31" i="1"/>
  <c r="F32" i="1" s="1"/>
  <c r="F33" i="1" s="1"/>
  <c r="F34" i="1" s="1"/>
  <c r="F35" i="1" s="1"/>
  <c r="F36" i="1" s="1"/>
  <c r="F37" i="1" s="1"/>
  <c r="F38" i="1" s="1"/>
  <c r="T32" i="1"/>
  <c r="T33" i="1"/>
  <c r="L33" i="1"/>
  <c r="M31" i="1"/>
  <c r="N30" i="1"/>
  <c r="O30" i="1"/>
  <c r="P30" i="1"/>
  <c r="AC25" i="1"/>
  <c r="AB25" i="1"/>
  <c r="AA25" i="1"/>
  <c r="E27" i="1" l="1"/>
  <c r="S37" i="1"/>
  <c r="S38" i="1"/>
  <c r="S35" i="1"/>
  <c r="S36" i="1"/>
  <c r="M32" i="1"/>
  <c r="M33" i="1" s="1"/>
  <c r="L34" i="1"/>
  <c r="S2" i="1"/>
  <c r="S34" i="1"/>
  <c r="S19" i="1"/>
  <c r="S8" i="1"/>
  <c r="S6" i="1"/>
  <c r="S16" i="1"/>
  <c r="S27" i="1"/>
  <c r="S13" i="1"/>
  <c r="S11" i="1"/>
  <c r="S26" i="1"/>
  <c r="S23" i="1"/>
  <c r="S29" i="1"/>
  <c r="S21" i="1"/>
  <c r="S9" i="1"/>
  <c r="S5" i="1"/>
  <c r="S15" i="1"/>
  <c r="S4" i="1"/>
  <c r="S24" i="1"/>
  <c r="S14" i="1"/>
  <c r="S10" i="1"/>
  <c r="S12" i="1"/>
  <c r="S18" i="1"/>
  <c r="S7" i="1"/>
  <c r="S20" i="1"/>
  <c r="S25" i="1"/>
  <c r="S17" i="1"/>
  <c r="S22" i="1"/>
  <c r="S30" i="1"/>
  <c r="S28" i="1"/>
  <c r="S3" i="1"/>
  <c r="S31" i="1"/>
  <c r="S32" i="1"/>
  <c r="S33" i="1"/>
  <c r="Z31" i="1"/>
  <c r="Z28" i="1"/>
  <c r="AC30" i="1"/>
  <c r="P31" i="1"/>
  <c r="AB30" i="1"/>
  <c r="O31" i="1"/>
  <c r="AA30" i="1"/>
  <c r="N31" i="1"/>
  <c r="E28" i="1" l="1"/>
  <c r="L35" i="1"/>
  <c r="Z32" i="1"/>
  <c r="M34" i="1"/>
  <c r="Z2" i="1"/>
  <c r="Z12" i="1"/>
  <c r="Z10" i="1"/>
  <c r="Z3" i="1"/>
  <c r="Z15" i="1"/>
  <c r="Z23" i="1"/>
  <c r="Z9" i="1"/>
  <c r="Z6" i="1"/>
  <c r="Z19" i="1"/>
  <c r="Z11" i="1"/>
  <c r="Z25" i="1"/>
  <c r="Z5" i="1"/>
  <c r="Z14" i="1"/>
  <c r="Z8" i="1"/>
  <c r="Z27" i="1"/>
  <c r="Z29" i="1"/>
  <c r="Z33" i="1"/>
  <c r="Z17" i="1"/>
  <c r="Z21" i="1"/>
  <c r="Z22" i="1"/>
  <c r="Z26" i="1"/>
  <c r="Z30" i="1"/>
  <c r="Z18" i="1"/>
  <c r="Z24" i="1"/>
  <c r="Z7" i="1"/>
  <c r="Z4" i="1"/>
  <c r="Z13" i="1"/>
  <c r="AB31" i="1"/>
  <c r="O32" i="1"/>
  <c r="O33" i="1" s="1"/>
  <c r="AA31" i="1"/>
  <c r="N32" i="1"/>
  <c r="N33" i="1" s="1"/>
  <c r="AC31" i="1"/>
  <c r="P32" i="1"/>
  <c r="P33" i="1" s="1"/>
  <c r="AA29" i="1"/>
  <c r="AB29" i="1"/>
  <c r="AC29" i="1"/>
  <c r="AC28" i="1"/>
  <c r="AA28" i="1"/>
  <c r="AB28" i="1"/>
  <c r="E29" i="1" l="1"/>
  <c r="E30" i="1"/>
  <c r="E31" i="1" s="1"/>
  <c r="L36" i="1"/>
  <c r="Y32" i="1"/>
  <c r="Z34" i="1"/>
  <c r="M35" i="1"/>
  <c r="AC17" i="1"/>
  <c r="P34" i="1"/>
  <c r="P35" i="1" s="1"/>
  <c r="P36" i="1" s="1"/>
  <c r="P37" i="1" s="1"/>
  <c r="P38" i="1" s="1"/>
  <c r="AC38" i="1" s="1"/>
  <c r="AA17" i="1"/>
  <c r="N34" i="1"/>
  <c r="N35" i="1" s="1"/>
  <c r="N36" i="1" s="1"/>
  <c r="N37" i="1" s="1"/>
  <c r="N38" i="1" s="1"/>
  <c r="AA38" i="1" s="1"/>
  <c r="AB17" i="1"/>
  <c r="O34" i="1"/>
  <c r="O35" i="1" s="1"/>
  <c r="O36" i="1" s="1"/>
  <c r="O37" i="1" s="1"/>
  <c r="O38" i="1" s="1"/>
  <c r="AB38" i="1" s="1"/>
  <c r="AC33" i="1"/>
  <c r="AC32" i="1"/>
  <c r="AA33" i="1"/>
  <c r="AA32" i="1"/>
  <c r="AB33" i="1"/>
  <c r="AB32" i="1"/>
  <c r="E32" i="1" l="1"/>
  <c r="E33" i="1" s="1"/>
  <c r="E34" i="1" s="1"/>
  <c r="Y16" i="1"/>
  <c r="L37" i="1"/>
  <c r="L38" i="1" s="1"/>
  <c r="Y4" i="1"/>
  <c r="Y30" i="1"/>
  <c r="Y35" i="1"/>
  <c r="Y15" i="1"/>
  <c r="Y23" i="1"/>
  <c r="Y34" i="1"/>
  <c r="Y18" i="1"/>
  <c r="Y31" i="1"/>
  <c r="Y20" i="1"/>
  <c r="AA37" i="1"/>
  <c r="AA16" i="1"/>
  <c r="AC37" i="1"/>
  <c r="AC16" i="1"/>
  <c r="AB37" i="1"/>
  <c r="AB16" i="1"/>
  <c r="Y37" i="1"/>
  <c r="Y12" i="1"/>
  <c r="Y6" i="1"/>
  <c r="Y5" i="1"/>
  <c r="Y28" i="1"/>
  <c r="Y22" i="1"/>
  <c r="Y26" i="1"/>
  <c r="Y29" i="1"/>
  <c r="Y33" i="1"/>
  <c r="Y8" i="1"/>
  <c r="Y27" i="1"/>
  <c r="Y11" i="1"/>
  <c r="Y13" i="1"/>
  <c r="Y24" i="1"/>
  <c r="Y19" i="1"/>
  <c r="Y21" i="1"/>
  <c r="Y36" i="1"/>
  <c r="Y2" i="1"/>
  <c r="Y3" i="1"/>
  <c r="Y7" i="1"/>
  <c r="Y14" i="1"/>
  <c r="Y10" i="1"/>
  <c r="Y9" i="1"/>
  <c r="Y25" i="1"/>
  <c r="Y17" i="1"/>
  <c r="M36" i="1"/>
  <c r="AB36" i="1"/>
  <c r="AB35" i="1"/>
  <c r="AA36" i="1"/>
  <c r="AA35" i="1"/>
  <c r="AC36" i="1"/>
  <c r="AC35" i="1"/>
  <c r="Z35" i="1"/>
  <c r="AB20" i="1"/>
  <c r="AB23" i="1"/>
  <c r="AA23" i="1"/>
  <c r="AA20" i="1"/>
  <c r="AC23" i="1"/>
  <c r="AC20" i="1"/>
  <c r="AB34" i="1"/>
  <c r="AB22" i="1"/>
  <c r="AA34" i="1"/>
  <c r="AA22" i="1"/>
  <c r="AC34" i="1"/>
  <c r="AC22" i="1"/>
  <c r="Y38" i="1" l="1"/>
  <c r="E35" i="1"/>
  <c r="E36" i="1" s="1"/>
  <c r="R2" i="1" s="1"/>
  <c r="Z20" i="1"/>
  <c r="M37" i="1"/>
  <c r="Z36" i="1"/>
  <c r="E37" i="1" l="1"/>
  <c r="E38" i="1" s="1"/>
  <c r="R25" i="1" s="1"/>
  <c r="Z37" i="1"/>
  <c r="M38" i="1"/>
  <c r="Z38" i="1" s="1"/>
  <c r="Z16" i="1"/>
  <c r="R30" i="1" l="1"/>
  <c r="R38" i="1"/>
  <c r="R4" i="1"/>
  <c r="R32" i="1"/>
  <c r="R35" i="1"/>
  <c r="R21" i="1"/>
  <c r="R13" i="1"/>
  <c r="R7" i="1"/>
  <c r="R29" i="1"/>
  <c r="R17" i="1"/>
  <c r="R3" i="1"/>
  <c r="R18" i="1"/>
  <c r="R24" i="1"/>
  <c r="R26" i="1"/>
  <c r="R5" i="1"/>
  <c r="R23" i="1"/>
  <c r="R6" i="1"/>
  <c r="R22" i="1"/>
  <c r="R10" i="1"/>
  <c r="R19" i="1"/>
  <c r="R12" i="1"/>
  <c r="R15" i="1"/>
  <c r="R27" i="1"/>
  <c r="R16" i="1"/>
  <c r="R20" i="1"/>
  <c r="R8" i="1"/>
  <c r="R9" i="1"/>
  <c r="R34" i="1"/>
  <c r="R33" i="1"/>
  <c r="R36" i="1"/>
  <c r="R37" i="1"/>
  <c r="R28" i="1"/>
  <c r="R31" i="1"/>
  <c r="R11" i="1"/>
  <c r="R14" i="1"/>
</calcChain>
</file>

<file path=xl/comments1.xml><?xml version="1.0" encoding="utf-8"?>
<comments xmlns="http://schemas.openxmlformats.org/spreadsheetml/2006/main">
  <authors>
    <author>Андрей Щербаков</author>
  </authors>
  <commentList>
    <comment ref="B8" authorId="0" shapeId="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authors>
    <author>Ангиограф Экстренный</author>
  </authors>
  <commentList>
    <comment ref="C8" authorId="0" shapeId="0">
      <text>
        <r>
          <rPr>
            <sz val="9"/>
            <color indexed="81"/>
            <rFont val="Tahoma"/>
            <family val="2"/>
            <charset val="204"/>
          </rPr>
          <t xml:space="preserve">Выбрать:
</t>
        </r>
      </text>
    </comment>
    <comment ref="F8" authorId="0" shapeId="0">
      <text>
        <r>
          <rPr>
            <sz val="9"/>
            <color indexed="81"/>
            <rFont val="Tahoma"/>
            <family val="2"/>
            <charset val="204"/>
          </rPr>
          <t>Выбрать</t>
        </r>
        <r>
          <rPr>
            <b/>
            <sz val="9"/>
            <color indexed="81"/>
            <rFont val="Tahoma"/>
            <family val="2"/>
            <charset val="204"/>
          </rPr>
          <t xml:space="preserve">:
</t>
        </r>
      </text>
    </comment>
    <comment ref="G8" authorId="0" shapeId="0">
      <text>
        <r>
          <rPr>
            <sz val="9"/>
            <color indexed="81"/>
            <rFont val="Tahoma"/>
            <family val="2"/>
            <charset val="204"/>
          </rPr>
          <t>Выбрать:</t>
        </r>
      </text>
    </comment>
  </commentList>
</comments>
</file>

<file path=xl/connections.xml><?xml version="1.0" encoding="utf-8"?>
<connections xmlns="http://schemas.openxmlformats.org/spreadsheetml/2006/main">
  <connection id="1"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<sst xmlns="http://schemas.openxmlformats.org/spreadsheetml/2006/main" count="720" uniqueCount="460">
  <si>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</si>
  <si>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</si>
  <si>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</si>
  <si>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</si>
  <si>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</si>
  <si>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</si>
  <si>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</si>
  <si>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</si>
  <si>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</si>
  <si>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</si>
  <si>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</si>
  <si>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</si>
  <si>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</si>
  <si>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</si>
  <si>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</si>
  <si>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</si>
  <si>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</si>
  <si>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</si>
  <si>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</si>
  <si>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</si>
  <si>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</si>
  <si>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</si>
  <si>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</si>
  <si>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</si>
  <si>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</si>
  <si>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</si>
  <si>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</si>
  <si>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</si>
  <si>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</si>
  <si>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</si>
  <si>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</si>
  <si>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</si>
  <si>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</si>
  <si>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</si>
  <si>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</si>
  <si>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</si>
  <si>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</si>
  <si>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</si>
  <si>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</si>
  <si>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</si>
  <si>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</si>
  <si>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</si>
  <si>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</si>
  <si>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</si>
  <si>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</si>
  <si>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</si>
  <si>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</si>
  <si>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</si>
  <si>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</si>
  <si>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</si>
  <si>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</si>
  <si>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</si>
  <si>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</si>
  <si>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</si>
  <si>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</si>
  <si>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</si>
  <si>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</si>
  <si>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</si>
  <si>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</si>
  <si>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</si>
  <si>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</si>
  <si>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</si>
  <si>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</si>
  <si>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</si>
  <si>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</si>
  <si>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</si>
  <si>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</si>
  <si>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</si>
  <si>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</si>
  <si>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</si>
  <si>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</si>
  <si>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</si>
  <si>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</si>
  <si>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</si>
  <si>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</si>
  <si>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</si>
  <si>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</si>
  <si>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</si>
  <si>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</si>
  <si>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</si>
  <si>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</si>
  <si>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</si>
  <si>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</si>
  <si>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</si>
  <si>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</si>
  <si>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</si>
  <si>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</si>
  <si>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</si>
  <si>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</si>
  <si>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Расходный материал</t>
  </si>
  <si>
    <t>Код</t>
  </si>
  <si>
    <t>DES Стент коронарный</t>
  </si>
  <si>
    <t>BMS Стент коронарный</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</si>
  <si>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</si>
  <si>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</si>
  <si>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</si>
  <si>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</si>
  <si>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</si>
  <si>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r>
      <t xml:space="preserve">ОКС с </t>
    </r>
    <r>
      <rPr>
        <sz val="11"/>
        <color theme="1"/>
        <rFont val="Calibri"/>
        <family val="2"/>
        <charset val="204"/>
      </rPr>
      <t>↑</t>
    </r>
    <r>
      <rPr>
        <sz val="11"/>
        <color theme="1"/>
        <rFont val="Calibri"/>
        <family val="2"/>
      </rPr>
      <t xml:space="preserve"> ST</t>
    </r>
  </si>
  <si>
    <t>A16.12.026.012. Осл.63</t>
  </si>
  <si>
    <t>1 стент</t>
  </si>
  <si>
    <t>2 стент</t>
  </si>
  <si>
    <t>3 стент</t>
  </si>
  <si>
    <t>1.5 - 15</t>
  </si>
  <si>
    <t>2.0 - 15</t>
  </si>
  <si>
    <t>2.5 - 15</t>
  </si>
  <si>
    <t>3.0 - 6</t>
  </si>
  <si>
    <t>3.0 - 8</t>
  </si>
  <si>
    <t>3.0 - 12</t>
  </si>
  <si>
    <t>3.5 - 6</t>
  </si>
  <si>
    <t>3.5 - 8</t>
  </si>
  <si>
    <t>3.5 - 12</t>
  </si>
  <si>
    <t>3.5 - 15</t>
  </si>
  <si>
    <t>2.75 - 15</t>
  </si>
  <si>
    <t>4.0 - 6</t>
  </si>
  <si>
    <t>4.0 - 8</t>
  </si>
  <si>
    <t>4.0 - 12</t>
  </si>
  <si>
    <t>4.0 - 15</t>
  </si>
  <si>
    <t>4.5 - 6</t>
  </si>
  <si>
    <t>4.5 - 8</t>
  </si>
  <si>
    <t>4.5 - 12</t>
  </si>
  <si>
    <t>4.5 - 15</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</si>
  <si>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</si>
  <si>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</si>
  <si>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</si>
  <si>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</si>
  <si>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</si>
  <si>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</si>
  <si>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</si>
  <si>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</si>
  <si>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</si>
  <si>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</si>
  <si>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</si>
  <si>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</si>
  <si>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</si>
  <si>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</si>
  <si>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</si>
  <si>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</si>
  <si>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</si>
  <si>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</si>
  <si>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</si>
  <si>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</si>
  <si>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</si>
  <si>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</si>
  <si>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</si>
  <si>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</si>
  <si>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</si>
  <si>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</si>
  <si>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А. Нефёдова </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</si>
  <si>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</si>
  <si>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</si>
  <si>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</si>
  <si>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</si>
  <si>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</si>
  <si>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</si>
  <si>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</si>
  <si>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</si>
  <si>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Коронарный проводник</t>
  </si>
  <si>
    <t>Атеросклероз БЦА</t>
  </si>
  <si>
    <t>2.25 - 15</t>
  </si>
  <si>
    <t>Тип</t>
  </si>
  <si>
    <t>2.25 - 18</t>
  </si>
  <si>
    <t>2.5 - 18</t>
  </si>
  <si>
    <t>3.5 - 18</t>
  </si>
  <si>
    <t>4.5 - 18</t>
  </si>
  <si>
    <t>2.5 - 22</t>
  </si>
  <si>
    <t>2.5 - 30</t>
  </si>
  <si>
    <t>2.5 - 26</t>
  </si>
  <si>
    <t>3.5 - 26</t>
  </si>
  <si>
    <t>2.5 - 34</t>
  </si>
  <si>
    <t>2.5 - 38</t>
  </si>
  <si>
    <t>3.0 - 18</t>
  </si>
  <si>
    <t>3.0 - 22</t>
  </si>
  <si>
    <t>3.0 - 26</t>
  </si>
  <si>
    <t>3.0 - 30</t>
  </si>
  <si>
    <t>3.0 - 34</t>
  </si>
  <si>
    <t>3.0 - 38</t>
  </si>
  <si>
    <t>3.0 - 15</t>
  </si>
  <si>
    <t>3.5 - 22</t>
  </si>
  <si>
    <t>3.5 - 30</t>
  </si>
  <si>
    <t>3.5 - 34</t>
  </si>
  <si>
    <t>3.5 - 38</t>
  </si>
  <si>
    <t>4.0 - 18</t>
  </si>
  <si>
    <t>4.0 - 22</t>
  </si>
  <si>
    <t>4.0 - 26</t>
  </si>
  <si>
    <t>4.0 - 30</t>
  </si>
  <si>
    <t>4.0 - 34</t>
  </si>
  <si>
    <t>4.0 - 38</t>
  </si>
  <si>
    <t>4.0 - 9</t>
  </si>
  <si>
    <t>3.5 - 9</t>
  </si>
  <si>
    <t>Размеры</t>
  </si>
  <si>
    <t>Модель</t>
  </si>
  <si>
    <t>Метод</t>
  </si>
  <si>
    <t>ИБС</t>
  </si>
  <si>
    <t>Код модели</t>
  </si>
  <si>
    <t>Код метода</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</si>
  <si>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</si>
  <si>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</si>
  <si>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</si>
  <si>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</si>
  <si>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</si>
  <si>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</si>
  <si>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</si>
  <si>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</si>
  <si>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</si>
  <si>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</si>
  <si>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</si>
  <si>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</si>
  <si>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</si>
  <si>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</si>
  <si>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</si>
  <si>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</si>
  <si>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</si>
  <si>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</si>
  <si>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</si>
  <si>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</si>
  <si>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</si>
  <si>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</si>
  <si>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</si>
  <si>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</si>
  <si>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</si>
  <si>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</si>
  <si>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</si>
  <si>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</si>
  <si>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</si>
  <si>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</si>
  <si>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</si>
  <si>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</si>
  <si>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</si>
  <si>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</si>
  <si>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</si>
  <si>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</si>
  <si>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</si>
  <si>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</si>
  <si>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</si>
  <si>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</si>
  <si>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</si>
  <si>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</si>
  <si>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</si>
  <si>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</si>
  <si>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</si>
  <si>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</si>
  <si>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</si>
  <si>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</si>
  <si>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</si>
  <si>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</si>
  <si>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</si>
  <si>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</si>
  <si>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</si>
  <si>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</si>
  <si>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</si>
  <si>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Транслюминальная баллонная ангиопластика коронарных артерий. БАП</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</si>
  <si>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</si>
  <si>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</si>
  <si>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</si>
  <si>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</si>
  <si>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</si>
  <si>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</si>
  <si>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</si>
  <si>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</si>
  <si>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</si>
  <si>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</si>
  <si>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</si>
  <si>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</si>
  <si>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</si>
  <si>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</si>
  <si>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</si>
  <si>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</si>
  <si>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</si>
  <si>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</si>
  <si>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</si>
  <si>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</si>
  <si>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</si>
  <si>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</si>
  <si>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</si>
  <si>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</si>
  <si>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</si>
  <si>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</si>
  <si>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</si>
  <si>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</si>
  <si>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</si>
  <si>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</si>
  <si>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</si>
  <si>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</si>
  <si>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</si>
  <si>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</si>
  <si>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</si>
  <si>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</si>
  <si>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</si>
  <si>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</si>
  <si>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</si>
  <si>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</si>
  <si>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</si>
  <si>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</si>
  <si>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</si>
  <si>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</si>
  <si>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</si>
  <si>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</si>
  <si>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</si>
  <si>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</si>
  <si>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</si>
  <si>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</si>
  <si>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</si>
  <si>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</si>
  <si>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</si>
  <si>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</si>
  <si>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</si>
  <si>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</si>
  <si>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</si>
  <si>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</si>
  <si>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</si>
  <si>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</si>
  <si>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</si>
  <si>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</si>
  <si>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</si>
  <si>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</si>
  <si>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</si>
  <si>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</si>
  <si>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</si>
  <si>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</si>
  <si>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</si>
  <si>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</si>
  <si>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</si>
  <si>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</si>
  <si>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</si>
  <si>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</si>
  <si>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</si>
  <si>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</si>
  <si>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</si>
  <si>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</si>
  <si>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</si>
  <si>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</si>
  <si>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</si>
  <si>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</si>
  <si>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</si>
  <si>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</si>
  <si>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</si>
  <si>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</si>
  <si>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</si>
  <si>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Время скопии</t>
  </si>
  <si>
    <t>Доза</t>
  </si>
  <si>
    <t>Белугина Н.М.</t>
  </si>
  <si>
    <t>Синицина И.А.</t>
  </si>
  <si>
    <t>Доза (mGy)</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</si>
  <si>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</si>
  <si>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</si>
  <si>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</si>
  <si>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</si>
  <si>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</si>
  <si>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</si>
  <si>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</si>
  <si>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</si>
  <si>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</si>
  <si>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</si>
  <si>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</si>
  <si>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</si>
  <si>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</si>
  <si>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</si>
  <si>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</si>
  <si>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</si>
  <si>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</si>
  <si>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</si>
  <si>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</si>
  <si>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</si>
  <si>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</si>
  <si>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</si>
  <si>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</si>
  <si>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</si>
  <si>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</si>
  <si>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</si>
  <si>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 xml:space="preserve">Заведующий отделения: Д.В. Карчевский </t>
  </si>
  <si>
    <t>Медведева А.</t>
  </si>
  <si>
    <t>М/С-анестезист</t>
  </si>
  <si>
    <t>Бородкина С.А.</t>
  </si>
  <si>
    <t>4.5 - 9</t>
  </si>
  <si>
    <t>5.0 - 6</t>
  </si>
  <si>
    <t>5.0 - 8</t>
  </si>
  <si>
    <t>ВМП 1</t>
  </si>
  <si>
    <t>Транслюминальная баллонная ангиопластика коронарных артерий. БАП/попытка.</t>
  </si>
  <si>
    <t>Индефлятор</t>
  </si>
  <si>
    <t>NC Euphora</t>
  </si>
  <si>
    <t>Диагностический проводник</t>
  </si>
  <si>
    <t>DES</t>
  </si>
  <si>
    <t>Hunter® 6F</t>
  </si>
  <si>
    <t>лучевой</t>
  </si>
  <si>
    <t>Извлечён</t>
  </si>
  <si>
    <r>
      <t>ОКС БП</t>
    </r>
    <r>
      <rPr>
        <sz val="11"/>
        <color theme="1"/>
        <rFont val="Calibri"/>
        <family val="2"/>
      </rPr>
      <t>ST</t>
    </r>
  </si>
  <si>
    <t>ОКС БПST</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</si>
  <si>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</si>
  <si>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</si>
  <si>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</si>
  <si>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</si>
  <si>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</si>
  <si>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</si>
  <si>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</si>
  <si>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</si>
  <si>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</si>
  <si>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</si>
  <si>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</si>
  <si>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</si>
  <si>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</si>
  <si>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</si>
  <si>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</si>
  <si>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</si>
  <si>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</si>
  <si>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</si>
  <si>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</si>
  <si>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</si>
  <si>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</si>
  <si>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</si>
  <si>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</si>
  <si>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</si>
  <si>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</si>
  <si>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</si>
  <si>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</si>
  <si>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</si>
  <si>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</si>
  <si>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</si>
  <si>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3.75 - 15</t>
  </si>
  <si>
    <t>Launcher 7F JL 4.0</t>
  </si>
  <si>
    <t>Launcher 7F JL 3.5</t>
  </si>
  <si>
    <t>3.75 - 8</t>
  </si>
  <si>
    <t>2.25 - 22</t>
  </si>
  <si>
    <t>2.75 - 18</t>
  </si>
  <si>
    <t>2.75 - 22</t>
  </si>
  <si>
    <t>2.75 - 26</t>
  </si>
  <si>
    <t>2.75 - 30</t>
  </si>
  <si>
    <t>Анохин В.С.</t>
  </si>
  <si>
    <t>Cougar XT Hydro-Track®</t>
  </si>
  <si>
    <t>Telescope ™ II 6F</t>
  </si>
  <si>
    <t>3.5 - 28</t>
  </si>
  <si>
    <t>DES, NanoMed</t>
  </si>
  <si>
    <t>DES, Calipso</t>
  </si>
  <si>
    <t>2.25 - 28</t>
  </si>
  <si>
    <t>3.0 - 32</t>
  </si>
  <si>
    <t>3.5 - 32</t>
  </si>
  <si>
    <t>2.5 - 28</t>
  </si>
  <si>
    <t>2.5 - 32</t>
  </si>
  <si>
    <t>Проводник коронарный  1g, Angioline</t>
  </si>
  <si>
    <t>2.75 - 28</t>
  </si>
  <si>
    <t>2.75 - 32</t>
  </si>
  <si>
    <t>4.5 - 22</t>
  </si>
  <si>
    <t>Транслюминальная баллонная ангиопластика и стентирование коронарных артерий. Тромбаспирация.</t>
  </si>
  <si>
    <t>Повтор</t>
  </si>
  <si>
    <t>1.5 - 20</t>
  </si>
  <si>
    <t xml:space="preserve">Нистратов </t>
  </si>
  <si>
    <t>50 ml</t>
  </si>
  <si>
    <t>А.М. Казанцева</t>
  </si>
  <si>
    <t>И/О старшей мед.сетры: А.М. Казанцева</t>
  </si>
  <si>
    <t>Лебедева А.Г.</t>
  </si>
  <si>
    <t>12:12</t>
  </si>
  <si>
    <t>Правый</t>
  </si>
  <si>
    <t>Проходим, слабый кальциноз, неровность контуров</t>
  </si>
  <si>
    <t>неровность контуров прокисмального сегмента. Антеградный кровоток TIMI III.</t>
  </si>
  <si>
    <t>С учётом клинических данных совместно с карлиологом ПРИТ  Хаировой А.Р.  принято решение  о целесообразности реваскуляризации ПНА.</t>
  </si>
  <si>
    <t>250 ml</t>
  </si>
  <si>
    <t>стенозы среднего сегмента 40%, окклюзия на уровне среднего сегмента. Коллатеральный кровоток практически не определяется, Rentpo 0-1 из ПНА. Антеградный кровоток по ПКА TIMI 0.</t>
  </si>
  <si>
    <t>умеренный кальциноз проксимального сегмента, субокклюзирующий стеноз проксимального сегмента 95%, TTG1, стенозы с умеренным кальцинозом среднего сегмента 70%. Стеноз устья ДВ 80%. Антеградный кровоток пропульсисвный -  TIMI I-II.</t>
  </si>
  <si>
    <t>Устье ствола ЛКА катетеризировано проводниковым катетером Launcher EBU 3.5 6Fr. Коронарный проводник Intuition заведен в дистальный сегмент ПНА. Выполнена предилатация субокклюзирующего стеноза БК Sprinter Legend 2,5-15 мм, давлением 12 атм. В зону среднего сегмента  имплантирован DES Resolute Integrity 2,75-22 mm, давлением 14 атм. В зону проксимального сегмента с покрытием устья  имплантирован DES Resolute Integrity 3,5-38 mm, давлением 14 атм. Выполнена постдилатация ячейки стента и устья ДВ  БК Sprinter Legend 1,5-15 мм, давлением 16 атм. На контрольных съёмках ангиографический результат удовлетворительный, признаков краевых диссекций, тромбоза ПНА нет, устье ДВ нескомпрометировано. Антеградный кровоток по ПНА восстановлен до TIMI III, по ДВ сохранён до TIMI III. Пациентка в стабильном состоянии переводится в ПРИТ для дальнейшего наблюдения и лечения.</t>
  </si>
  <si>
    <t>1. Контроль места пункции, повязка  на руке 6ч.</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</si>
</sst>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_-;\-* #,##0_-;_-* &quot;-&quot;_-;_-@_-"/>
    <numFmt numFmtId="165" formatCode="[$-F800]dddd\,\ mmmm\ dd\,\ yyyy"/>
    <numFmt numFmtId="166" formatCode="h:mm;@"/>
  </numFmts>
  <fonts count="58">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Calibri"/>
      <family val="2"/>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s>
  <fills count="10">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7" fillId="3" borderId="0" applyNumberFormat="0" applyBorder="0" applyAlignment="0" applyProtection="0"/>
    <xf numFmtId="164" fontId="7" fillId="3" borderId="0" applyNumberFormat="0" applyFill="0" applyAlignment="0"/>
    <xf numFmtId="0" fontId="12" fillId="0" borderId="0"/>
    <xf numFmtId="0" fontId="6" fillId="6" borderId="0" applyNumberFormat="0" applyBorder="0" applyAlignment="0" applyProtection="0"/>
    <xf numFmtId="0" fontId="6" fillId="7" borderId="0" applyNumberFormat="0" applyBorder="0" applyAlignment="0" applyProtection="0"/>
    <xf numFmtId="0" fontId="5" fillId="8" borderId="0" applyNumberFormat="0" applyBorder="0" applyAlignment="0" applyProtection="0"/>
    <xf numFmtId="0" fontId="46" fillId="9" borderId="21" applyNumberFormat="0" applyAlignment="0" applyProtection="0"/>
  </cellStyleXfs>
  <cellXfs count="228">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0" fillId="0" borderId="0" xfId="0" applyFill="1" applyAlignment="1">
      <alignment horizontal="justify" vertical="justify" wrapText="1"/>
    </xf>
    <xf numFmtId="0" fontId="11" fillId="2" borderId="2"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0" fillId="0" borderId="0" xfId="0" applyFill="1" applyAlignment="1">
      <alignment horizontal="center"/>
    </xf>
    <xf numFmtId="0" fontId="0" fillId="0" borderId="0" xfId="0" applyAlignment="1">
      <alignment horizontal="left" vertical="center"/>
    </xf>
    <xf numFmtId="0" fontId="11" fillId="2" borderId="1" xfId="0" applyFont="1" applyFill="1" applyBorder="1" applyAlignment="1">
      <alignment horizontal="center" vertical="center"/>
    </xf>
    <xf numFmtId="0" fontId="0" fillId="0" borderId="0" xfId="0" applyAlignment="1">
      <alignment horizontal="centerContinuous" vertical="center"/>
    </xf>
    <xf numFmtId="0" fontId="0" fillId="0" borderId="0" xfId="0" applyAlignment="1">
      <alignment horizontal="fill" vertical="center"/>
    </xf>
    <xf numFmtId="0" fontId="0" fillId="0" borderId="0" xfId="0" applyNumberFormat="1"/>
    <xf numFmtId="0" fontId="20" fillId="0" borderId="0" xfId="0" applyFont="1" applyBorder="1" applyAlignment="1">
      <alignment horizontal="left"/>
    </xf>
    <xf numFmtId="0" fontId="0" fillId="0" borderId="0" xfId="0" applyAlignment="1">
      <alignment vertical="center"/>
    </xf>
    <xf numFmtId="0" fontId="0" fillId="0" borderId="2" xfId="0" applyBorder="1"/>
    <xf numFmtId="0" fontId="0" fillId="0" borderId="0" xfId="0" applyBorder="1"/>
    <xf numFmtId="0" fontId="21" fillId="7" borderId="6" xfId="5" applyFont="1" applyBorder="1" applyAlignment="1">
      <alignment vertical="center"/>
    </xf>
    <xf numFmtId="0" fontId="27" fillId="0" borderId="6" xfId="0" applyFont="1" applyBorder="1" applyAlignment="1">
      <alignment vertical="center"/>
    </xf>
    <xf numFmtId="0" fontId="21" fillId="7" borderId="10" xfId="5" applyFont="1" applyBorder="1" applyAlignment="1">
      <alignment horizontal="centerContinuous" vertical="center"/>
    </xf>
    <xf numFmtId="0" fontId="6" fillId="7" borderId="5" xfId="5" applyBorder="1" applyAlignment="1">
      <alignment horizontal="centerContinuous" vertical="center"/>
    </xf>
    <xf numFmtId="0" fontId="6" fillId="7" borderId="11" xfId="5" applyBorder="1" applyAlignment="1">
      <alignment horizontal="centerContinuous" vertical="center"/>
    </xf>
    <xf numFmtId="0" fontId="14" fillId="0" borderId="7" xfId="0" applyFont="1" applyBorder="1" applyAlignment="1" applyProtection="1">
      <alignment horizontal="left" vertical="center"/>
      <protection locked="0"/>
    </xf>
    <xf numFmtId="14" fontId="30" fillId="6" borderId="7" xfId="4" applyNumberFormat="1" applyFont="1" applyBorder="1" applyAlignment="1" applyProtection="1">
      <alignment horizontal="left" vertical="center"/>
      <protection locked="0"/>
    </xf>
    <xf numFmtId="0" fontId="10" fillId="7" borderId="8" xfId="5" applyFont="1" applyBorder="1" applyAlignment="1">
      <alignment horizontal="left" vertical="center"/>
    </xf>
    <xf numFmtId="166" fontId="10" fillId="6" borderId="9" xfId="4" applyNumberFormat="1" applyFont="1" applyBorder="1" applyAlignment="1" applyProtection="1">
      <alignment horizontal="left" vertical="center"/>
      <protection locked="0"/>
    </xf>
    <xf numFmtId="0" fontId="14" fillId="0" borderId="3" xfId="0" applyFont="1" applyBorder="1" applyAlignment="1" applyProtection="1">
      <alignment vertical="center"/>
      <protection locked="0"/>
    </xf>
    <xf numFmtId="0" fontId="14" fillId="0" borderId="4" xfId="0" applyFont="1" applyBorder="1" applyAlignment="1" applyProtection="1">
      <alignment vertical="center"/>
      <protection locked="0"/>
    </xf>
    <xf numFmtId="0" fontId="14" fillId="0" borderId="9" xfId="0" applyFont="1" applyBorder="1" applyAlignment="1" applyProtection="1">
      <alignment vertical="center"/>
      <protection locked="0"/>
    </xf>
    <xf numFmtId="0" fontId="14" fillId="0" borderId="7" xfId="0" applyFont="1" applyBorder="1" applyAlignment="1" applyProtection="1">
      <alignment vertical="center"/>
      <protection locked="0"/>
    </xf>
    <xf numFmtId="0" fontId="0" fillId="0" borderId="10" xfId="0" applyBorder="1"/>
    <xf numFmtId="0" fontId="31" fillId="0" borderId="0" xfId="0" applyFont="1" applyBorder="1" applyAlignment="1">
      <alignment vertical="top" wrapText="1"/>
    </xf>
    <xf numFmtId="0" fontId="21" fillId="7" borderId="5" xfId="5" applyFont="1" applyBorder="1" applyAlignment="1">
      <alignment horizontal="centerContinuous" vertical="center"/>
    </xf>
    <xf numFmtId="0" fontId="28" fillId="0" borderId="7" xfId="0" applyFont="1" applyBorder="1" applyAlignment="1" applyProtection="1">
      <alignment horizontal="left" vertical="center"/>
    </xf>
    <xf numFmtId="0" fontId="0" fillId="0" borderId="3" xfId="0" applyBorder="1"/>
    <xf numFmtId="0" fontId="31" fillId="0" borderId="12" xfId="0" applyFont="1" applyBorder="1" applyAlignment="1">
      <alignment vertical="top" wrapText="1"/>
    </xf>
    <xf numFmtId="0" fontId="31" fillId="0" borderId="8" xfId="0" applyFont="1" applyBorder="1" applyAlignment="1">
      <alignment vertical="top" wrapText="1"/>
    </xf>
    <xf numFmtId="0" fontId="31" fillId="0" borderId="3" xfId="0" applyFont="1" applyBorder="1" applyAlignment="1">
      <alignment vertical="top" wrapText="1"/>
    </xf>
    <xf numFmtId="0" fontId="0" fillId="0" borderId="12" xfId="0" applyBorder="1" applyAlignment="1">
      <alignment vertical="top" wrapText="1"/>
    </xf>
    <xf numFmtId="0" fontId="32" fillId="0" borderId="0" xfId="0" applyFont="1" applyBorder="1" applyAlignment="1" applyProtection="1">
      <alignment vertical="center"/>
      <protection locked="0"/>
    </xf>
    <xf numFmtId="0" fontId="14" fillId="0" borderId="0" xfId="0" applyFont="1" applyBorder="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39" fillId="0" borderId="0" xfId="0" applyFont="1" applyBorder="1" applyAlignment="1">
      <alignment horizontal="centerContinuous" vertical="center" wrapText="1"/>
    </xf>
    <xf numFmtId="0" fontId="26" fillId="0" borderId="10" xfId="0" applyFont="1" applyBorder="1" applyAlignment="1">
      <alignment horizontal="centerContinuous" vertical="top" wrapText="1"/>
    </xf>
    <xf numFmtId="0" fontId="21" fillId="0" borderId="5" xfId="0" applyFont="1" applyBorder="1" applyAlignment="1">
      <alignment horizontal="centerContinuous" vertical="distributed" wrapText="1"/>
    </xf>
    <xf numFmtId="0" fontId="21" fillId="0" borderId="11" xfId="0" applyFont="1" applyBorder="1" applyAlignment="1">
      <alignment horizontal="centerContinuous" vertical="distributed" wrapText="1"/>
    </xf>
    <xf numFmtId="0" fontId="21" fillId="0" borderId="12" xfId="0" applyFont="1" applyBorder="1" applyAlignment="1">
      <alignment horizontal="centerContinuous" vertical="distributed" wrapText="1"/>
    </xf>
    <xf numFmtId="0" fontId="21" fillId="0" borderId="0" xfId="0" applyFont="1" applyBorder="1" applyAlignment="1">
      <alignment horizontal="centerContinuous" vertical="distributed" wrapText="1"/>
    </xf>
    <xf numFmtId="0" fontId="21" fillId="0" borderId="13" xfId="0" applyFont="1" applyBorder="1" applyAlignment="1">
      <alignment horizontal="centerContinuous" vertical="distributed" wrapText="1"/>
    </xf>
    <xf numFmtId="0" fontId="24" fillId="0" borderId="12" xfId="0" applyFont="1" applyBorder="1" applyAlignment="1">
      <alignment horizontal="centerContinuous" vertical="distributed" wrapText="1"/>
    </xf>
    <xf numFmtId="0" fontId="25" fillId="0" borderId="0" xfId="0" applyFont="1" applyBorder="1" applyAlignment="1">
      <alignment horizontal="centerContinuous" vertical="distributed" wrapText="1"/>
    </xf>
    <xf numFmtId="0" fontId="25" fillId="0" borderId="13" xfId="0" applyFont="1" applyBorder="1" applyAlignment="1">
      <alignment horizontal="centerContinuous" vertical="distributed" wrapText="1"/>
    </xf>
    <xf numFmtId="0" fontId="36" fillId="0" borderId="12" xfId="0" applyFont="1" applyBorder="1" applyAlignment="1">
      <alignment vertical="center"/>
    </xf>
    <xf numFmtId="0" fontId="0" fillId="0" borderId="0" xfId="0" applyNumberFormat="1" applyBorder="1" applyAlignment="1">
      <alignment vertical="distributed"/>
    </xf>
    <xf numFmtId="0" fontId="0" fillId="0" borderId="0" xfId="0" applyBorder="1" applyAlignment="1">
      <alignment vertical="distributed"/>
    </xf>
    <xf numFmtId="20" fontId="0" fillId="0" borderId="0" xfId="0" applyNumberFormat="1" applyBorder="1" applyAlignment="1">
      <alignment horizontal="left"/>
    </xf>
    <xf numFmtId="20" fontId="0" fillId="0" borderId="0" xfId="0" applyNumberFormat="1" applyBorder="1" applyAlignment="1">
      <alignment horizontal="left" vertical="center"/>
    </xf>
    <xf numFmtId="0" fontId="0" fillId="0" borderId="0" xfId="0" applyBorder="1" applyAlignment="1">
      <alignment horizontal="left" vertical="center"/>
    </xf>
    <xf numFmtId="0" fontId="0" fillId="0" borderId="0" xfId="0" applyBorder="1" applyAlignment="1">
      <alignment vertical="center"/>
    </xf>
    <xf numFmtId="0" fontId="14" fillId="0" borderId="13" xfId="0" applyFont="1" applyBorder="1" applyAlignment="1" applyProtection="1">
      <alignment vertical="center"/>
      <protection locked="0"/>
    </xf>
    <xf numFmtId="0" fontId="37" fillId="0" borderId="12" xfId="0" applyFont="1" applyBorder="1" applyAlignment="1">
      <alignment horizontal="left" vertical="center"/>
    </xf>
    <xf numFmtId="0" fontId="29" fillId="0" borderId="8" xfId="0" applyFont="1" applyBorder="1" applyAlignment="1">
      <alignment vertical="top" wrapText="1"/>
    </xf>
    <xf numFmtId="0" fontId="37" fillId="0" borderId="10" xfId="0" applyFont="1" applyBorder="1" applyAlignment="1">
      <alignment horizontal="left" vertical="top" wrapText="1"/>
    </xf>
    <xf numFmtId="0" fontId="29" fillId="0" borderId="12" xfId="0" applyFont="1" applyBorder="1" applyAlignment="1">
      <alignment vertical="top" wrapText="1"/>
    </xf>
    <xf numFmtId="0" fontId="39" fillId="0" borderId="13" xfId="0" applyFont="1" applyBorder="1" applyAlignment="1">
      <alignment horizontal="centerContinuous" vertical="center" wrapText="1"/>
    </xf>
    <xf numFmtId="0" fontId="0" fillId="0" borderId="12" xfId="0" applyBorder="1" applyProtection="1">
      <protection locked="0"/>
    </xf>
    <xf numFmtId="0" fontId="0" fillId="0" borderId="0" xfId="0" applyBorder="1" applyAlignment="1" applyProtection="1">
      <alignment horizontal="left" vertical="center"/>
      <protection locked="0"/>
    </xf>
    <xf numFmtId="0" fontId="0" fillId="0" borderId="14" xfId="0" applyBorder="1"/>
    <xf numFmtId="0" fontId="33" fillId="0" borderId="12" xfId="0" applyFont="1" applyBorder="1"/>
    <xf numFmtId="0" fontId="0" fillId="0" borderId="0" xfId="0" applyBorder="1" applyProtection="1">
      <protection locked="0"/>
    </xf>
    <xf numFmtId="165" fontId="14" fillId="0" borderId="7" xfId="0" applyNumberFormat="1" applyFont="1" applyBorder="1" applyAlignment="1" applyProtection="1">
      <alignment horizontal="left" vertical="center"/>
    </xf>
    <xf numFmtId="0" fontId="27" fillId="0" borderId="6" xfId="0" applyFont="1" applyBorder="1" applyAlignment="1" applyProtection="1">
      <alignment vertical="center"/>
    </xf>
    <xf numFmtId="0" fontId="28" fillId="0" borderId="7" xfId="0" applyNumberFormat="1" applyFont="1" applyBorder="1" applyAlignment="1" applyProtection="1">
      <alignment horizontal="left" vertical="center"/>
    </xf>
    <xf numFmtId="0" fontId="14" fillId="0" borderId="7" xfId="0" applyNumberFormat="1" applyFont="1" applyBorder="1" applyAlignment="1" applyProtection="1">
      <alignment horizontal="left" vertical="center"/>
    </xf>
    <xf numFmtId="0" fontId="33" fillId="0" borderId="12" xfId="0" applyFont="1" applyBorder="1" applyProtection="1"/>
    <xf numFmtId="0" fontId="26" fillId="0" borderId="0" xfId="0" applyFont="1" applyBorder="1" applyAlignment="1">
      <alignment horizontal="centerContinuous" vertical="top" wrapText="1"/>
    </xf>
    <xf numFmtId="0" fontId="14" fillId="0" borderId="12" xfId="0" applyFont="1" applyBorder="1" applyAlignment="1" applyProtection="1">
      <alignment vertical="top" wrapText="1"/>
      <protection locked="0"/>
    </xf>
    <xf numFmtId="0" fontId="14" fillId="0" borderId="0" xfId="0" applyFont="1" applyBorder="1" applyAlignment="1" applyProtection="1">
      <alignment vertical="top" wrapText="1"/>
      <protection locked="0"/>
    </xf>
    <xf numFmtId="0" fontId="33" fillId="0" borderId="3" xfId="0" applyNumberFormat="1" applyFont="1" applyBorder="1" applyAlignment="1" applyProtection="1">
      <alignment horizontal="center" vertical="center"/>
      <protection locked="0"/>
    </xf>
    <xf numFmtId="0" fontId="14" fillId="0" borderId="0" xfId="0" applyFont="1" applyBorder="1" applyAlignment="1" applyProtection="1">
      <alignment horizontal="centerContinuous" vertical="top" wrapText="1"/>
      <protection locked="0"/>
    </xf>
    <xf numFmtId="20" fontId="28" fillId="0" borderId="13" xfId="0" applyNumberFormat="1" applyFont="1" applyBorder="1" applyAlignment="1">
      <alignment horizontal="left" vertical="center" wrapText="1"/>
    </xf>
    <xf numFmtId="0" fontId="17" fillId="0" borderId="0" xfId="0" applyFont="1" applyBorder="1" applyAlignment="1">
      <alignment horizontal="centerContinuous" vertical="center"/>
    </xf>
    <xf numFmtId="0" fontId="31" fillId="0" borderId="0" xfId="0" applyFont="1" applyBorder="1" applyAlignment="1">
      <alignment vertical="top"/>
    </xf>
    <xf numFmtId="0" fontId="31" fillId="0" borderId="13" xfId="0" applyFont="1" applyBorder="1" applyAlignment="1">
      <alignment vertical="top"/>
    </xf>
    <xf numFmtId="0" fontId="21" fillId="0" borderId="0" xfId="0" applyFont="1" applyBorder="1"/>
    <xf numFmtId="0" fontId="21" fillId="7" borderId="6" xfId="5" applyFont="1" applyBorder="1" applyAlignment="1" applyProtection="1">
      <alignment vertical="center"/>
    </xf>
    <xf numFmtId="0" fontId="10" fillId="7" borderId="8" xfId="5" applyFont="1" applyBorder="1" applyAlignment="1" applyProtection="1">
      <alignment horizontal="left" vertical="center"/>
    </xf>
    <xf numFmtId="0" fontId="34" fillId="0" borderId="0" xfId="0" applyFont="1" applyBorder="1" applyAlignment="1" applyProtection="1">
      <alignment horizontal="left"/>
      <protection locked="0"/>
    </xf>
    <xf numFmtId="20" fontId="0" fillId="0" borderId="0" xfId="0" applyNumberFormat="1" applyBorder="1" applyAlignment="1" applyProtection="1">
      <alignment vertical="center"/>
      <protection locked="0"/>
    </xf>
    <xf numFmtId="0" fontId="43" fillId="0" borderId="0" xfId="0" applyFont="1" applyAlignment="1">
      <alignment horizontal="left" vertical="center"/>
    </xf>
    <xf numFmtId="0" fontId="14" fillId="0" borderId="3" xfId="0" applyFont="1" applyBorder="1" applyAlignment="1" applyProtection="1">
      <alignment vertical="center"/>
    </xf>
    <xf numFmtId="0" fontId="14" fillId="0" borderId="4" xfId="0" applyFont="1" applyBorder="1" applyAlignment="1" applyProtection="1">
      <alignment vertical="center"/>
    </xf>
    <xf numFmtId="0" fontId="27" fillId="0" borderId="8" xfId="0" applyFont="1" applyBorder="1" applyAlignment="1">
      <alignment vertical="center"/>
    </xf>
    <xf numFmtId="165" fontId="14" fillId="0" borderId="9" xfId="0" applyNumberFormat="1" applyFont="1" applyBorder="1" applyAlignment="1" applyProtection="1">
      <alignment horizontal="left" vertical="center"/>
      <protection locked="0"/>
    </xf>
    <xf numFmtId="0" fontId="10" fillId="7" borderId="15" xfId="5" applyFont="1" applyBorder="1" applyAlignment="1">
      <alignment horizontal="left" vertical="center"/>
    </xf>
    <xf numFmtId="166" fontId="10" fillId="6" borderId="16" xfId="4" applyNumberFormat="1" applyFont="1" applyBorder="1" applyAlignment="1" applyProtection="1">
      <alignment horizontal="left" vertical="center"/>
      <protection locked="0"/>
    </xf>
    <xf numFmtId="0" fontId="37" fillId="0" borderId="0" xfId="0" applyFont="1" applyBorder="1" applyAlignment="1">
      <alignment horizontal="left" vertical="center"/>
    </xf>
    <xf numFmtId="0" fontId="34" fillId="0" borderId="13" xfId="0" applyFont="1" applyBorder="1" applyAlignment="1" applyProtection="1">
      <alignment horizontal="left"/>
      <protection locked="0"/>
    </xf>
    <xf numFmtId="0" fontId="21" fillId="0" borderId="19" xfId="0" applyFont="1" applyBorder="1" applyAlignment="1" applyProtection="1">
      <alignment horizontal="center" vertical="center"/>
      <protection locked="0"/>
    </xf>
    <xf numFmtId="0" fontId="34" fillId="0" borderId="0" xfId="0" applyFont="1" applyBorder="1" applyAlignment="1" applyProtection="1">
      <alignment vertical="center"/>
      <protection locked="0"/>
    </xf>
    <xf numFmtId="0" fontId="0" fillId="0" borderId="3" xfId="0" applyBorder="1" applyAlignment="1">
      <alignment vertical="top" wrapText="1"/>
    </xf>
    <xf numFmtId="0" fontId="14" fillId="8" borderId="17" xfId="6" applyFont="1" applyBorder="1" applyAlignment="1">
      <alignment horizontal="left" vertical="center"/>
    </xf>
    <xf numFmtId="0" fontId="35" fillId="8" borderId="18" xfId="6" applyFont="1" applyBorder="1" applyAlignment="1" applyProtection="1">
      <alignment horizontal="left" vertical="center"/>
      <protection locked="0"/>
    </xf>
    <xf numFmtId="0" fontId="14" fillId="0" borderId="9" xfId="0" applyFont="1" applyBorder="1" applyAlignment="1" applyProtection="1">
      <alignment vertical="center"/>
    </xf>
    <xf numFmtId="0" fontId="14" fillId="0" borderId="7" xfId="0" applyFont="1" applyBorder="1" applyAlignment="1" applyProtection="1">
      <alignment vertical="center"/>
    </xf>
    <xf numFmtId="0" fontId="21" fillId="0" borderId="20" xfId="0" applyFont="1" applyBorder="1" applyAlignment="1" applyProtection="1">
      <alignment horizontal="center" vertical="center"/>
      <protection locked="0"/>
    </xf>
    <xf numFmtId="0" fontId="27" fillId="0" borderId="3" xfId="0" applyFont="1" applyBorder="1" applyAlignment="1" applyProtection="1">
      <alignment vertical="center"/>
      <protection locked="0"/>
    </xf>
    <xf numFmtId="0" fontId="27" fillId="0" borderId="4" xfId="0" applyFont="1" applyBorder="1" applyAlignment="1" applyProtection="1">
      <alignment vertical="center"/>
      <protection locked="0"/>
    </xf>
    <xf numFmtId="0" fontId="44" fillId="0" borderId="19" xfId="0" applyFont="1" applyBorder="1" applyAlignment="1" applyProtection="1">
      <alignment horizontal="center" vertical="center"/>
      <protection locked="0"/>
    </xf>
    <xf numFmtId="0" fontId="44" fillId="0" borderId="20" xfId="0" applyFont="1" applyBorder="1" applyAlignment="1" applyProtection="1">
      <alignment horizontal="center" vertical="center"/>
      <protection locked="0"/>
    </xf>
    <xf numFmtId="0" fontId="27" fillId="0" borderId="8" xfId="0" applyFont="1" applyBorder="1" applyAlignment="1" applyProtection="1">
      <alignment vertical="center"/>
      <protection locked="0"/>
    </xf>
    <xf numFmtId="0" fontId="27" fillId="0" borderId="6" xfId="0" applyFont="1" applyBorder="1" applyAlignment="1" applyProtection="1">
      <alignment vertical="center"/>
      <protection locked="0"/>
    </xf>
    <xf numFmtId="0" fontId="45" fillId="0" borderId="20" xfId="0" applyNumberFormat="1" applyFont="1" applyBorder="1" applyAlignment="1" applyProtection="1">
      <alignment horizontal="center" vertical="center" wrapText="1"/>
      <protection locked="0"/>
    </xf>
    <xf numFmtId="0" fontId="5" fillId="0" borderId="20" xfId="0" applyFont="1" applyBorder="1" applyAlignment="1" applyProtection="1">
      <alignment horizontal="center" vertical="center" wrapText="1"/>
      <protection locked="0"/>
    </xf>
    <xf numFmtId="0" fontId="16" fillId="0" borderId="10" xfId="0" applyFont="1" applyBorder="1" applyAlignment="1">
      <alignment horizontal="right"/>
    </xf>
    <xf numFmtId="165" fontId="16" fillId="0" borderId="5" xfId="0" applyNumberFormat="1" applyFont="1" applyBorder="1" applyAlignment="1">
      <alignment horizontal="center"/>
    </xf>
    <xf numFmtId="0" fontId="18" fillId="0" borderId="11" xfId="0" applyFont="1" applyBorder="1" applyAlignment="1">
      <alignment horizontal="right" vertical="top"/>
    </xf>
    <xf numFmtId="0" fontId="17" fillId="0" borderId="12" xfId="0" applyFont="1" applyBorder="1" applyAlignment="1">
      <alignment horizontal="centerContinuous" vertical="top"/>
    </xf>
    <xf numFmtId="0" fontId="15" fillId="0" borderId="0" xfId="0" applyFont="1" applyBorder="1" applyAlignment="1">
      <alignment horizontal="centerContinuous"/>
    </xf>
    <xf numFmtId="0" fontId="48" fillId="9" borderId="21" xfId="7" applyFont="1" applyBorder="1" applyAlignment="1">
      <alignment horizontal="left" vertical="center"/>
    </xf>
    <xf numFmtId="14" fontId="47" fillId="9" borderId="22" xfId="7" applyNumberFormat="1" applyFont="1" applyBorder="1" applyAlignment="1" applyProtection="1">
      <alignment horizontal="right" vertical="center"/>
    </xf>
    <xf numFmtId="0" fontId="47" fillId="9" borderId="22" xfId="7" applyFont="1" applyBorder="1" applyAlignment="1" applyProtection="1">
      <alignment horizontal="right" vertical="center"/>
    </xf>
    <xf numFmtId="0" fontId="21" fillId="0" borderId="12" xfId="0" applyFont="1" applyBorder="1" applyAlignment="1">
      <alignment horizontal="left"/>
    </xf>
    <xf numFmtId="0" fontId="15" fillId="0" borderId="0" xfId="0" applyFont="1" applyBorder="1" applyAlignment="1">
      <alignment horizontal="center"/>
    </xf>
    <xf numFmtId="0" fontId="48" fillId="9" borderId="21" xfId="7" applyFont="1" applyBorder="1" applyAlignment="1" applyProtection="1">
      <alignment horizontal="left" vertical="center"/>
    </xf>
    <xf numFmtId="0" fontId="22" fillId="0" borderId="12" xfId="0" applyNumberFormat="1" applyFont="1" applyFill="1" applyBorder="1" applyAlignment="1">
      <alignment horizontal="justify" vertical="center" wrapText="1"/>
    </xf>
    <xf numFmtId="0" fontId="23" fillId="0" borderId="13" xfId="0" applyFont="1" applyFill="1" applyBorder="1" applyAlignment="1" applyProtection="1">
      <alignment horizontal="center" vertical="center"/>
      <protection locked="0"/>
    </xf>
    <xf numFmtId="0" fontId="23" fillId="0" borderId="0" xfId="0" applyFont="1" applyFill="1" applyBorder="1" applyAlignment="1" applyProtection="1">
      <alignment horizontal="justify" vertical="center" wrapText="1"/>
      <protection locked="0"/>
    </xf>
    <xf numFmtId="0" fontId="23" fillId="0" borderId="0" xfId="0" applyFont="1" applyFill="1" applyBorder="1" applyAlignment="1" applyProtection="1">
      <alignment vertical="center"/>
      <protection locked="0"/>
    </xf>
    <xf numFmtId="0" fontId="21" fillId="0" borderId="0" xfId="0" applyFont="1" applyFill="1" applyBorder="1" applyAlignment="1" applyProtection="1">
      <alignment horizontal="left" vertical="top" wrapText="1"/>
      <protection locked="0"/>
    </xf>
    <xf numFmtId="0" fontId="21" fillId="0" borderId="0" xfId="0" applyFont="1" applyFill="1" applyBorder="1" applyAlignment="1" applyProtection="1">
      <alignment horizontal="left" wrapText="1"/>
      <protection locked="0"/>
    </xf>
    <xf numFmtId="0" fontId="0" fillId="0" borderId="5" xfId="0" applyBorder="1"/>
    <xf numFmtId="0" fontId="0" fillId="0" borderId="11" xfId="0" applyBorder="1"/>
    <xf numFmtId="0" fontId="20"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0" fillId="0" borderId="0" xfId="0" applyNumberFormat="1" applyAlignment="1">
      <alignment horizontal="center"/>
    </xf>
    <xf numFmtId="0" fontId="0" fillId="0" borderId="0" xfId="0" applyNumberFormat="1" applyAlignment="1">
      <alignment horizontal="center" shrinkToFit="1"/>
    </xf>
    <xf numFmtId="0" fontId="21" fillId="0" borderId="0" xfId="0" applyFont="1" applyFill="1" applyBorder="1" applyAlignment="1" applyProtection="1">
      <alignment horizontal="left" vertical="center" wrapText="1"/>
    </xf>
    <xf numFmtId="0" fontId="0" fillId="0" borderId="0" xfId="0" applyNumberFormat="1" applyAlignment="1">
      <alignment shrinkToFit="1"/>
    </xf>
    <xf numFmtId="20" fontId="15" fillId="0" borderId="0" xfId="0" applyNumberFormat="1" applyFont="1" applyBorder="1" applyAlignment="1" applyProtection="1">
      <alignment vertical="center"/>
      <protection locked="0"/>
    </xf>
    <xf numFmtId="0" fontId="0" fillId="0" borderId="0" xfId="0" applyBorder="1" applyAlignment="1"/>
    <xf numFmtId="0" fontId="0" fillId="0" borderId="0" xfId="0" applyBorder="1" applyAlignment="1">
      <alignment vertical="top" wrapText="1"/>
    </xf>
    <xf numFmtId="0" fontId="40" fillId="0" borderId="0" xfId="0" applyFont="1" applyBorder="1" applyAlignment="1" applyProtection="1">
      <alignment vertical="top" wrapText="1"/>
      <protection locked="0"/>
    </xf>
    <xf numFmtId="0" fontId="52" fillId="0" borderId="0" xfId="0" applyFont="1" applyBorder="1" applyAlignment="1">
      <alignment vertical="top"/>
    </xf>
    <xf numFmtId="0" fontId="53" fillId="0" borderId="0" xfId="0" applyFont="1" applyBorder="1" applyAlignment="1">
      <alignment vertical="top"/>
    </xf>
    <xf numFmtId="0" fontId="0" fillId="0" borderId="12" xfId="0" applyBorder="1" applyAlignment="1"/>
    <xf numFmtId="0" fontId="0" fillId="0" borderId="13" xfId="0" applyBorder="1" applyAlignment="1">
      <alignment vertical="top" wrapText="1"/>
    </xf>
    <xf numFmtId="0" fontId="0" fillId="0" borderId="0" xfId="0" applyBorder="1" applyAlignment="1" applyProtection="1">
      <alignment vertical="top" wrapText="1"/>
      <protection locked="0"/>
    </xf>
    <xf numFmtId="0" fontId="37" fillId="0" borderId="0" xfId="0" applyFont="1" applyBorder="1" applyAlignment="1">
      <alignment horizontal="centerContinuous" vertical="center"/>
    </xf>
    <xf numFmtId="0" fontId="49" fillId="0" borderId="0" xfId="0" applyFont="1" applyBorder="1" applyAlignment="1" applyProtection="1">
      <alignment vertical="top" wrapText="1"/>
      <protection locked="0"/>
    </xf>
    <xf numFmtId="0" fontId="49" fillId="0" borderId="3" xfId="0" applyFont="1" applyBorder="1" applyAlignment="1" applyProtection="1">
      <alignment vertical="top" wrapText="1"/>
      <protection locked="0"/>
    </xf>
    <xf numFmtId="0" fontId="53" fillId="0" borderId="0" xfId="0" applyFont="1" applyBorder="1" applyAlignment="1">
      <alignment horizontal="centerContinuous" vertical="center" wrapText="1"/>
    </xf>
    <xf numFmtId="0" fontId="14" fillId="0" borderId="13" xfId="0" applyFont="1" applyBorder="1" applyAlignment="1" applyProtection="1">
      <alignment vertical="top" wrapText="1"/>
      <protection locked="0"/>
    </xf>
    <xf numFmtId="49" fontId="45" fillId="0" borderId="19" xfId="0" applyNumberFormat="1" applyFont="1" applyBorder="1" applyAlignment="1" applyProtection="1">
      <alignment horizontal="center" vertical="center" wrapText="1"/>
      <protection locked="0"/>
    </xf>
    <xf numFmtId="49" fontId="5" fillId="0" borderId="19" xfId="0" applyNumberFormat="1" applyFont="1" applyBorder="1" applyAlignment="1" applyProtection="1">
      <alignment horizontal="center" vertical="center" wrapText="1"/>
      <protection locked="0"/>
    </xf>
    <xf numFmtId="0" fontId="0" fillId="0" borderId="0" xfId="0" applyAlignment="1">
      <alignment horizontal="fill" vertical="top"/>
    </xf>
    <xf numFmtId="0" fontId="0" fillId="0" borderId="0" xfId="0" applyAlignment="1">
      <alignment horizontal="fill" vertical="top" wrapText="1"/>
    </xf>
    <xf numFmtId="0" fontId="3" fillId="0" borderId="0" xfId="0" applyFont="1"/>
    <xf numFmtId="0" fontId="48" fillId="9" borderId="23" xfId="7" applyFont="1" applyBorder="1" applyAlignment="1">
      <alignment horizontal="left" vertical="center"/>
    </xf>
    <xf numFmtId="0" fontId="46" fillId="9" borderId="12" xfId="7" applyBorder="1" applyAlignment="1" applyProtection="1">
      <alignment horizontal="left" vertical="center"/>
    </xf>
    <xf numFmtId="0" fontId="46" fillId="9" borderId="24" xfId="7" applyBorder="1" applyAlignment="1" applyProtection="1">
      <alignment horizontal="justify" vertical="justify" wrapText="1"/>
    </xf>
    <xf numFmtId="0" fontId="46" fillId="9" borderId="24" xfId="7" applyBorder="1" applyAlignment="1" applyProtection="1">
      <alignment horizontal="justify" vertical="top" wrapText="1"/>
    </xf>
    <xf numFmtId="0" fontId="55" fillId="0" borderId="25" xfId="0" applyFont="1" applyBorder="1" applyAlignment="1" applyProtection="1">
      <alignment horizontal="center" vertical="center"/>
      <protection locked="0"/>
    </xf>
    <xf numFmtId="0" fontId="55" fillId="0" borderId="25" xfId="0" applyFont="1" applyFill="1" applyBorder="1" applyAlignment="1" applyProtection="1">
      <alignment horizontal="center" vertical="center"/>
      <protection locked="0"/>
    </xf>
    <xf numFmtId="0" fontId="55" fillId="0" borderId="26" xfId="0" applyFont="1" applyBorder="1" applyAlignment="1" applyProtection="1">
      <alignment horizontal="center" vertical="center"/>
      <protection locked="0"/>
    </xf>
    <xf numFmtId="0" fontId="56" fillId="4" borderId="28" xfId="0" applyFont="1" applyFill="1" applyBorder="1" applyAlignment="1">
      <alignment horizontal="center" vertical="center"/>
    </xf>
    <xf numFmtId="0" fontId="56" fillId="4" borderId="29" xfId="0" applyFont="1" applyFill="1" applyBorder="1" applyAlignment="1">
      <alignment horizontal="center" vertical="center"/>
    </xf>
    <xf numFmtId="0" fontId="56" fillId="4" borderId="27" xfId="0" applyFont="1" applyFill="1" applyBorder="1" applyAlignment="1">
      <alignment horizontal="center" vertical="center"/>
    </xf>
    <xf numFmtId="0" fontId="10" fillId="0" borderId="30" xfId="0" applyFont="1" applyBorder="1" applyAlignment="1">
      <alignment horizontal="justify" vertical="center" wrapText="1"/>
    </xf>
    <xf numFmtId="0" fontId="55" fillId="0" borderId="31" xfId="0" applyFont="1" applyBorder="1" applyAlignment="1" applyProtection="1">
      <alignment horizontal="center" vertical="center"/>
      <protection locked="0"/>
    </xf>
    <xf numFmtId="0" fontId="10" fillId="0" borderId="32" xfId="0" applyFont="1" applyBorder="1" applyAlignment="1">
      <alignment horizontal="justify" vertical="center" wrapText="1"/>
    </xf>
    <xf numFmtId="0" fontId="55" fillId="0" borderId="33" xfId="0" applyFont="1" applyBorder="1" applyAlignment="1" applyProtection="1">
      <alignment horizontal="center" vertical="center"/>
      <protection locked="0"/>
    </xf>
    <xf numFmtId="0" fontId="55" fillId="0" borderId="33" xfId="0" applyFont="1" applyFill="1" applyBorder="1" applyAlignment="1" applyProtection="1">
      <alignment horizontal="center" vertical="center"/>
      <protection locked="0"/>
    </xf>
    <xf numFmtId="0" fontId="10" fillId="0" borderId="32" xfId="0" applyNumberFormat="1" applyFont="1" applyFill="1" applyBorder="1" applyAlignment="1">
      <alignment horizontal="justify" vertical="center" wrapText="1"/>
    </xf>
    <xf numFmtId="0" fontId="22" fillId="0" borderId="32" xfId="0" applyNumberFormat="1" applyFont="1" applyFill="1" applyBorder="1" applyAlignment="1">
      <alignment horizontal="justify" vertical="center" wrapText="1"/>
    </xf>
    <xf numFmtId="0" fontId="22" fillId="0" borderId="34" xfId="0" applyNumberFormat="1" applyFont="1" applyFill="1" applyBorder="1" applyAlignment="1">
      <alignment horizontal="justify" vertical="center" wrapText="1"/>
    </xf>
    <xf numFmtId="0" fontId="55" fillId="0" borderId="35" xfId="0" applyFont="1" applyFill="1" applyBorder="1" applyAlignment="1" applyProtection="1">
      <alignment horizontal="center" vertical="center"/>
      <protection locked="0"/>
    </xf>
    <xf numFmtId="0" fontId="55" fillId="0" borderId="36" xfId="0" applyFont="1" applyFill="1" applyBorder="1" applyAlignment="1" applyProtection="1">
      <alignment horizontal="center" vertical="center"/>
      <protection locked="0"/>
    </xf>
    <xf numFmtId="0" fontId="19" fillId="5" borderId="10" xfId="0" applyFont="1" applyFill="1" applyBorder="1" applyAlignment="1">
      <alignment horizontal="left" vertical="center"/>
    </xf>
    <xf numFmtId="0" fontId="19" fillId="5" borderId="34" xfId="0" applyFont="1" applyFill="1" applyBorder="1" applyAlignment="1">
      <alignment horizontal="left" vertical="center"/>
    </xf>
    <xf numFmtId="0" fontId="14" fillId="8" borderId="37" xfId="6" applyFont="1" applyBorder="1" applyAlignment="1">
      <alignment horizontal="left" vertical="center"/>
    </xf>
    <xf numFmtId="0" fontId="35" fillId="8" borderId="16" xfId="6" applyFont="1" applyBorder="1" applyAlignment="1" applyProtection="1">
      <alignment horizontal="left" vertical="center"/>
      <protection locked="0"/>
    </xf>
    <xf numFmtId="14" fontId="54" fillId="9" borderId="38" xfId="7" applyNumberFormat="1" applyFont="1" applyBorder="1" applyAlignment="1">
      <alignment horizontal="left" vertical="center"/>
    </xf>
    <xf numFmtId="14" fontId="47" fillId="9" borderId="39" xfId="7" applyNumberFormat="1" applyFont="1" applyBorder="1" applyAlignment="1" applyProtection="1">
      <alignment horizontal="right" vertical="center"/>
    </xf>
    <xf numFmtId="0" fontId="17" fillId="0" borderId="5" xfId="0" applyFont="1" applyBorder="1" applyAlignment="1" applyProtection="1">
      <alignment horizontal="center"/>
    </xf>
    <xf numFmtId="0" fontId="35" fillId="8" borderId="18" xfId="6" applyFont="1" applyBorder="1" applyAlignment="1" applyProtection="1">
      <alignment horizontal="left" vertical="center"/>
    </xf>
    <xf numFmtId="0" fontId="55" fillId="0" borderId="26" xfId="0" applyFont="1" applyBorder="1" applyAlignment="1" applyProtection="1">
      <alignment horizontal="justify" vertical="center" wrapText="1"/>
      <protection locked="0"/>
    </xf>
    <xf numFmtId="0" fontId="55" fillId="0" borderId="25" xfId="0" applyFont="1" applyBorder="1" applyAlignment="1" applyProtection="1">
      <alignment horizontal="justify" vertical="center" wrapText="1"/>
      <protection locked="0"/>
    </xf>
    <xf numFmtId="16" fontId="55" fillId="0" borderId="25" xfId="0" applyNumberFormat="1" applyFont="1" applyBorder="1" applyAlignment="1" applyProtection="1">
      <alignment horizontal="justify" vertical="center" wrapText="1"/>
      <protection locked="0"/>
    </xf>
    <xf numFmtId="0" fontId="55" fillId="0" borderId="25" xfId="0" applyFont="1" applyFill="1" applyBorder="1" applyAlignment="1" applyProtection="1">
      <alignment horizontal="justify" vertical="center" wrapText="1"/>
      <protection locked="0"/>
    </xf>
    <xf numFmtId="0" fontId="55" fillId="0" borderId="35" xfId="0" applyFont="1" applyFill="1" applyBorder="1" applyAlignment="1" applyProtection="1">
      <alignment horizontal="justify" vertical="center" wrapText="1"/>
      <protection locked="0"/>
    </xf>
    <xf numFmtId="0" fontId="2" fillId="0" borderId="0" xfId="0" applyFont="1"/>
    <xf numFmtId="0" fontId="57" fillId="0" borderId="40" xfId="0" applyFont="1" applyBorder="1" applyProtection="1">
      <protection locked="0"/>
    </xf>
    <xf numFmtId="0" fontId="4" fillId="0" borderId="0" xfId="0" applyFont="1" applyBorder="1" applyAlignment="1" applyProtection="1">
      <alignment horizontal="justify" vertical="top" wrapText="1"/>
      <protection locked="0"/>
    </xf>
    <xf numFmtId="0" fontId="4" fillId="0" borderId="13" xfId="0" applyFont="1" applyBorder="1" applyAlignment="1" applyProtection="1">
      <alignment horizontal="justify" vertical="top" wrapText="1"/>
      <protection locked="0"/>
    </xf>
    <xf numFmtId="0" fontId="37" fillId="0" borderId="0" xfId="0" applyFont="1" applyBorder="1" applyAlignment="1">
      <alignment horizontal="left" vertical="center" wrapText="1"/>
    </xf>
    <xf numFmtId="0" fontId="51" fillId="0" borderId="0" xfId="0" applyFont="1" applyBorder="1" applyAlignment="1" applyProtection="1">
      <alignment horizontal="justify" vertical="top" wrapText="1"/>
      <protection locked="0"/>
    </xf>
    <xf numFmtId="0" fontId="51" fillId="0" borderId="13" xfId="0" applyFont="1" applyBorder="1" applyAlignment="1" applyProtection="1">
      <alignment horizontal="justify" vertical="top" wrapText="1"/>
      <protection locked="0"/>
    </xf>
    <xf numFmtId="0" fontId="38" fillId="0" borderId="12" xfId="0" applyFont="1" applyBorder="1" applyAlignment="1" applyProtection="1">
      <alignment horizontal="center" vertical="center" wrapText="1"/>
      <protection locked="0"/>
    </xf>
    <xf numFmtId="0" fontId="38" fillId="0" borderId="0" xfId="0" applyFont="1" applyBorder="1" applyAlignment="1" applyProtection="1">
      <alignment horizontal="center" vertical="center" wrapText="1"/>
      <protection locked="0"/>
    </xf>
    <xf numFmtId="0" fontId="38" fillId="0" borderId="13" xfId="0" applyFont="1" applyBorder="1" applyAlignment="1" applyProtection="1">
      <alignment horizontal="center" vertical="center" wrapText="1"/>
      <protection locked="0"/>
    </xf>
    <xf numFmtId="0" fontId="15" fillId="0" borderId="0" xfId="0" applyFont="1" applyBorder="1" applyAlignment="1" applyProtection="1">
      <alignment horizontal="justify" vertical="top" wrapText="1"/>
      <protection locked="0"/>
    </xf>
    <xf numFmtId="0" fontId="15" fillId="0" borderId="13" xfId="0" applyFont="1" applyBorder="1" applyAlignment="1" applyProtection="1">
      <alignment horizontal="justify" vertical="top" wrapText="1"/>
      <protection locked="0"/>
    </xf>
    <xf numFmtId="0" fontId="15" fillId="0" borderId="3" xfId="0" applyFont="1" applyBorder="1" applyAlignment="1" applyProtection="1">
      <alignment horizontal="justify" vertical="top" wrapText="1"/>
      <protection locked="0"/>
    </xf>
    <xf numFmtId="0" fontId="15" fillId="0" borderId="9" xfId="0" applyFont="1" applyBorder="1" applyAlignment="1" applyProtection="1">
      <alignment horizontal="justify" vertical="top" wrapText="1"/>
      <protection locked="0"/>
    </xf>
    <xf numFmtId="0" fontId="45" fillId="0" borderId="5" xfId="0" applyFont="1" applyBorder="1" applyAlignment="1" applyProtection="1">
      <alignment horizontal="justify" vertical="top" wrapText="1"/>
      <protection locked="0"/>
    </xf>
    <xf numFmtId="0" fontId="45" fillId="0" borderId="11" xfId="0" applyFont="1" applyBorder="1" applyAlignment="1" applyProtection="1">
      <alignment horizontal="justify" vertical="top" wrapText="1"/>
      <protection locked="0"/>
    </xf>
    <xf numFmtId="0" fontId="45" fillId="0" borderId="0" xfId="0" applyFont="1" applyBorder="1" applyAlignment="1" applyProtection="1">
      <alignment horizontal="justify" vertical="top" wrapText="1"/>
      <protection locked="0"/>
    </xf>
    <xf numFmtId="0" fontId="45" fillId="0" borderId="13" xfId="0" applyFont="1" applyBorder="1" applyAlignment="1" applyProtection="1">
      <alignment horizontal="justify" vertical="top" wrapText="1"/>
      <protection locked="0"/>
    </xf>
    <xf numFmtId="0" fontId="45" fillId="0" borderId="3" xfId="0" applyFont="1" applyBorder="1" applyAlignment="1" applyProtection="1">
      <alignment horizontal="justify" vertical="top" wrapText="1"/>
      <protection locked="0"/>
    </xf>
    <xf numFmtId="0" fontId="45" fillId="0" borderId="9" xfId="0" applyFont="1" applyBorder="1" applyAlignment="1" applyProtection="1">
      <alignment horizontal="justify" vertical="top" wrapText="1"/>
      <protection locked="0"/>
    </xf>
    <xf numFmtId="0" fontId="50" fillId="0" borderId="3" xfId="0" applyFont="1" applyBorder="1" applyAlignment="1" applyProtection="1">
      <alignment horizontal="left" vertical="center"/>
      <protection locked="0"/>
    </xf>
    <xf numFmtId="0" fontId="35" fillId="0" borderId="12" xfId="0" applyFont="1" applyBorder="1" applyAlignment="1" applyProtection="1">
      <alignment horizontal="center" vertical="distributed" wrapText="1"/>
      <protection locked="0"/>
    </xf>
    <xf numFmtId="0" fontId="35" fillId="0" borderId="0" xfId="0" applyFont="1" applyBorder="1" applyAlignment="1" applyProtection="1">
      <alignment horizontal="center" vertical="distributed" wrapText="1"/>
      <protection locked="0"/>
    </xf>
    <xf numFmtId="0" fontId="35" fillId="0" borderId="13" xfId="0" applyFont="1" applyBorder="1" applyAlignment="1" applyProtection="1">
      <alignment horizontal="center" vertical="distributed" wrapText="1"/>
      <protection locked="0"/>
    </xf>
    <xf numFmtId="0" fontId="40" fillId="0" borderId="0" xfId="0" applyFont="1" applyBorder="1" applyAlignment="1" applyProtection="1">
      <alignment horizontal="justify" vertical="top" wrapText="1"/>
      <protection locked="0"/>
    </xf>
    <xf numFmtId="0" fontId="40" fillId="0" borderId="13" xfId="0" applyFont="1" applyBorder="1" applyAlignment="1" applyProtection="1">
      <alignment horizontal="justify" vertical="top" wrapText="1"/>
      <protection locked="0"/>
    </xf>
    <xf numFmtId="0" fontId="10" fillId="0" borderId="12" xfId="0" applyFont="1" applyBorder="1" applyAlignment="1" applyProtection="1">
      <alignment horizontal="justify" vertical="top" wrapText="1"/>
      <protection locked="0"/>
    </xf>
    <xf numFmtId="0" fontId="14" fillId="0" borderId="0" xfId="0" applyFont="1" applyBorder="1" applyAlignment="1" applyProtection="1">
      <alignment horizontal="justify" vertical="top" wrapText="1"/>
      <protection locked="0"/>
    </xf>
    <xf numFmtId="0" fontId="14" fillId="0" borderId="13" xfId="0" applyFont="1" applyBorder="1" applyAlignment="1" applyProtection="1">
      <alignment horizontal="justify" vertical="top" wrapText="1"/>
      <protection locked="0"/>
    </xf>
    <xf numFmtId="0" fontId="14" fillId="0" borderId="12" xfId="0" applyFont="1" applyBorder="1" applyAlignment="1" applyProtection="1">
      <alignment horizontal="justify" vertical="top" wrapText="1"/>
      <protection locked="0"/>
    </xf>
    <xf numFmtId="0" fontId="1" fillId="0" borderId="0" xfId="0" applyFont="1" applyBorder="1" applyAlignment="1" applyProtection="1">
      <alignment horizontal="justify" vertical="top" wrapText="1"/>
      <protection locked="0"/>
    </xf>
  </cellXfs>
  <cellStyles count="8">
    <cellStyle name="1" xfId="1"/>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cellStyle name="Стиль 1" xfId="2"/>
  </cellStyles>
  <dxfs count="93">
    <dxf>
      <numFmt numFmtId="0" formatCode="General"/>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5"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a16="http://schemas.microsoft.com/office/drawing/2014/main" xmlns=""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0</xdr:col>
      <xdr:colOff>15240</xdr:colOff>
      <xdr:row>36</xdr:row>
      <xdr:rowOff>22860</xdr:rowOff>
    </xdr:from>
    <xdr:to>
      <xdr:col>3</xdr:col>
      <xdr:colOff>0</xdr:colOff>
      <xdr:row>49</xdr:row>
      <xdr:rowOff>167640</xdr:rowOff>
    </xdr:to>
    <xdr:pic>
      <xdr:nvPicPr>
        <xdr:cNvPr id="5" name="Рисунок 4">
          <a:extLst>
            <a:ext uri="{FF2B5EF4-FFF2-40B4-BE49-F238E27FC236}">
              <a16:creationId xmlns:a16="http://schemas.microsoft.com/office/drawing/2014/main" xmlns=""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240" y="6911340"/>
          <a:ext cx="3093720" cy="2522220"/>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0</xdr:col>
      <xdr:colOff>30478</xdr:colOff>
      <xdr:row>37</xdr:row>
      <xdr:rowOff>7620</xdr:rowOff>
    </xdr:from>
    <xdr:to>
      <xdr:col>3</xdr:col>
      <xdr:colOff>4393</xdr:colOff>
      <xdr:row>49</xdr:row>
      <xdr:rowOff>167640</xdr:rowOff>
    </xdr:to>
    <xdr:pic>
      <xdr:nvPicPr>
        <xdr:cNvPr id="5" name="Рисунок 4">
          <a:extLst>
            <a:ext uri="{FF2B5EF4-FFF2-40B4-BE49-F238E27FC236}">
              <a16:creationId xmlns:a16="http://schemas.microsoft.com/office/drawing/2014/main" xmlns="" id="{00000000-0008-0000-01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0478" y="7078980"/>
          <a:ext cx="3092400" cy="2369820"/>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a16="http://schemas.microsoft.com/office/drawing/2014/main" xmlns="" id="{00000000-0008-0000-01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wsDr>
</file>

<file path=xl/tables/table1.xml><?xml version="1.0" encoding="utf-8"?>
<table xmlns="http://schemas.openxmlformats.org/spreadsheetml/2006/main" id="23" name="Опер.Бригада" displayName="Опер.Бригада" ref="D9:H13" headerRowCount="0" totalsRowShown="0" headerRowDxfId="92" dataDxfId="91" tableBorderDxfId="90" totalsRowBorderDxfId="89">
  <tableColumns count="5">
    <tableColumn id="1" name="Должность" headerRowDxfId="88" dataDxfId="87"/>
    <tableColumn id="5" name="Столбец2" headerRowDxfId="86" dataDxfId="85"/>
    <tableColumn id="4" name="Столбец1" headerRowDxfId="84" dataDxfId="83"/>
    <tableColumn id="2" name="Бригада_1" headerRowDxfId="82" dataDxfId="81"/>
    <tableColumn id="3" name="Бригада_2" headerRowDxfId="80" dataDxfId="79"/>
  </tableColumns>
  <tableStyleInfo showFirstColumn="0" showLastColumn="0" showRowStripes="1" showColumnStripes="0"/>
</table>
</file>

<file path=xl/tables/table10.xml><?xml version="1.0" encoding="utf-8"?>
<table xmlns="http://schemas.openxmlformats.org/spreadsheetml/2006/main" id="7" name="Модель_Метод" displayName="Модель_Метод" ref="I1:L4" totalsRowShown="0" headerRowDxfId="32">
  <tableColumns count="4">
    <tableColumn id="1" name="Модель"/>
    <tableColumn id="2" name="Код модели" dataDxfId="31"/>
    <tableColumn id="3" name="Метод"/>
    <tableColumn id="4" name="Код метода" dataDxfId="30"/>
  </tableColumns>
  <tableStyleInfo name="TableStyleMedium2" showFirstColumn="0" showLastColumn="0" showRowStripes="1" showColumnStripes="0"/>
</table>
</file>

<file path=xl/tables/table11.xml><?xml version="1.0" encoding="utf-8"?>
<table xmlns="http://schemas.openxmlformats.org/spreadsheetml/2006/main" id="16" name="Локализация" displayName="Локализация" ref="I7:I19">
  <autoFilter ref="I7:I19"/>
  <tableColumns count="1">
    <tableColumn id="1" name="Локализация"/>
  </tableColumns>
  <tableStyleInfo name="TableStyleMedium2" showFirstColumn="0" showLastColumn="0" showRowStripes="1" showColumnStripes="0"/>
</table>
</file>

<file path=xl/tables/table12.xml><?xml version="1.0" encoding="utf-8"?>
<table xmlns="http://schemas.openxmlformats.org/spreadsheetml/2006/main" id="1" name="Расходка" displayName="Расходка" ref="A1:C38" totalsRowShown="0">
  <sortState ref="A2:C26">
    <sortCondition ref="B2:B26"/>
  </sortState>
  <tableColumns count="3">
    <tableColumn id="1" name="№"/>
    <tableColumn id="2" name="Тип расходного материала "/>
    <tableColumn id="3" name="Наименование расходного материала"/>
  </tableColumns>
  <tableStyleInfo name="TableStyleMedium7" showFirstColumn="0" showLastColumn="0" showRowStripes="1" showColumnStripes="0"/>
</table>
</file>

<file path=xl/tables/table13.xml><?xml version="1.0" encoding="utf-8"?>
<table xmlns="http://schemas.openxmlformats.org/spreadsheetml/2006/main" id="6" name="Размеры" displayName="Размеры" ref="AF1:AG78" totalsRowShown="0" headerRowDxfId="29">
  <sortState ref="AF2:AG57">
    <sortCondition ref="AF2:AF57"/>
    <sortCondition ref="AG2:AG57"/>
  </sortState>
  <tableColumns count="2">
    <tableColumn id="3" name="Тип" dataDxfId="28"/>
    <tableColumn id="1" name="Размеры" dataDxfId="27"/>
  </tableColumns>
  <tableStyleInfo name="TableStyleMedium2" showFirstColumn="0" showLastColumn="0" showRowStripes="1" showColumnStripes="0"/>
</table>
</file>

<file path=xl/tables/table14.xml><?xml version="1.0" encoding="utf-8"?>
<table xmlns="http://schemas.openxmlformats.org/spreadsheetml/2006/main" id="8" name="Контраст" displayName="Контраст" ref="AI1:AK8" totalsRowShown="0">
  <autoFilter ref="AI1:AK8"/>
  <tableColumns count="3">
    <tableColumn id="1" name="Контраст "/>
    <tableColumn id="2" name="Название"/>
    <tableColumn id="3" name="Сцепление">
      <calculatedColumnFormula>CONCATENATE(AI2,AJ2)</calculatedColumnFormula>
    </tableColumn>
  </tableColumns>
  <tableStyleInfo name="TableStyleMedium2" showFirstColumn="0" showLastColumn="0" showRowStripes="1" showColumnStripes="0"/>
</table>
</file>

<file path=xl/tables/table15.xml><?xml version="1.0" encoding="utf-8"?>
<table xmlns="http://schemas.openxmlformats.org/spreadsheetml/2006/main" id="18" name="Поиск_расходки" displayName="Поиск_расходки" ref="E1:AD38" totalsRowShown="0">
  <tableColumns count="26">
    <tableColumn id="1" name="Индекс1" dataDxfId="26">
      <calculatedColumnFormula>IF(ISNUMBER(SEARCH('Карта учёта'!$B$13,Расходка[[#This Row],[Наименование расходного материала]])),MAX($E$1:E1)+1,0)</calculatedColumnFormula>
    </tableColumn>
    <tableColumn id="2" name="Индекс2" dataDxfId="25">
      <calculatedColumnFormula>IF(ISNUMBER(SEARCH('Карта учёта'!$B$14,Расходка[[#This Row],[Наименование расходного материала]])),MAX($F$1:F1)+1,0)</calculatedColumnFormula>
    </tableColumn>
    <tableColumn id="3" name="Индекс3" dataDxfId="24">
      <calculatedColumnFormula>IF(ISNUMBER(SEARCH('Карта учёта'!$B$15,Расходка[Наименование расходного материала])),MAX($G$1:G1)+1,0)</calculatedColumnFormula>
    </tableColumn>
    <tableColumn id="4" name="Индекс4" dataDxfId="23">
      <calculatedColumnFormula>IF(ISNUMBER(SEARCH('Карта учёта'!$B$16,Расходка[Наименование расходного материала])),MAX($H$1:H1)+1,0)</calculatedColumnFormula>
    </tableColumn>
    <tableColumn id="5" name="Индекс5" dataDxfId="22">
      <calculatedColumnFormula>IF(ISNUMBER(SEARCH('Карта учёта'!$B$17,Расходка[Наименование расходного материала])),MAX($I$1:I1)+1,0)</calculatedColumnFormula>
    </tableColumn>
    <tableColumn id="6" name="Индекс6" dataDxfId="21">
      <calculatedColumnFormula>IF(ISNUMBER(SEARCH('Карта учёта'!$B$18,Расходка[Наименование расходного материала])),MAX($J$1:J1)+1,0)</calculatedColumnFormula>
    </tableColumn>
    <tableColumn id="7" name="Индекс7" dataDxfId="20">
      <calculatedColumnFormula>IF(ISNUMBER(SEARCH('Карта учёта'!$B$19,Расходка[Наименование расходного материала])),MAX($K$1:K1)+1,0)</calculatedColumnFormula>
    </tableColumn>
    <tableColumn id="8" name="Индекс8" dataDxfId="19">
      <calculatedColumnFormula>IF(ISNUMBER(SEARCH('Карта учёта'!$B$20,Расходка[Наименование расходного материала])),MAX($L$1:L1)+1,0)</calculatedColumnFormula>
    </tableColumn>
    <tableColumn id="9" name="Индекс9" dataDxfId="18">
      <calculatedColumnFormula>IF(ISNUMBER(SEARCH('Карта учёта'!$B$21,Расходка[Наименование расходного материала])),MAX($M$1:M1)+1,0)</calculatedColumnFormula>
    </tableColumn>
    <tableColumn id="10" name="Индекс10" dataDxfId="17">
      <calculatedColumnFormula>IF(ISNUMBER(SEARCH('Карта учёта'!$B$22,Расходка[Наименование расходного материала])),MAX($N$1:N1)+1,0)</calculatedColumnFormula>
    </tableColumn>
    <tableColumn id="11" name="Индекс11" dataDxfId="16">
      <calculatedColumnFormula>IF(ISNUMBER(SEARCH('Карта учёта'!$B$23,Расходка[Наименование расходного материала])),MAX($O$1:O1)+1,0)</calculatedColumnFormula>
    </tableColumn>
    <tableColumn id="12" name="Индекс12" dataDxfId="15">
      <calculatedColumnFormula>IF(ISNUMBER(SEARCH('Карта учёта'!$B$24,Расходка[Наименование расходного материала])),MAX($P$1:P1)+1,0)</calculatedColumnFormula>
    </tableColumn>
    <tableColumn id="13" name="Индекс13" dataDxfId="14">
      <calculatedColumnFormula>IF(ISNUMBER(SEARCH('Карта учёта'!$B$25,Расходка[Наименование расходного материала])),MAX($Q$1:Q1)+1,0)</calculatedColumnFormula>
    </tableColumn>
    <tableColumn id="14" name="Фильтр1" dataDxfId="13">
      <calculatedColumnFormula>IFERROR(INDEX(Расходка[Наименование расходного материала],MATCH(Расходка[№],Поиск_расходки[Индекс1],0)),"")</calculatedColumnFormula>
    </tableColumn>
    <tableColumn id="15" name="Фильтр2" dataDxfId="12">
      <calculatedColumnFormula>IFERROR(INDEX(Расходка[Наименование расходного материала],MATCH(Расходка[№],Поиск_расходки[Индекс2],0)),"")</calculatedColumnFormula>
    </tableColumn>
    <tableColumn id="16" name="Фильтр3" dataDxfId="11">
      <calculatedColumnFormula>IFERROR(INDEX(Расходка[Наименование расходного материала],MATCH(Расходка[№],Поиск_расходки[Индекс3],0)),"")</calculatedColumnFormula>
    </tableColumn>
    <tableColumn id="17" name="Фильтр4" dataDxfId="10">
      <calculatedColumnFormula>IFERROR(INDEX(Расходка[Наименование расходного материала],MATCH(Расходка[№],Поиск_расходки[Индекс4],0)),"")</calculatedColumnFormula>
    </tableColumn>
    <tableColumn id="18" name="Фильтр5" dataDxfId="9">
      <calculatedColumnFormula>IFERROR(INDEX(Расходка[Наименование расходного материала],MATCH(Расходка[№],Поиск_расходки[Индекс5],0)),"")</calculatedColumnFormula>
    </tableColumn>
    <tableColumn id="19" name="Фильтр6" dataDxfId="8">
      <calculatedColumnFormula>IFERROR(INDEX(Расходка[Наименование расходного материала],MATCH(Расходка[№],Поиск_расходки[Индекс6],0)),"")</calculatedColumnFormula>
    </tableColumn>
    <tableColumn id="20" name="Фильтр7" dataDxfId="7">
      <calculatedColumnFormula>IFERROR(INDEX(Расходка[Наименование расходного материала],MATCH(Расходка[№],Поиск_расходки[Индекс7],0)),"")</calculatedColumnFormula>
    </tableColumn>
    <tableColumn id="21" name="Фильтр8" dataDxfId="6">
      <calculatedColumnFormula>IFERROR(INDEX(Расходка[Наименование расходного материала],MATCH(Расходка[№],Поиск_расходки[Индекс8],0)),"")</calculatedColumnFormula>
    </tableColumn>
    <tableColumn id="22" name="Фильтр9" dataDxfId="5">
      <calculatedColumnFormula>IFERROR(INDEX(Расходка[Наименование расходного материала],MATCH(Расходка[№],Поиск_расходки[Индекс9],0)),"")</calculatedColumnFormula>
    </tableColumn>
    <tableColumn id="23" name="Фильтр10" dataDxfId="4">
      <calculatedColumnFormula>IFERROR(INDEX(Расходка[Наименование расходного материала],MATCH(Расходка[№],Поиск_расходки[Индекс10],0)),"")</calculatedColumnFormula>
    </tableColumn>
    <tableColumn id="24" name="Фильтр11" dataDxfId="3">
      <calculatedColumnFormula>IFERROR(INDEX(Расходка[Наименование расходного материала],MATCH(Расходка[№],Поиск_расходки[Индекс11],0)),"")</calculatedColumnFormula>
    </tableColumn>
    <tableColumn id="25" name="Фильтр12" dataDxfId="2">
      <calculatedColumnFormula>IFERROR(INDEX(Расходка[Наименование расходного материала],MATCH(Расходка[№],Поиск_расходки[Индекс12],0)),"")</calculatedColumnFormula>
    </tableColumn>
    <tableColumn id="26" name="Фильтр13" dataDxfId="1">
      <calculatedColumnFormula>IFERROR(INDEX(Расходка[Наименование расходного материала],MATCH(Расходка[№],Поиск_расходки[Индекс13],0)),"")</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id="5" name="Сотрудники" displayName="Сотрудники" ref="A1:C16" totalsRowShown="0">
  <autoFilter ref="A1:C16"/>
  <tableColumns count="3">
    <tableColumn id="1" name="Должность: "/>
    <tableColumn id="2" name="ФИО"/>
    <tableColumn id="3" name="Должность: ФИО" dataDxfId="0">
      <calculatedColumnFormula>CONCATENATE(A2,B2)</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id="10" name="Сотрудники_2" displayName="Сотрудники_2" ref="A19:B82" totalsRowShown="0">
  <autoFilter ref="A19:B82"/>
  <sortState ref="A20:B82">
    <sortCondition ref="A18:A80"/>
    <sortCondition ref="B18:B80"/>
  </sortState>
  <tableColumns count="2">
    <tableColumn id="1" name="Должность"/>
    <tableColumn id="2" name="Сотрудник"/>
  </tableColumns>
  <tableStyleInfo name="TableStyleMedium3" showFirstColumn="0" showLastColumn="0" showRowStripes="1" showColumnStripes="0"/>
</table>
</file>

<file path=xl/tables/table18.xml><?xml version="1.0" encoding="utf-8"?>
<table xmlns="http://schemas.openxmlformats.org/spreadsheetml/2006/main" id="14" name="Должность" displayName="Должность" ref="E1:E11" totalsRowShown="0">
  <autoFilter ref="E1:E11"/>
  <tableColumns count="1">
    <tableColumn id="1" name="Должность"/>
  </tableColumns>
  <tableStyleInfo name="TableStyleMedium2" showFirstColumn="0" showLastColumn="0" showRowStripes="1" showColumnStripes="0"/>
</table>
</file>

<file path=xl/tables/table2.xml><?xml version="1.0" encoding="utf-8"?>
<table xmlns="http://schemas.openxmlformats.org/spreadsheetml/2006/main" id="24" name="Таблица24" displayName="Таблица24" ref="A12:B16" headerRowCount="0" totalsRowShown="0" headerRowDxfId="78" dataDxfId="77">
  <tableColumns count="2">
    <tableColumn id="1" name="Столбец1" headerRowDxfId="76" dataDxfId="75"/>
    <tableColumn id="2" name="Столбец2" headerRowDxfId="74" dataDxfId="73"/>
  </tableColumns>
  <tableStyleInfo showFirstColumn="0" showLastColumn="0" showRowStripes="1" showColumnStripes="0"/>
</table>
</file>

<file path=xl/tables/table3.xml><?xml version="1.0" encoding="utf-8"?>
<table xmlns="http://schemas.openxmlformats.org/spreadsheetml/2006/main" id="11" name="Опер.Бригада12" displayName="Опер.Бригада12" ref="D13:H17" headerRowCount="0" totalsRowShown="0" headerRowDxfId="72" dataDxfId="71" tableBorderDxfId="70" totalsRowBorderDxfId="69">
  <tableColumns count="5">
    <tableColumn id="1" name="Должность" headerRowDxfId="68" dataDxfId="67"/>
    <tableColumn id="5" name="Столбец2" headerRowDxfId="66" dataDxfId="65"/>
    <tableColumn id="4" name="Столбец1" headerRowDxfId="64" dataDxfId="63"/>
    <tableColumn id="2" name="Бригада_1" headerRowDxfId="62" dataDxfId="61"/>
    <tableColumn id="3" name="Бригада_2" headerRowDxfId="60" dataDxfId="59">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id="15" name="Таблица2416" displayName="Таблица2416" ref="A16:B20" headerRowCount="0" totalsRowShown="0" headerRowDxfId="58" dataDxfId="57">
  <tableColumns count="2">
    <tableColumn id="1" name="Столбец1" headerRowDxfId="56" dataDxfId="55"/>
    <tableColumn id="2" name="Столбец2" headerRowDxfId="54" dataDxfId="53">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id="3" name="Карта_Учёта" displayName="Карта_Учёта" ref="A12:D25" totalsRowShown="0" headerRowDxfId="52" headerRowBorderDxfId="51" tableBorderDxfId="50">
  <tableColumns count="4">
    <tableColumn id="1" name="Тип материала " dataDxfId="49">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name="Наименование расходного материала" dataDxfId="48"/>
    <tableColumn id="3" name="Размер" dataDxfId="47"/>
    <tableColumn id="4" name="Количество" dataDxfId="46"/>
  </tableColumns>
  <tableStyleInfo name="TableStyleLight11" showFirstColumn="0" showLastColumn="0" showRowStripes="1" showColumnStripes="0"/>
</table>
</file>

<file path=xl/tables/table6.xml><?xml version="1.0" encoding="utf-8"?>
<table xmlns="http://schemas.openxmlformats.org/spreadsheetml/2006/main" id="9" name="Манипуляции" displayName="Манипуляции" ref="A4:B6" headerRowDxfId="45" dataDxfId="44">
  <tableColumns count="2">
    <tableColumn id="1" name="Код ЕНМУ" totalsRowFunction="custom" dataDxfId="43">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INDEX(Вмешательства!J2:J3,MATCH('Карта учёта'!D9,Вмешательства!J2:J3,0))</totalsRowFormula>
    </tableColumn>
    <tableColumn id="2" name="Наименование процедуры, манипуляции" dataDxfId="42"/>
  </tableColumns>
  <tableStyleInfo name="TableStyleLight1" showFirstColumn="0" showLastColumn="0" showRowStripes="1" showColumnStripes="0"/>
</table>
</file>

<file path=xl/tables/table7.xml><?xml version="1.0" encoding="utf-8"?>
<table xmlns="http://schemas.openxmlformats.org/spreadsheetml/2006/main" id="12" name="Вмешательства" displayName="Вмешательства" ref="A1:D37" totalsRowShown="0" headerRowDxfId="41" tableBorderDxfId="40">
  <tableColumns count="4">
    <tableColumn id="1" name="№" dataDxfId="39"/>
    <tableColumn id="2" name="Код услуги" dataDxfId="38"/>
    <tableColumn id="3" name="Номенклатура мед.услуги" dataDxfId="37"/>
    <tableColumn id="4" name="Рентгенэндоваскулярная диагностика и лечение" dataDxfId="36"/>
  </tableColumns>
  <tableStyleInfo name="TableStyleLight21" showFirstColumn="0" showLastColumn="0" showRowStripes="1" showColumnStripes="0"/>
</table>
</file>

<file path=xl/tables/table8.xml><?xml version="1.0" encoding="utf-8"?>
<table xmlns="http://schemas.openxmlformats.org/spreadsheetml/2006/main" id="13" name="Коды_расходки" displayName="Коды_расходки" ref="F1:G8" totalsRowShown="0" headerRowDxfId="35">
  <tableColumns count="2">
    <tableColumn id="1" name="Расходный материал"/>
    <tableColumn id="2" name="Код"/>
  </tableColumns>
  <tableStyleInfo name="TableStyleMedium2" showFirstColumn="0" showLastColumn="0" showRowStripes="1" showColumnStripes="0"/>
</table>
</file>

<file path=xl/tables/table9.xml><?xml version="1.0" encoding="utf-8"?>
<table xmlns="http://schemas.openxmlformats.org/spreadsheetml/2006/main" id="4" name="Диагноз" displayName="Диагноз" ref="F10:F18" totalsRowShown="0" dataDxfId="34">
  <tableColumns count="1">
    <tableColumn id="1" name="Диагноз" dataDxfId="3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5.bin"/><Relationship Id="rId5" Type="http://schemas.openxmlformats.org/officeDocument/2006/relationships/table" Target="../tables/table15.xml"/><Relationship Id="rId4" Type="http://schemas.openxmlformats.org/officeDocument/2006/relationships/table" Target="../tables/table1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table" Target="../tables/table17.xml"/><Relationship Id="rId1" Type="http://schemas.openxmlformats.org/officeDocument/2006/relationships/table" Target="../tables/table1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4"/>
  <sheetViews>
    <sheetView showGridLines="0" tabSelected="1" showWhiteSpace="0" view="pageBreakPreview" topLeftCell="A13" zoomScaleNormal="100" zoomScaleSheetLayoutView="100" zoomScalePageLayoutView="90" workbookViewId="0">
      <selection activeCell="I39" sqref="I39"/>
    </sheetView>
  </sheetViews>
  <sheetFormatPr defaultColWidth="8.85546875" defaultRowHeight="15"/>
  <cols>
    <col min="1" max="1" width="17.7109375" bestFit="1" customWidth="1"/>
    <col min="2" max="2" width="21.5703125" customWidth="1"/>
    <col min="3" max="3" width="6.28515625" customWidth="1"/>
    <col min="4" max="4" width="6.85546875" customWidth="1"/>
    <col min="5" max="5" width="4.85546875" customWidth="1"/>
    <col min="6" max="6" width="6.28515625" customWidth="1"/>
    <col min="7" max="7" width="17.7109375" customWidth="1"/>
    <col min="8" max="8" width="17.140625" customWidth="1"/>
    <col min="9" max="9" width="15.28515625" customWidth="1"/>
    <col min="10" max="10" width="7.28515625" customWidth="1"/>
  </cols>
  <sheetData>
    <row r="1" spans="1:8" ht="15.75">
      <c r="A1" s="48" t="s">
        <v>199</v>
      </c>
      <c r="B1" s="49"/>
      <c r="C1" s="49"/>
      <c r="D1" s="49"/>
      <c r="E1" s="49"/>
      <c r="F1" s="49"/>
      <c r="G1" s="49"/>
      <c r="H1" s="50"/>
    </row>
    <row r="2" spans="1:8">
      <c r="A2" s="51" t="s">
        <v>200</v>
      </c>
      <c r="B2" s="52"/>
      <c r="C2" s="52"/>
      <c r="D2" s="52"/>
      <c r="E2" s="52"/>
      <c r="F2" s="52"/>
      <c r="G2" s="52"/>
      <c r="H2" s="53"/>
    </row>
    <row r="3" spans="1:8">
      <c r="A3" s="51" t="s">
        <v>201</v>
      </c>
      <c r="B3" s="52"/>
      <c r="C3" s="52"/>
      <c r="D3" s="52"/>
      <c r="E3" s="52"/>
      <c r="F3" s="52"/>
      <c r="G3" s="52"/>
      <c r="H3" s="53"/>
    </row>
    <row r="4" spans="1:8">
      <c r="A4" s="54" t="s">
        <v>202</v>
      </c>
      <c r="B4" s="55"/>
      <c r="C4" s="55"/>
      <c r="D4" s="55"/>
      <c r="E4" s="55"/>
      <c r="F4" s="55"/>
      <c r="G4" s="55"/>
      <c r="H4" s="56"/>
    </row>
    <row r="5" spans="1:8">
      <c r="A5" s="43"/>
      <c r="B5" s="18"/>
      <c r="C5" s="18"/>
      <c r="D5" s="18"/>
      <c r="E5" s="18"/>
      <c r="F5" s="18"/>
      <c r="G5" s="18"/>
      <c r="H5" s="44"/>
    </row>
    <row r="6" spans="1:8">
      <c r="A6" s="204" t="s">
        <v>278</v>
      </c>
      <c r="B6" s="205"/>
      <c r="C6" s="205"/>
      <c r="D6" s="205"/>
      <c r="E6" s="205"/>
      <c r="F6" s="205"/>
      <c r="G6" s="205"/>
      <c r="H6" s="206"/>
    </row>
    <row r="7" spans="1:8">
      <c r="A7" s="57" t="str">
        <f>"Код по ЕНМУ:"&amp;" "&amp;IFERROR(INDEX(Вмешательства[Номенклатура мед.услуги],MATCH(КАГ!A6,Вмешательства[Рентгенэндоваскулярная диагностика и лечение],0)),"")</f>
        <v>Код по ЕНМУ: A06.10.006</v>
      </c>
      <c r="B7" s="18"/>
      <c r="C7" s="58"/>
      <c r="D7" s="59"/>
      <c r="E7" s="59"/>
      <c r="F7" s="59"/>
      <c r="G7" s="18"/>
      <c r="H7" s="44"/>
    </row>
    <row r="8" spans="1:8" ht="18.75">
      <c r="A8" s="19" t="s">
        <v>256</v>
      </c>
      <c r="B8" s="25">
        <v>44706</v>
      </c>
      <c r="C8" s="60"/>
      <c r="D8" s="21" t="s">
        <v>250</v>
      </c>
      <c r="E8" s="34"/>
      <c r="F8" s="34"/>
      <c r="G8" s="22"/>
      <c r="H8" s="23"/>
    </row>
    <row r="9" spans="1:8" ht="15.6" customHeight="1">
      <c r="A9" s="26" t="s">
        <v>258</v>
      </c>
      <c r="B9" s="27">
        <v>0.375</v>
      </c>
      <c r="C9" s="60"/>
      <c r="D9" s="115" t="s">
        <v>236</v>
      </c>
      <c r="E9" s="111"/>
      <c r="F9" s="111"/>
      <c r="G9" s="28" t="s">
        <v>227</v>
      </c>
      <c r="H9" s="30"/>
    </row>
    <row r="10" spans="1:8" ht="15.6" customHeight="1" thickBot="1">
      <c r="A10" s="99" t="s">
        <v>259</v>
      </c>
      <c r="B10" s="100">
        <v>0.38194444444444442</v>
      </c>
      <c r="C10" s="61"/>
      <c r="D10" s="116" t="s">
        <v>237</v>
      </c>
      <c r="E10" s="112"/>
      <c r="F10" s="112"/>
      <c r="G10" s="29" t="s">
        <v>342</v>
      </c>
      <c r="H10" s="31"/>
    </row>
    <row r="11" spans="1:8" ht="18" thickTop="1" thickBot="1">
      <c r="A11" s="106" t="s">
        <v>257</v>
      </c>
      <c r="B11" s="107" t="s">
        <v>449</v>
      </c>
      <c r="C11" s="62"/>
      <c r="D11" s="116" t="s">
        <v>234</v>
      </c>
      <c r="E11" s="112"/>
      <c r="F11" s="112"/>
      <c r="G11" s="29" t="s">
        <v>240</v>
      </c>
      <c r="H11" s="31"/>
    </row>
    <row r="12" spans="1:8" ht="16.5" thickTop="1">
      <c r="A12" s="97" t="s">
        <v>8</v>
      </c>
      <c r="B12" s="98">
        <v>17804</v>
      </c>
      <c r="C12" s="63"/>
      <c r="D12" s="116" t="s">
        <v>372</v>
      </c>
      <c r="E12" s="112"/>
      <c r="F12" s="112"/>
      <c r="G12" s="29" t="s">
        <v>242</v>
      </c>
      <c r="H12" s="31"/>
    </row>
    <row r="13" spans="1:8" ht="15.75">
      <c r="A13" s="20" t="s">
        <v>10</v>
      </c>
      <c r="B13" s="35">
        <f>DATEDIF(B12,B8,"y")</f>
        <v>73</v>
      </c>
      <c r="C13" s="63"/>
      <c r="D13" s="116"/>
      <c r="E13" s="112"/>
      <c r="F13" s="112"/>
      <c r="G13" s="29"/>
      <c r="H13" s="31"/>
    </row>
    <row r="14" spans="1:8" ht="15.75">
      <c r="A14" s="20" t="s">
        <v>12</v>
      </c>
      <c r="B14" s="24">
        <v>7930</v>
      </c>
      <c r="C14" s="63"/>
      <c r="D14" s="41"/>
      <c r="E14" s="41"/>
      <c r="F14" s="41"/>
      <c r="G14" s="42"/>
      <c r="H14" s="64"/>
    </row>
    <row r="15" spans="1:8" ht="15.75">
      <c r="A15" s="20" t="s">
        <v>197</v>
      </c>
      <c r="B15" s="24">
        <v>35</v>
      </c>
      <c r="C15" s="18"/>
      <c r="D15" s="41"/>
      <c r="E15" s="41"/>
      <c r="F15" s="41"/>
      <c r="G15" s="113" t="s">
        <v>339</v>
      </c>
      <c r="H15" s="114" t="s">
        <v>343</v>
      </c>
    </row>
    <row r="16" spans="1:8" ht="15.6" customHeight="1">
      <c r="A16" s="20" t="s">
        <v>134</v>
      </c>
      <c r="B16" s="24" t="s">
        <v>387</v>
      </c>
      <c r="C16" s="18"/>
      <c r="D16" s="41"/>
      <c r="E16" s="41"/>
      <c r="F16" s="41"/>
      <c r="G16" s="159" t="s">
        <v>450</v>
      </c>
      <c r="H16" s="117">
        <v>1251</v>
      </c>
    </row>
    <row r="17" spans="1:8" ht="14.45" customHeight="1">
      <c r="A17" s="45"/>
      <c r="B17" s="36"/>
      <c r="C17" s="36"/>
      <c r="D17" s="105"/>
      <c r="E17" s="105"/>
      <c r="F17" s="105"/>
      <c r="G17" s="36"/>
      <c r="H17" s="46"/>
    </row>
    <row r="18" spans="1:8" ht="14.45" customHeight="1">
      <c r="A18" s="65" t="s">
        <v>253</v>
      </c>
      <c r="B18" s="104" t="s">
        <v>451</v>
      </c>
      <c r="C18" s="18"/>
      <c r="D18" s="33" t="s">
        <v>275</v>
      </c>
      <c r="E18" s="33"/>
      <c r="F18" s="33"/>
      <c r="G18" s="101" t="s">
        <v>254</v>
      </c>
      <c r="H18" s="102" t="s">
        <v>384</v>
      </c>
    </row>
    <row r="19" spans="1:8" ht="14.45" customHeight="1">
      <c r="A19" s="45"/>
      <c r="B19" s="36"/>
      <c r="C19" s="36"/>
      <c r="D19" s="39"/>
      <c r="E19" s="39"/>
      <c r="F19" s="39"/>
      <c r="G19" s="36"/>
      <c r="H19" s="46"/>
    </row>
    <row r="20" spans="1:8" ht="14.45" customHeight="1">
      <c r="A20" s="65" t="s">
        <v>277</v>
      </c>
      <c r="B20" s="207" t="s">
        <v>452</v>
      </c>
      <c r="C20" s="207"/>
      <c r="D20" s="207"/>
      <c r="E20" s="207"/>
      <c r="F20" s="207"/>
      <c r="G20" s="207"/>
      <c r="H20" s="208"/>
    </row>
    <row r="21" spans="1:8">
      <c r="A21" s="66"/>
      <c r="B21" s="209"/>
      <c r="C21" s="209"/>
      <c r="D21" s="209"/>
      <c r="E21" s="209"/>
      <c r="F21" s="209"/>
      <c r="G21" s="209"/>
      <c r="H21" s="210"/>
    </row>
    <row r="22" spans="1:8" ht="15.6" customHeight="1">
      <c r="A22" s="67" t="s">
        <v>336</v>
      </c>
      <c r="B22" s="211" t="s">
        <v>457</v>
      </c>
      <c r="C22" s="211"/>
      <c r="D22" s="211"/>
      <c r="E22" s="211"/>
      <c r="F22" s="211"/>
      <c r="G22" s="211"/>
      <c r="H22" s="212"/>
    </row>
    <row r="23" spans="1:8" ht="14.45" customHeight="1">
      <c r="A23" s="43"/>
      <c r="B23" s="213"/>
      <c r="C23" s="213"/>
      <c r="D23" s="213"/>
      <c r="E23" s="213"/>
      <c r="F23" s="213"/>
      <c r="G23" s="213"/>
      <c r="H23" s="214"/>
    </row>
    <row r="24" spans="1:8" ht="14.45" customHeight="1">
      <c r="A24" s="68"/>
      <c r="B24" s="213"/>
      <c r="C24" s="213"/>
      <c r="D24" s="213"/>
      <c r="E24" s="213"/>
      <c r="F24" s="213"/>
      <c r="G24" s="213"/>
      <c r="H24" s="214"/>
    </row>
    <row r="25" spans="1:8" ht="14.45" customHeight="1">
      <c r="A25" s="43"/>
      <c r="B25" s="213"/>
      <c r="C25" s="213"/>
      <c r="D25" s="213"/>
      <c r="E25" s="213"/>
      <c r="F25" s="213"/>
      <c r="G25" s="213"/>
      <c r="H25" s="214"/>
    </row>
    <row r="26" spans="1:8" ht="14.45" customHeight="1">
      <c r="A26" s="45"/>
      <c r="B26" s="215"/>
      <c r="C26" s="215"/>
      <c r="D26" s="215"/>
      <c r="E26" s="215"/>
      <c r="F26" s="215"/>
      <c r="G26" s="215"/>
      <c r="H26" s="216"/>
    </row>
    <row r="27" spans="1:8" ht="14.45" customHeight="1">
      <c r="A27" s="67" t="s">
        <v>337</v>
      </c>
      <c r="B27" s="211" t="s">
        <v>453</v>
      </c>
      <c r="C27" s="211"/>
      <c r="D27" s="211"/>
      <c r="E27" s="211"/>
      <c r="F27" s="211"/>
      <c r="G27" s="211"/>
      <c r="H27" s="212"/>
    </row>
    <row r="28" spans="1:8" ht="15.6" customHeight="1">
      <c r="A28" s="43"/>
      <c r="B28" s="213"/>
      <c r="C28" s="213"/>
      <c r="D28" s="213"/>
      <c r="E28" s="213"/>
      <c r="F28" s="213"/>
      <c r="G28" s="213"/>
      <c r="H28" s="214"/>
    </row>
    <row r="29" spans="1:8" ht="14.45" customHeight="1">
      <c r="A29" s="43"/>
      <c r="B29" s="213"/>
      <c r="C29" s="213"/>
      <c r="D29" s="213"/>
      <c r="E29" s="213"/>
      <c r="F29" s="213"/>
      <c r="G29" s="213"/>
      <c r="H29" s="214"/>
    </row>
    <row r="30" spans="1:8" ht="14.45" customHeight="1">
      <c r="A30" s="37"/>
      <c r="B30" s="213"/>
      <c r="C30" s="213"/>
      <c r="D30" s="213"/>
      <c r="E30" s="213"/>
      <c r="F30" s="213"/>
      <c r="G30" s="213"/>
      <c r="H30" s="214"/>
    </row>
    <row r="31" spans="1:8" ht="14.45" customHeight="1">
      <c r="A31" s="38"/>
      <c r="B31" s="215"/>
      <c r="C31" s="215"/>
      <c r="D31" s="215"/>
      <c r="E31" s="215"/>
      <c r="F31" s="215"/>
      <c r="G31" s="215"/>
      <c r="H31" s="216"/>
    </row>
    <row r="32" spans="1:8" ht="14.45" customHeight="1">
      <c r="A32" s="67" t="s">
        <v>338</v>
      </c>
      <c r="B32" s="211" t="s">
        <v>456</v>
      </c>
      <c r="C32" s="211"/>
      <c r="D32" s="211"/>
      <c r="E32" s="211"/>
      <c r="F32" s="211"/>
      <c r="G32" s="211"/>
      <c r="H32" s="212"/>
    </row>
    <row r="33" spans="1:8" ht="14.45" customHeight="1">
      <c r="A33" s="43"/>
      <c r="B33" s="213"/>
      <c r="C33" s="213"/>
      <c r="D33" s="213"/>
      <c r="E33" s="213"/>
      <c r="F33" s="213"/>
      <c r="G33" s="213"/>
      <c r="H33" s="214"/>
    </row>
    <row r="34" spans="1:8" ht="15.6" customHeight="1">
      <c r="A34" s="43"/>
      <c r="B34" s="213"/>
      <c r="C34" s="213"/>
      <c r="D34" s="213"/>
      <c r="E34" s="213"/>
      <c r="F34" s="213"/>
      <c r="G34" s="213"/>
      <c r="H34" s="214"/>
    </row>
    <row r="35" spans="1:8" ht="14.45" customHeight="1">
      <c r="A35" s="43"/>
      <c r="B35" s="213"/>
      <c r="C35" s="213"/>
      <c r="D35" s="213"/>
      <c r="E35" s="213"/>
      <c r="F35" s="213"/>
      <c r="G35" s="213"/>
      <c r="H35" s="214"/>
    </row>
    <row r="36" spans="1:8" ht="15.6" customHeight="1">
      <c r="A36" s="151"/>
      <c r="B36" s="213"/>
      <c r="C36" s="213"/>
      <c r="D36" s="213"/>
      <c r="E36" s="213"/>
      <c r="F36" s="213"/>
      <c r="G36" s="213"/>
      <c r="H36" s="214"/>
    </row>
    <row r="37" spans="1:8" ht="14.45" customHeight="1">
      <c r="A37" s="43"/>
      <c r="B37" s="146"/>
      <c r="C37" s="18"/>
      <c r="D37" s="201" t="str">
        <f>IF($A$6=Вмешательства!$D$3,Вмешательства!$N$2,"")</f>
        <v/>
      </c>
      <c r="E37" s="201"/>
      <c r="F37" s="147"/>
      <c r="G37" s="147"/>
      <c r="H37" s="152"/>
    </row>
    <row r="38" spans="1:8" ht="14.45" customHeight="1">
      <c r="A38" s="43"/>
      <c r="B38" s="146"/>
      <c r="C38" s="153"/>
      <c r="D38" s="202"/>
      <c r="E38" s="202"/>
      <c r="F38" s="202"/>
      <c r="G38" s="202"/>
      <c r="H38" s="203"/>
    </row>
    <row r="39" spans="1:8" ht="14.45" customHeight="1">
      <c r="A39" s="40"/>
      <c r="B39" s="147"/>
      <c r="C39" s="153"/>
      <c r="D39" s="202"/>
      <c r="E39" s="202"/>
      <c r="F39" s="202"/>
      <c r="G39" s="202"/>
      <c r="H39" s="203"/>
    </row>
    <row r="40" spans="1:8" ht="14.45" customHeight="1">
      <c r="A40" s="40"/>
      <c r="B40" s="147"/>
      <c r="C40" s="153"/>
      <c r="D40" s="202"/>
      <c r="E40" s="202"/>
      <c r="F40" s="202"/>
      <c r="G40" s="202"/>
      <c r="H40" s="203"/>
    </row>
    <row r="41" spans="1:8" ht="14.45" customHeight="1">
      <c r="A41" s="40"/>
      <c r="B41" s="147"/>
      <c r="C41" s="153"/>
      <c r="D41" s="202"/>
      <c r="E41" s="202"/>
      <c r="F41" s="202"/>
      <c r="G41" s="202"/>
      <c r="H41" s="203"/>
    </row>
    <row r="42" spans="1:8" ht="14.45" customHeight="1">
      <c r="A42" s="40"/>
      <c r="B42" s="147"/>
      <c r="C42" s="154"/>
      <c r="D42" s="157" t="s">
        <v>252</v>
      </c>
      <c r="E42" s="47"/>
      <c r="F42" s="47"/>
      <c r="G42" s="47"/>
      <c r="H42" s="69"/>
    </row>
    <row r="43" spans="1:8" ht="14.45" customHeight="1">
      <c r="A43" s="40"/>
      <c r="B43" s="147"/>
      <c r="C43" s="155"/>
      <c r="D43" s="227" t="s">
        <v>454</v>
      </c>
      <c r="E43" s="199"/>
      <c r="F43" s="199"/>
      <c r="G43" s="199"/>
      <c r="H43" s="200"/>
    </row>
    <row r="44" spans="1:8" ht="14.45" customHeight="1">
      <c r="A44" s="40"/>
      <c r="B44" s="147"/>
      <c r="C44" s="155"/>
      <c r="D44" s="199"/>
      <c r="E44" s="199"/>
      <c r="F44" s="199"/>
      <c r="G44" s="199"/>
      <c r="H44" s="200"/>
    </row>
    <row r="45" spans="1:8" ht="14.45" customHeight="1">
      <c r="A45" s="40"/>
      <c r="B45" s="147"/>
      <c r="C45" s="155"/>
      <c r="D45" s="199"/>
      <c r="E45" s="199"/>
      <c r="F45" s="199"/>
      <c r="G45" s="199"/>
      <c r="H45" s="200"/>
    </row>
    <row r="46" spans="1:8">
      <c r="A46" s="40"/>
      <c r="B46" s="147"/>
      <c r="C46" s="155"/>
      <c r="D46" s="199"/>
      <c r="E46" s="199"/>
      <c r="F46" s="199"/>
      <c r="G46" s="199"/>
      <c r="H46" s="200"/>
    </row>
    <row r="47" spans="1:8">
      <c r="A47" s="43"/>
      <c r="B47" s="18"/>
      <c r="C47" s="155"/>
      <c r="D47" s="199"/>
      <c r="E47" s="199"/>
      <c r="F47" s="199"/>
      <c r="G47" s="199"/>
      <c r="H47" s="200"/>
    </row>
    <row r="48" spans="1:8">
      <c r="A48" s="43"/>
      <c r="B48" s="18"/>
      <c r="C48" s="155"/>
      <c r="D48" s="199"/>
      <c r="E48" s="199"/>
      <c r="F48" s="199"/>
      <c r="G48" s="199"/>
      <c r="H48" s="200"/>
    </row>
    <row r="49" spans="1:13">
      <c r="A49" s="45"/>
      <c r="B49" s="36"/>
      <c r="C49" s="156"/>
      <c r="D49" s="199"/>
      <c r="E49" s="199"/>
      <c r="F49" s="199"/>
      <c r="G49" s="199"/>
      <c r="H49" s="200"/>
    </row>
    <row r="50" spans="1:13">
      <c r="A50" s="43"/>
      <c r="B50" s="18"/>
      <c r="C50" s="18"/>
      <c r="D50" s="199"/>
      <c r="E50" s="199"/>
      <c r="F50" s="199"/>
      <c r="G50" s="199"/>
      <c r="H50" s="200"/>
      <c r="M50" t="s">
        <v>276</v>
      </c>
    </row>
    <row r="51" spans="1:13">
      <c r="A51" s="70" t="s">
        <v>264</v>
      </c>
      <c r="B51" s="71" t="s">
        <v>446</v>
      </c>
      <c r="C51" s="18"/>
      <c r="D51" s="18"/>
      <c r="E51" s="18"/>
      <c r="F51" s="18"/>
      <c r="G51" s="89" t="str">
        <f>$G$9</f>
        <v>Щербаков А.С.</v>
      </c>
      <c r="H51" s="72"/>
    </row>
    <row r="52" spans="1:13">
      <c r="A52" s="43"/>
      <c r="B52" s="18"/>
      <c r="C52" s="18"/>
      <c r="D52" s="18"/>
      <c r="E52" s="18"/>
      <c r="F52" s="18"/>
      <c r="G52" s="18"/>
      <c r="H52" s="44"/>
    </row>
    <row r="53" spans="1:13">
      <c r="A53" s="73" t="s">
        <v>271</v>
      </c>
      <c r="B53" s="74" t="s">
        <v>385</v>
      </c>
      <c r="C53" s="18"/>
      <c r="D53" s="18"/>
      <c r="E53" s="18"/>
      <c r="F53" s="18"/>
      <c r="G53" s="89" t="str">
        <f>IF(ISBLANK(H9),"",H9)</f>
        <v/>
      </c>
      <c r="H53" s="72"/>
    </row>
    <row r="54" spans="1:13">
      <c r="A54" s="45"/>
      <c r="B54" s="36"/>
      <c r="C54" s="36"/>
      <c r="D54" s="36"/>
      <c r="E54" s="36"/>
      <c r="F54" s="36"/>
      <c r="G54" s="36"/>
      <c r="H54" s="46"/>
    </row>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10">
    <dataValidation type="list" allowBlank="1" showInputMessage="1" showErrorMessage="1" sqref="B16">
      <formula1>INDIRECT("Диагноз[Диагноз]")</formula1>
    </dataValidation>
    <dataValidation type="list" allowBlank="1" showInputMessage="1" showErrorMessage="1" sqref="D9:D13">
      <formula1>INDIRECT("Должность[Должность]")</formula1>
    </dataValidation>
    <dataValidation type="list" allowBlank="1" showInputMessage="1" showErrorMessage="1" sqref="H9:H13">
      <formula1>Должность_Сотрудник</formula1>
    </dataValidation>
    <dataValidation type="list" allowBlank="1" showInputMessage="1" showErrorMessage="1" sqref="A51">
      <formula1>INDIRECT("Контраст[Название]")</formula1>
    </dataValidation>
    <dataValidation type="list" allowBlank="1" showInputMessage="1" showErrorMessage="1" sqref="B53">
      <formula1>"Извлечён,Оставлен,М/О ушито Angio-Seal™"</formula1>
    </dataValidation>
    <dataValidation type="list" allowBlank="1" showInputMessage="1" showErrorMessage="1" sqref="H18">
      <formula1>"лучевой,бедренный,дистальный,rad et femoral"</formula1>
    </dataValidation>
    <dataValidation type="list" allowBlank="1" showInputMessage="1" showErrorMessage="1" sqref="B51">
      <formula1>"50 ml,100 ml,150 ml,200 ml,250 ml,300 ml,350 ml,400 ml,450 ml,500 ml,"</formula1>
    </dataValidation>
    <dataValidation type="list" allowBlank="1" showInputMessage="1" showErrorMessage="1" sqref="E15:F15 B18">
      <formula1>"Правый,Левый,Сбалансированный "</formula1>
    </dataValidation>
    <dataValidation type="list" allowBlank="1" showInputMessage="1" showErrorMessage="1" sqref="A6:H6">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4"/>
  <sheetViews>
    <sheetView showGridLines="0" showWhiteSpace="0" view="pageBreakPreview" zoomScaleNormal="100" zoomScaleSheetLayoutView="100" zoomScalePageLayoutView="90" workbookViewId="0">
      <selection activeCell="L42" sqref="L42"/>
    </sheetView>
  </sheetViews>
  <sheetFormatPr defaultColWidth="8.85546875" defaultRowHeight="15"/>
  <cols>
    <col min="1" max="1" width="17.7109375" bestFit="1" customWidth="1"/>
    <col min="2" max="2" width="21.5703125" customWidth="1"/>
    <col min="3" max="3" width="6.28515625" customWidth="1"/>
    <col min="4" max="4" width="6.85546875" customWidth="1"/>
    <col min="5" max="5" width="4.85546875" customWidth="1"/>
    <col min="6" max="6" width="6" customWidth="1"/>
    <col min="7" max="7" width="17.7109375" customWidth="1"/>
    <col min="8" max="8" width="17.140625" customWidth="1"/>
    <col min="9" max="9" width="15.28515625" customWidth="1"/>
    <col min="10" max="10" width="7.28515625" customWidth="1"/>
  </cols>
  <sheetData>
    <row r="1" spans="1:8" ht="15.75">
      <c r="A1" s="48" t="s">
        <v>199</v>
      </c>
      <c r="B1" s="49"/>
      <c r="C1" s="49"/>
      <c r="D1" s="49"/>
      <c r="E1" s="49"/>
      <c r="F1" s="49"/>
      <c r="G1" s="49"/>
      <c r="H1" s="50"/>
    </row>
    <row r="2" spans="1:8">
      <c r="A2" s="51" t="s">
        <v>200</v>
      </c>
      <c r="B2" s="52"/>
      <c r="C2" s="52"/>
      <c r="D2" s="52"/>
      <c r="E2" s="52"/>
      <c r="F2" s="52"/>
      <c r="G2" s="52"/>
      <c r="H2" s="53"/>
    </row>
    <row r="3" spans="1:8">
      <c r="A3" s="51" t="s">
        <v>201</v>
      </c>
      <c r="B3" s="52"/>
      <c r="C3" s="52"/>
      <c r="D3" s="52"/>
      <c r="E3" s="52"/>
      <c r="F3" s="52"/>
      <c r="G3" s="52"/>
      <c r="H3" s="53"/>
    </row>
    <row r="4" spans="1:8">
      <c r="A4" s="54" t="s">
        <v>202</v>
      </c>
      <c r="B4" s="55"/>
      <c r="C4" s="55"/>
      <c r="D4" s="55"/>
      <c r="E4" s="55"/>
      <c r="F4" s="55"/>
      <c r="G4" s="55"/>
      <c r="H4" s="56"/>
    </row>
    <row r="5" spans="1:8">
      <c r="A5" s="43"/>
      <c r="B5" s="18"/>
      <c r="C5" s="18"/>
      <c r="D5" s="18"/>
      <c r="E5" s="18"/>
      <c r="F5" s="18"/>
      <c r="G5" s="18"/>
      <c r="H5" s="44"/>
    </row>
    <row r="6" spans="1:8" ht="15.6" customHeight="1">
      <c r="A6" s="218" t="s">
        <v>273</v>
      </c>
      <c r="B6" s="219"/>
      <c r="C6" s="219"/>
      <c r="D6" s="219"/>
      <c r="E6" s="219"/>
      <c r="F6" s="219"/>
      <c r="G6" s="219"/>
      <c r="H6" s="220"/>
    </row>
    <row r="7" spans="1:8" ht="21.6" customHeight="1">
      <c r="A7" s="218"/>
      <c r="B7" s="219"/>
      <c r="C7" s="219"/>
      <c r="D7" s="219"/>
      <c r="E7" s="219"/>
      <c r="F7" s="219"/>
      <c r="G7" s="219"/>
      <c r="H7" s="220"/>
    </row>
    <row r="8" spans="1:8" ht="17.25" thickBot="1">
      <c r="A8" s="57" t="str">
        <f>"Код по ЕНМУ:"&amp;" "&amp;IFERROR(INDEX(Вмешательства[Номенклатура мед.услуги],MATCH(ЧКВ!A6,Вмешательства[Рентгенэндоваскулярная диагностика и лечение],0)),"")</f>
        <v>Код по ЕНМУ: A16.12.004.009</v>
      </c>
      <c r="B8" s="18"/>
      <c r="C8" s="217" t="s">
        <v>286</v>
      </c>
      <c r="D8" s="217"/>
      <c r="E8" s="217"/>
      <c r="F8" s="83">
        <v>2</v>
      </c>
      <c r="G8" s="145" t="s">
        <v>382</v>
      </c>
      <c r="H8" s="198"/>
    </row>
    <row r="9" spans="1:8" ht="15.75" thickTop="1">
      <c r="A9" s="57" t="str">
        <f>"Код модели:"&amp;" "&amp;IF(ISBLANK(H8),IF(A6=Вмешательства!D4,INDEX(Модель_Метод[Код модели],MATCH(ЧКВ!B20,Модель_Метод[Модель],0)),IF(ЧКВ!A6=Вмешательства!D5,INDEX(Модель_Метод[Код модели],MATCH(ЧКВ!B20,Модель_Метод[Модель],0)),"")),"")</f>
        <v>Код модели: 21167</v>
      </c>
      <c r="B9" s="18"/>
      <c r="C9" s="217"/>
      <c r="D9" s="217"/>
      <c r="E9" s="217"/>
      <c r="F9" s="83"/>
      <c r="G9" s="93"/>
      <c r="H9" s="44"/>
    </row>
    <row r="10" spans="1:8">
      <c r="A10" s="57" t="str">
        <f>"Код метода:"&amp;" "&amp;IF(ISBLANK(H8),IF(SUM(F8:F10)=1,47,IF(SUM(F8:F10)=2,46,IF(SUM(F8:F10)&gt;=3,45,""))),"")</f>
        <v>Код метода: 46</v>
      </c>
      <c r="B10" s="18"/>
      <c r="C10" s="217"/>
      <c r="D10" s="217"/>
      <c r="E10" s="217"/>
      <c r="F10" s="83"/>
      <c r="G10" s="93"/>
      <c r="H10" s="44"/>
    </row>
    <row r="11" spans="1:8">
      <c r="A11" s="43"/>
      <c r="B11" s="18"/>
      <c r="C11" s="62"/>
      <c r="D11" s="18"/>
      <c r="E11" s="18"/>
      <c r="F11" s="18"/>
      <c r="G11" s="18"/>
      <c r="H11" s="44"/>
    </row>
    <row r="12" spans="1:8" ht="18.75">
      <c r="A12" s="90" t="s">
        <v>256</v>
      </c>
      <c r="B12" s="25">
        <f>КАГ!B8</f>
        <v>44706</v>
      </c>
      <c r="C12" s="63"/>
      <c r="D12" s="21" t="s">
        <v>250</v>
      </c>
      <c r="E12" s="34"/>
      <c r="F12" s="34"/>
      <c r="G12" s="22"/>
      <c r="H12" s="23"/>
    </row>
    <row r="13" spans="1:8" ht="15.75">
      <c r="A13" s="91" t="s">
        <v>258</v>
      </c>
      <c r="B13" s="27">
        <v>0.38194444444444442</v>
      </c>
      <c r="C13" s="63"/>
      <c r="D13" s="115" t="s">
        <v>236</v>
      </c>
      <c r="E13" s="111"/>
      <c r="F13" s="111"/>
      <c r="G13" s="95" t="str">
        <f>КАГ!G9</f>
        <v>Щербаков А.С.</v>
      </c>
      <c r="H13" s="108" t="str">
        <f>IF(ISBLANK(КАГ!H9),"",КАГ!H9)</f>
        <v/>
      </c>
    </row>
    <row r="14" spans="1:8" ht="16.5" thickBot="1">
      <c r="A14" s="91" t="s">
        <v>259</v>
      </c>
      <c r="B14" s="27">
        <v>0.42708333333333331</v>
      </c>
      <c r="C14" s="63"/>
      <c r="D14" s="116" t="s">
        <v>237</v>
      </c>
      <c r="E14" s="112"/>
      <c r="F14" s="112"/>
      <c r="G14" s="96" t="str">
        <f>КАГ!G10</f>
        <v>Синицина И.А.</v>
      </c>
      <c r="H14" s="109" t="str">
        <f>IF(ISBLANK(КАГ!H10),"",КАГ!H10)</f>
        <v/>
      </c>
    </row>
    <row r="15" spans="1:8" ht="18" thickTop="1" thickBot="1">
      <c r="A15" s="106" t="s">
        <v>257</v>
      </c>
      <c r="B15" s="191" t="str">
        <f>КАГ!B11</f>
        <v>Лебедева А.Г.</v>
      </c>
      <c r="C15" s="18"/>
      <c r="D15" s="116" t="s">
        <v>234</v>
      </c>
      <c r="E15" s="112"/>
      <c r="F15" s="112"/>
      <c r="G15" s="96" t="str">
        <f>КАГ!G11</f>
        <v>Берина Е.В.</v>
      </c>
      <c r="H15" s="109" t="str">
        <f>IF(ISBLANK(КАГ!H11),"",КАГ!H11)</f>
        <v/>
      </c>
    </row>
    <row r="16" spans="1:8" ht="16.5" thickTop="1">
      <c r="A16" s="76" t="s">
        <v>8</v>
      </c>
      <c r="B16" s="75">
        <f>КАГ!B12</f>
        <v>17804</v>
      </c>
      <c r="C16" s="18"/>
      <c r="D16" s="116" t="s">
        <v>372</v>
      </c>
      <c r="E16" s="112"/>
      <c r="F16" s="112"/>
      <c r="G16" s="96" t="str">
        <f>КАГ!G12</f>
        <v>Галамага Н.Е.</v>
      </c>
      <c r="H16" s="109" t="str">
        <f>IF(ISBLANK(КАГ!H12),"",КАГ!H12)</f>
        <v/>
      </c>
    </row>
    <row r="17" spans="1:8" ht="15.75">
      <c r="A17" s="76" t="s">
        <v>10</v>
      </c>
      <c r="B17" s="77">
        <f>КАГ!B13</f>
        <v>73</v>
      </c>
      <c r="C17" s="18"/>
      <c r="D17" s="116" t="s">
        <v>248</v>
      </c>
      <c r="E17" s="112"/>
      <c r="F17" s="112"/>
      <c r="G17" s="96" t="str">
        <f>IF(ISBLANK(КАГ!G13),"",КАГ!G13)</f>
        <v/>
      </c>
      <c r="H17" s="109" t="str">
        <f>IF(ISBLANK(КАГ!H13),"",КАГ!H13)</f>
        <v/>
      </c>
    </row>
    <row r="18" spans="1:8" ht="15.75">
      <c r="A18" s="76" t="s">
        <v>12</v>
      </c>
      <c r="B18" s="78">
        <f>КАГ!B14</f>
        <v>7930</v>
      </c>
      <c r="C18" s="18"/>
      <c r="D18" s="18"/>
      <c r="E18" s="18"/>
      <c r="F18" s="18"/>
      <c r="G18" s="18"/>
      <c r="H18" s="44"/>
    </row>
    <row r="19" spans="1:8" ht="14.45" customHeight="1">
      <c r="A19" s="76" t="s">
        <v>197</v>
      </c>
      <c r="B19" s="78">
        <f>КАГ!B15</f>
        <v>35</v>
      </c>
      <c r="C19" s="80"/>
      <c r="D19" s="80"/>
      <c r="E19" s="80"/>
      <c r="F19" s="80"/>
      <c r="G19" s="103" t="s">
        <v>339</v>
      </c>
      <c r="H19" s="110" t="s">
        <v>340</v>
      </c>
    </row>
    <row r="20" spans="1:8" ht="14.45" customHeight="1">
      <c r="A20" s="76" t="s">
        <v>134</v>
      </c>
      <c r="B20" s="75" t="str">
        <f>КАГ!B16</f>
        <v>ОКС БПST</v>
      </c>
      <c r="C20" s="82"/>
      <c r="D20" s="82"/>
      <c r="E20" s="82"/>
      <c r="F20" s="82"/>
      <c r="G20" s="160" t="str">
        <f>КАГ!G16</f>
        <v>12:12</v>
      </c>
      <c r="H20" s="118">
        <f>КАГ!H16</f>
        <v>1251</v>
      </c>
    </row>
    <row r="21" spans="1:8" ht="14.45" customHeight="1">
      <c r="A21" s="81"/>
      <c r="B21" s="82"/>
      <c r="C21" s="82"/>
      <c r="D21" s="18"/>
      <c r="E21" s="84"/>
      <c r="F21" s="84"/>
      <c r="G21" s="18"/>
      <c r="H21" s="44"/>
    </row>
    <row r="22" spans="1:8" ht="14.45" customHeight="1">
      <c r="A22" s="65" t="str">
        <f>КАГ!G18</f>
        <v>Доступ:</v>
      </c>
      <c r="B22" s="92" t="str">
        <f>КАГ!H18</f>
        <v>лучевой</v>
      </c>
      <c r="C22" s="82"/>
      <c r="D22" s="82"/>
      <c r="E22" s="82"/>
      <c r="F22" s="82"/>
      <c r="G22" s="86" t="str">
        <f>IF(B20=Вмешательства!I2,Вмешательства!N3,"")</f>
        <v/>
      </c>
      <c r="H22" s="85" t="str">
        <f>IFERROR(SUM(IF($B$20=Вмешательства!F11,SUM(КАГ!$B$9+0.01),"")),"")</f>
        <v/>
      </c>
    </row>
    <row r="23" spans="1:8" ht="14.45" customHeight="1">
      <c r="A23" s="223" t="s">
        <v>458</v>
      </c>
      <c r="B23" s="224"/>
      <c r="C23" s="224"/>
      <c r="D23" s="224"/>
      <c r="E23" s="224"/>
      <c r="F23" s="224"/>
      <c r="G23" s="224"/>
      <c r="H23" s="225"/>
    </row>
    <row r="24" spans="1:8" ht="14.45" customHeight="1">
      <c r="A24" s="226"/>
      <c r="B24" s="224"/>
      <c r="C24" s="224"/>
      <c r="D24" s="224"/>
      <c r="E24" s="224"/>
      <c r="F24" s="224"/>
      <c r="G24" s="224"/>
      <c r="H24" s="225"/>
    </row>
    <row r="25" spans="1:8" ht="14.45" customHeight="1">
      <c r="A25" s="226"/>
      <c r="B25" s="224"/>
      <c r="C25" s="224"/>
      <c r="D25" s="224"/>
      <c r="E25" s="224"/>
      <c r="F25" s="224"/>
      <c r="G25" s="224"/>
      <c r="H25" s="225"/>
    </row>
    <row r="26" spans="1:8" ht="14.45" customHeight="1">
      <c r="A26" s="226"/>
      <c r="B26" s="224"/>
      <c r="C26" s="224"/>
      <c r="D26" s="224"/>
      <c r="E26" s="224"/>
      <c r="F26" s="224"/>
      <c r="G26" s="224"/>
      <c r="H26" s="225"/>
    </row>
    <row r="27" spans="1:8" ht="14.45" customHeight="1">
      <c r="A27" s="226"/>
      <c r="B27" s="224"/>
      <c r="C27" s="224"/>
      <c r="D27" s="224"/>
      <c r="E27" s="224"/>
      <c r="F27" s="224"/>
      <c r="G27" s="224"/>
      <c r="H27" s="225"/>
    </row>
    <row r="28" spans="1:8" ht="14.45" customHeight="1">
      <c r="A28" s="226"/>
      <c r="B28" s="224"/>
      <c r="C28" s="224"/>
      <c r="D28" s="224"/>
      <c r="E28" s="224"/>
      <c r="F28" s="224"/>
      <c r="G28" s="224"/>
      <c r="H28" s="225"/>
    </row>
    <row r="29" spans="1:8" ht="14.45" customHeight="1">
      <c r="A29" s="226"/>
      <c r="B29" s="224"/>
      <c r="C29" s="224"/>
      <c r="D29" s="224"/>
      <c r="E29" s="224"/>
      <c r="F29" s="224"/>
      <c r="G29" s="224"/>
      <c r="H29" s="225"/>
    </row>
    <row r="30" spans="1:8" ht="14.45" customHeight="1">
      <c r="A30" s="226"/>
      <c r="B30" s="224"/>
      <c r="C30" s="224"/>
      <c r="D30" s="224"/>
      <c r="E30" s="224"/>
      <c r="F30" s="224"/>
      <c r="G30" s="224"/>
      <c r="H30" s="225"/>
    </row>
    <row r="31" spans="1:8" ht="14.45" customHeight="1">
      <c r="A31" s="226"/>
      <c r="B31" s="224"/>
      <c r="C31" s="224"/>
      <c r="D31" s="224"/>
      <c r="E31" s="224"/>
      <c r="F31" s="224"/>
      <c r="G31" s="224"/>
      <c r="H31" s="225"/>
    </row>
    <row r="32" spans="1:8" ht="14.45" customHeight="1">
      <c r="A32" s="226"/>
      <c r="B32" s="224"/>
      <c r="C32" s="224"/>
      <c r="D32" s="224"/>
      <c r="E32" s="224"/>
      <c r="F32" s="224"/>
      <c r="G32" s="224"/>
      <c r="H32" s="225"/>
    </row>
    <row r="33" spans="1:8" ht="14.45" customHeight="1">
      <c r="A33" s="226"/>
      <c r="B33" s="224"/>
      <c r="C33" s="224"/>
      <c r="D33" s="224"/>
      <c r="E33" s="224"/>
      <c r="F33" s="224"/>
      <c r="G33" s="224"/>
      <c r="H33" s="225"/>
    </row>
    <row r="34" spans="1:8" ht="14.45" customHeight="1">
      <c r="A34" s="226"/>
      <c r="B34" s="224"/>
      <c r="C34" s="224"/>
      <c r="D34" s="224"/>
      <c r="E34" s="224"/>
      <c r="F34" s="224"/>
      <c r="G34" s="224"/>
      <c r="H34" s="225"/>
    </row>
    <row r="35" spans="1:8" ht="14.45" customHeight="1">
      <c r="A35" s="226"/>
      <c r="B35" s="224"/>
      <c r="C35" s="224"/>
      <c r="D35" s="224"/>
      <c r="E35" s="224"/>
      <c r="F35" s="224"/>
      <c r="G35" s="224"/>
      <c r="H35" s="225"/>
    </row>
    <row r="36" spans="1:8" ht="14.45" customHeight="1">
      <c r="A36" s="226"/>
      <c r="B36" s="224"/>
      <c r="C36" s="224"/>
      <c r="D36" s="224"/>
      <c r="E36" s="224"/>
      <c r="F36" s="224"/>
      <c r="G36" s="224"/>
      <c r="H36" s="225"/>
    </row>
    <row r="37" spans="1:8" ht="14.45" customHeight="1">
      <c r="A37" s="226"/>
      <c r="B37" s="224"/>
      <c r="C37" s="224"/>
      <c r="D37" s="224"/>
      <c r="E37" s="224"/>
      <c r="F37" s="224"/>
      <c r="G37" s="224"/>
      <c r="H37" s="225"/>
    </row>
    <row r="38" spans="1:8" ht="14.45" customHeight="1">
      <c r="A38" s="81"/>
      <c r="B38" s="82"/>
      <c r="C38" s="82"/>
      <c r="D38" s="82"/>
      <c r="E38" s="82"/>
      <c r="F38" s="82"/>
      <c r="G38" s="82"/>
      <c r="H38" s="158"/>
    </row>
    <row r="39" spans="1:8" ht="15.75">
      <c r="A39" s="37"/>
      <c r="B39" s="33"/>
      <c r="C39" s="149"/>
      <c r="D39" s="150" t="s">
        <v>252</v>
      </c>
      <c r="E39" s="87"/>
      <c r="F39" s="87"/>
      <c r="G39" s="87"/>
      <c r="H39" s="88"/>
    </row>
    <row r="40" spans="1:8" ht="14.45" customHeight="1">
      <c r="A40" s="37"/>
      <c r="B40" s="33"/>
      <c r="C40" s="148"/>
      <c r="D40" s="227" t="s">
        <v>459</v>
      </c>
      <c r="E40" s="221"/>
      <c r="F40" s="221"/>
      <c r="G40" s="221"/>
      <c r="H40" s="222"/>
    </row>
    <row r="41" spans="1:8" ht="14.45" customHeight="1">
      <c r="A41" s="37"/>
      <c r="B41" s="33"/>
      <c r="C41" s="148"/>
      <c r="D41" s="221"/>
      <c r="E41" s="221"/>
      <c r="F41" s="221"/>
      <c r="G41" s="221"/>
      <c r="H41" s="222"/>
    </row>
    <row r="42" spans="1:8" ht="14.45" customHeight="1">
      <c r="A42" s="37"/>
      <c r="B42" s="33"/>
      <c r="C42" s="148"/>
      <c r="D42" s="221"/>
      <c r="E42" s="221"/>
      <c r="F42" s="221"/>
      <c r="G42" s="221"/>
      <c r="H42" s="222"/>
    </row>
    <row r="43" spans="1:8" ht="14.45" customHeight="1">
      <c r="A43" s="37"/>
      <c r="B43" s="33"/>
      <c r="C43" s="148"/>
      <c r="D43" s="221"/>
      <c r="E43" s="221"/>
      <c r="F43" s="221"/>
      <c r="G43" s="221"/>
      <c r="H43" s="222"/>
    </row>
    <row r="44" spans="1:8" ht="14.45" customHeight="1">
      <c r="A44" s="37"/>
      <c r="B44" s="33"/>
      <c r="C44" s="148"/>
      <c r="D44" s="221"/>
      <c r="E44" s="221"/>
      <c r="F44" s="221"/>
      <c r="G44" s="221"/>
      <c r="H44" s="222"/>
    </row>
    <row r="45" spans="1:8" ht="14.45" customHeight="1">
      <c r="A45" s="37"/>
      <c r="B45" s="33"/>
      <c r="C45" s="148"/>
      <c r="D45" s="221"/>
      <c r="E45" s="221"/>
      <c r="F45" s="221"/>
      <c r="G45" s="221"/>
      <c r="H45" s="222"/>
    </row>
    <row r="46" spans="1:8" ht="14.45" customHeight="1">
      <c r="A46" s="37"/>
      <c r="B46" s="33"/>
      <c r="C46" s="148"/>
      <c r="D46" s="221"/>
      <c r="E46" s="221"/>
      <c r="F46" s="221"/>
      <c r="G46" s="221"/>
      <c r="H46" s="222"/>
    </row>
    <row r="47" spans="1:8" ht="14.45" customHeight="1">
      <c r="A47" s="43"/>
      <c r="B47" s="18"/>
      <c r="C47" s="148"/>
      <c r="D47" s="221"/>
      <c r="E47" s="221"/>
      <c r="F47" s="221"/>
      <c r="G47" s="221"/>
      <c r="H47" s="222"/>
    </row>
    <row r="48" spans="1:8" ht="14.45" customHeight="1">
      <c r="A48" s="43"/>
      <c r="B48" s="18"/>
      <c r="C48" s="148"/>
      <c r="D48" s="221"/>
      <c r="E48" s="221"/>
      <c r="F48" s="221"/>
      <c r="G48" s="221"/>
      <c r="H48" s="222"/>
    </row>
    <row r="49" spans="1:8" ht="14.45" customHeight="1">
      <c r="A49" s="43"/>
      <c r="B49" s="18"/>
      <c r="C49" s="148"/>
      <c r="D49" s="221"/>
      <c r="E49" s="221"/>
      <c r="F49" s="221"/>
      <c r="G49" s="221"/>
      <c r="H49" s="222"/>
    </row>
    <row r="50" spans="1:8">
      <c r="A50" s="43"/>
      <c r="B50" s="18"/>
      <c r="C50" s="18"/>
      <c r="D50" s="18"/>
      <c r="E50" s="18"/>
      <c r="F50" s="18"/>
      <c r="G50" s="18"/>
      <c r="H50" s="44"/>
    </row>
    <row r="51" spans="1:8">
      <c r="A51" s="70" t="s">
        <v>264</v>
      </c>
      <c r="B51" s="71" t="s">
        <v>455</v>
      </c>
      <c r="C51" s="18"/>
      <c r="D51" s="18"/>
      <c r="E51" s="18"/>
      <c r="F51" s="18"/>
      <c r="G51" s="89" t="str">
        <f>$G$13</f>
        <v>Щербаков А.С.</v>
      </c>
      <c r="H51" s="72"/>
    </row>
    <row r="52" spans="1:8">
      <c r="A52" s="43"/>
      <c r="B52" s="18"/>
      <c r="C52" s="18"/>
      <c r="D52" s="18"/>
      <c r="E52" s="18"/>
      <c r="F52" s="18"/>
      <c r="G52" s="18"/>
      <c r="H52" s="44"/>
    </row>
    <row r="53" spans="1:8">
      <c r="A53" s="79" t="s">
        <v>271</v>
      </c>
      <c r="B53" s="74" t="s">
        <v>385</v>
      </c>
      <c r="C53" s="18"/>
      <c r="D53" s="18"/>
      <c r="E53" s="18"/>
      <c r="F53" s="18"/>
      <c r="G53" s="89" t="str">
        <f>IF(ISBLANK(H13),"",H13)</f>
        <v/>
      </c>
      <c r="H53" s="72"/>
    </row>
    <row r="54" spans="1:8">
      <c r="A54" s="45"/>
      <c r="B54" s="36"/>
      <c r="C54" s="36"/>
      <c r="D54" s="36"/>
      <c r="E54" s="36"/>
      <c r="F54" s="36"/>
      <c r="G54" s="36"/>
      <c r="H54" s="46"/>
    </row>
  </sheetData>
  <sheetProtection sheet="1" objects="1" scenarios="1" formatCells="0" formatColumns="0"/>
  <mergeCells count="6">
    <mergeCell ref="C8:E8"/>
    <mergeCell ref="A6:H7"/>
    <mergeCell ref="C9:E9"/>
    <mergeCell ref="C10:E10"/>
    <mergeCell ref="D40:H49"/>
    <mergeCell ref="A23:H37"/>
  </mergeCells>
  <dataValidations count="8">
    <dataValidation type="list" allowBlank="1" showInputMessage="1" showErrorMessage="1" sqref="B51">
      <formula1>"50 ml,100 ml,150 ml,200 ml,250 ml,300 ml,350 ml,400 ml,450 ml,500 ml,"</formula1>
    </dataValidation>
    <dataValidation type="list" allowBlank="1" showInputMessage="1" showErrorMessage="1" sqref="B53">
      <formula1>"Извлечён,Оставлен,М/О ушито Angio-Seal™"</formula1>
    </dataValidation>
    <dataValidation type="list" allowBlank="1" showInputMessage="1" showErrorMessage="1" sqref="A51">
      <formula1>INDIRECT("Контраст[Название]")</formula1>
    </dataValidation>
    <dataValidation type="list" allowBlank="1" showInputMessage="1" showErrorMessage="1" sqref="A6">
      <formula1>INDIRECT("Вмешательства[Рентгенэндоваскулярная диагностика и лечение]")</formula1>
    </dataValidation>
    <dataValidation type="list" allowBlank="1" showInputMessage="1" showErrorMessage="1" sqref="D13:F17">
      <formula1>INDIRECT("Должность[Должность]")</formula1>
    </dataValidation>
    <dataValidation type="list" allowBlank="1" showInputMessage="1" showErrorMessage="1" sqref="C8:E10">
      <formula1>INDIRECT("Локализация[Локализация]")</formula1>
    </dataValidation>
    <dataValidation type="list" allowBlank="1" showInputMessage="1" showErrorMessage="1" sqref="F8:F10">
      <formula1>"1,2,3,4,5,6,7,8"</formula1>
    </dataValidation>
    <dataValidation type="list" allowBlank="1" showInputMessage="1" showErrorMessage="1" sqref="G8:G10">
      <formula1>"DES,BMS"</formula1>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Вмешательства!$N$4:$N$5</xm:f>
          </x14:formula1>
          <xm:sqref>H8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showWhiteSpace="0" view="pageBreakPreview" topLeftCell="A7" zoomScaleNormal="90" zoomScaleSheetLayoutView="100" zoomScalePageLayoutView="80" workbookViewId="0">
      <selection activeCell="C20" sqref="C20:C21"/>
    </sheetView>
  </sheetViews>
  <sheetFormatPr defaultRowHeight="15"/>
  <cols>
    <col min="1" max="1" width="18.7109375" customWidth="1"/>
    <col min="2" max="2" width="45.5703125" customWidth="1"/>
    <col min="3" max="3" width="15.7109375" customWidth="1"/>
    <col min="4" max="4" width="21.140625" customWidth="1"/>
    <col min="5" max="5" width="7.7109375" bestFit="1" customWidth="1"/>
    <col min="6" max="8" width="10.7109375" bestFit="1" customWidth="1"/>
    <col min="9" max="13" width="11.7109375" bestFit="1" customWidth="1"/>
  </cols>
  <sheetData>
    <row r="1" spans="1:4">
      <c r="A1" s="32"/>
      <c r="B1" s="136"/>
      <c r="C1" s="136"/>
      <c r="D1" s="137"/>
    </row>
    <row r="2" spans="1:4" ht="19.899999999999999" customHeight="1">
      <c r="A2" s="119" t="s">
        <v>126</v>
      </c>
      <c r="B2" s="120">
        <f>$D$10</f>
        <v>44706</v>
      </c>
      <c r="C2" s="190" t="str">
        <f>IF(ЧКВ!A6=Вмешательства!D4,Вмешательства!K7,IF(ЧКВ!A6=Вмешательства!D5,Вмешательства!K7,Вмешательства!K9))</f>
        <v>ВМП 1</v>
      </c>
      <c r="D2" s="121" t="s">
        <v>127</v>
      </c>
    </row>
    <row r="3" spans="1:4" ht="20.45" customHeight="1">
      <c r="A3" s="122" t="s">
        <v>125</v>
      </c>
      <c r="B3" s="123"/>
      <c r="C3" s="18"/>
      <c r="D3" s="44"/>
    </row>
    <row r="4" spans="1:4" ht="17.25" thickBot="1">
      <c r="A4" s="184" t="s">
        <v>260</v>
      </c>
      <c r="B4" s="185" t="s">
        <v>133</v>
      </c>
      <c r="C4" s="186" t="s">
        <v>15</v>
      </c>
      <c r="D4" s="187" t="str">
        <f>КАГ!$B$11</f>
        <v>Лебедева А.Г.</v>
      </c>
    </row>
    <row r="5" spans="1:4" ht="15.75" thickTop="1">
      <c r="A5" s="165"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66" t="str">
        <f>IF(ISBLANK(КАГ!A6),"",КАГ!A6)</f>
        <v>КОРОНАРОГРАФИЯ</v>
      </c>
      <c r="C5" s="164" t="s">
        <v>8</v>
      </c>
      <c r="D5" s="125">
        <f>КАГ!$B$12</f>
        <v>17804</v>
      </c>
    </row>
    <row r="6" spans="1:4" ht="30">
      <c r="A6" s="165"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A16.12.004.009</v>
      </c>
      <c r="B6" s="167" t="str">
        <f>ЧКВ!A6</f>
        <v xml:space="preserve">Транслюминальная баллонная ангиопластика и стентирование коронарных артерий. </v>
      </c>
      <c r="C6" s="164" t="s">
        <v>10</v>
      </c>
      <c r="D6" s="126">
        <f>DATEDIF(D5,D10,"y")</f>
        <v>73</v>
      </c>
    </row>
    <row r="7" spans="1:4">
      <c r="A7" s="43"/>
      <c r="B7" s="18"/>
      <c r="C7" s="124" t="s">
        <v>12</v>
      </c>
      <c r="D7" s="126">
        <f>КАГ!$B$14</f>
        <v>7930</v>
      </c>
    </row>
    <row r="8" spans="1:4">
      <c r="A8" s="127" t="str">
        <f>ЧКВ!$A$9</f>
        <v>Код модели: 21167</v>
      </c>
      <c r="B8" s="128"/>
      <c r="C8" s="124" t="s">
        <v>197</v>
      </c>
      <c r="D8" s="126">
        <f>КАГ!$B$15</f>
        <v>35</v>
      </c>
    </row>
    <row r="9" spans="1:4">
      <c r="A9" s="127" t="str">
        <f>ЧКВ!$A$10</f>
        <v>Код метода: 46</v>
      </c>
      <c r="B9" s="18"/>
      <c r="C9" s="129" t="s">
        <v>134</v>
      </c>
      <c r="D9" s="126" t="str">
        <f>КАГ!$B$16</f>
        <v>ОКС БПST</v>
      </c>
    </row>
    <row r="10" spans="1:4">
      <c r="A10" s="45"/>
      <c r="B10" s="36"/>
      <c r="C10" s="188" t="s">
        <v>13</v>
      </c>
      <c r="D10" s="189">
        <f>КАГ!$B$8</f>
        <v>44706</v>
      </c>
    </row>
    <row r="11" spans="1:4">
      <c r="A11" s="32"/>
      <c r="B11" s="136"/>
      <c r="C11" s="136"/>
      <c r="D11" s="137"/>
    </row>
    <row r="12" spans="1:4" ht="18.75" customHeight="1">
      <c r="A12" s="171" t="s">
        <v>414</v>
      </c>
      <c r="B12" s="172" t="s">
        <v>0</v>
      </c>
      <c r="C12" s="172" t="s">
        <v>14</v>
      </c>
      <c r="D12" s="173" t="s">
        <v>128</v>
      </c>
    </row>
    <row r="13" spans="1:4" ht="27.75" customHeight="1">
      <c r="A13" s="174"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3" s="192" t="s">
        <v>411</v>
      </c>
      <c r="C13" s="170"/>
      <c r="D13" s="175">
        <v>1</v>
      </c>
    </row>
    <row r="14" spans="1:4" ht="27.75" customHeight="1">
      <c r="A14" s="176"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4" s="193" t="s">
        <v>404</v>
      </c>
      <c r="C14" s="168"/>
      <c r="D14" s="175">
        <v>1</v>
      </c>
    </row>
    <row r="15" spans="1:4" ht="27.75" customHeight="1">
      <c r="A15" s="176"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5" s="193" t="s">
        <v>402</v>
      </c>
      <c r="C15" s="168" t="s">
        <v>424</v>
      </c>
      <c r="D15" s="175">
        <v>1</v>
      </c>
    </row>
    <row r="16" spans="1:4" ht="27.75" customHeight="1">
      <c r="A16" s="176"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6" s="193" t="s">
        <v>402</v>
      </c>
      <c r="C16" s="168" t="s">
        <v>181</v>
      </c>
      <c r="D16" s="175">
        <v>1</v>
      </c>
    </row>
    <row r="17" spans="1:4" ht="27.75" customHeight="1">
      <c r="A17" s="176"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7" s="193" t="s">
        <v>392</v>
      </c>
      <c r="C17" s="168" t="s">
        <v>103</v>
      </c>
      <c r="D17" s="175">
        <v>1</v>
      </c>
    </row>
    <row r="18" spans="1:4" ht="27.75" customHeight="1">
      <c r="A18" s="176"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8" s="193" t="s">
        <v>392</v>
      </c>
      <c r="C18" s="168" t="s">
        <v>105</v>
      </c>
      <c r="D18" s="175">
        <v>1</v>
      </c>
    </row>
    <row r="19" spans="1:4" ht="27.75" customHeight="1">
      <c r="A19" s="176"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9" s="193" t="s">
        <v>401</v>
      </c>
      <c r="C19" s="168"/>
      <c r="D19" s="177">
        <v>1</v>
      </c>
    </row>
    <row r="20" spans="1:4" ht="27.75" customHeight="1">
      <c r="A20" s="176" t="str">
        <f>IFERROR(INDEX(Расходка[[Тип расходного материала ]],MATCH(Карта_Учёта[[#This Row],[Наименование расходного материала]],Расходка[Наименование расходного материала],0)),"")</f>
        <v/>
      </c>
      <c r="B20" s="194"/>
      <c r="C20" s="168"/>
      <c r="D20" s="177"/>
    </row>
    <row r="21" spans="1:4" ht="27.75" customHeight="1">
      <c r="A21" s="176" t="str">
        <f>IFERROR(INDEX(Расходка[[Тип расходного материала ]],MATCH(Карта_Учёта[[#This Row],[Наименование расходного материала]],Расходка[Наименование расходного материала],0)),"")</f>
        <v/>
      </c>
      <c r="B21" s="193"/>
      <c r="C21" s="168"/>
      <c r="D21" s="178"/>
    </row>
    <row r="22" spans="1:4" ht="27.75" customHeight="1">
      <c r="A22" s="179" t="str">
        <f>IFERROR(INDEX(Расходка[[Тип расходного материала ]],MATCH(Карта_Учёта[[#This Row],[Наименование расходного материала]],Расходка[Наименование расходного материала],0)),"")</f>
        <v/>
      </c>
      <c r="B22" s="195"/>
      <c r="C22" s="168"/>
      <c r="D22" s="178"/>
    </row>
    <row r="23" spans="1:4" ht="27.75" customHeight="1">
      <c r="A23" s="179" t="str">
        <f>IFERROR(INDEX(Расходка[[Тип расходного материала ]],MATCH(Карта_Учёта[[#This Row],[Наименование расходного материала]],Расходка[Наименование расходного материала],0)),"")</f>
        <v/>
      </c>
      <c r="B23" s="195"/>
      <c r="C23" s="168"/>
      <c r="D23" s="178"/>
    </row>
    <row r="24" spans="1:4" ht="27.75" customHeight="1">
      <c r="A24" s="180" t="str">
        <f>IFERROR(INDEX(Расходка[[Тип расходного материала ]],MATCH(Карта_Учёта[[#This Row],[Наименование расходного материала]],Расходка[Наименование расходного материала],0)),"")</f>
        <v/>
      </c>
      <c r="B24" s="195"/>
      <c r="C24" s="169"/>
      <c r="D24" s="178"/>
    </row>
    <row r="25" spans="1:4" ht="27.75" customHeight="1">
      <c r="A25" s="181" t="str">
        <f>IFERROR(INDEX(Расходка[[Тип расходного материала ]],MATCH(Карта_Учёта[[#This Row],[Наименование расходного материала]],Расходка[Наименование расходного материала],0)),"")</f>
        <v/>
      </c>
      <c r="B25" s="196"/>
      <c r="C25" s="182"/>
      <c r="D25" s="183"/>
    </row>
    <row r="26" spans="1:4" ht="14.45" customHeight="1">
      <c r="A26" s="130" t="str">
        <f>IFERROR(INDEX(Расходка[[Тип расходного материала ]],MATCH(Карта_Учёта[[#This Row],[Наименование расходного материала]],Расходка[Наименование расходного материала],0)),"")</f>
        <v/>
      </c>
      <c r="B26" s="132"/>
      <c r="C26" s="133"/>
      <c r="D26" s="131"/>
    </row>
    <row r="27" spans="1:4" ht="14.45" customHeight="1">
      <c r="A27" s="130" t="str">
        <f>IFERROR(INDEX(Расходка[[Тип расходного материала ]],MATCH(Карта_Учёта[[#This Row],[Наименование расходного материала]],Расходка[Наименование расходного материала],0)),"")</f>
        <v/>
      </c>
      <c r="B27" s="132"/>
      <c r="C27" s="133"/>
      <c r="D27" s="131"/>
    </row>
    <row r="28" spans="1:4" ht="14.45" customHeight="1">
      <c r="A28" s="43" t="s">
        <v>11</v>
      </c>
      <c r="B28" s="18" t="s">
        <v>11</v>
      </c>
      <c r="C28" s="18"/>
      <c r="D28" s="44"/>
    </row>
    <row r="29" spans="1:4" ht="14.45" customHeight="1">
      <c r="A29" s="43" t="s">
        <v>11</v>
      </c>
      <c r="B29" s="18" t="s">
        <v>11</v>
      </c>
      <c r="C29" s="18"/>
      <c r="D29" s="44"/>
    </row>
    <row r="30" spans="1:4" ht="14.45" customHeight="1">
      <c r="A30" s="43" t="s">
        <v>11</v>
      </c>
      <c r="B30" s="18" t="s">
        <v>11</v>
      </c>
      <c r="C30" s="18"/>
      <c r="D30" s="44"/>
    </row>
    <row r="31" spans="1:4" ht="14.45" customHeight="1">
      <c r="A31" s="43" t="s">
        <v>11</v>
      </c>
      <c r="B31" s="18" t="s">
        <v>11</v>
      </c>
      <c r="C31" s="18"/>
      <c r="D31" s="44"/>
    </row>
    <row r="32" spans="1:4" ht="14.45" customHeight="1">
      <c r="A32" s="43" t="s">
        <v>11</v>
      </c>
      <c r="B32" s="18"/>
      <c r="C32" s="18"/>
      <c r="D32" s="44"/>
    </row>
    <row r="33" spans="1:4" ht="14.45" customHeight="1">
      <c r="A33" s="43"/>
      <c r="B33" s="18"/>
      <c r="C33" s="18"/>
      <c r="D33" s="44"/>
    </row>
    <row r="34" spans="1:4" ht="14.45" customHeight="1">
      <c r="A34" s="43"/>
      <c r="B34" s="18"/>
      <c r="C34" s="18"/>
      <c r="D34" s="44"/>
    </row>
    <row r="35" spans="1:4" ht="19.899999999999999" customHeight="1">
      <c r="A35" s="43"/>
      <c r="B35" s="134" t="s">
        <v>370</v>
      </c>
      <c r="C35" s="17"/>
      <c r="D35" s="44"/>
    </row>
    <row r="36" spans="1:4" ht="19.899999999999999" customHeight="1">
      <c r="A36" s="43"/>
      <c r="C36" s="18"/>
      <c r="D36" s="44"/>
    </row>
    <row r="37" spans="1:4" ht="19.899999999999999" customHeight="1">
      <c r="A37" s="43"/>
      <c r="B37" s="143" t="str">
        <f>"Оператор:"&amp;" "&amp;ЧКВ!$G$13</f>
        <v>Оператор: Щербаков А.С.</v>
      </c>
      <c r="C37" s="17"/>
      <c r="D37" s="44"/>
    </row>
    <row r="38" spans="1:4" ht="19.899999999999999" customHeight="1">
      <c r="A38" s="43"/>
      <c r="C38" s="18"/>
      <c r="D38" s="44"/>
    </row>
    <row r="39" spans="1:4" ht="19.899999999999999" customHeight="1">
      <c r="A39" s="43"/>
      <c r="B39" s="135" t="s">
        <v>448</v>
      </c>
      <c r="C39" s="138"/>
      <c r="D39" s="44"/>
    </row>
    <row r="40" spans="1:4" ht="19.899999999999999" customHeight="1">
      <c r="A40" s="45"/>
      <c r="B40" s="36"/>
      <c r="C40" s="36"/>
      <c r="D40" s="46"/>
    </row>
    <row r="41" spans="1:4" ht="14.45" customHeight="1">
      <c r="C41" s="15"/>
    </row>
  </sheetData>
  <sheetProtection sheet="1" scenarios="1" formatCells="0" formatColumns="0" formatRows="0" sort="0" autoFilter="0"/>
  <phoneticPr fontId="13" type="noConversion"/>
  <dataValidations count="17">
    <dataValidation allowBlank="1" showInputMessage="1" sqref="B5:B6"/>
    <dataValidation type="list" errorStyle="warning" allowBlank="1" showInputMessage="1" showErrorMessage="1" errorTitle="Ой)))" error="Размера нет в базе данных!" sqref="C13:C14 C16:C25">
      <formula1>Размеры_стентов_балонов</formula1>
    </dataValidation>
    <dataValidation type="list" allowBlank="1" showInputMessage="1" sqref="B13">
      <formula1>ВЫП.Список_Расходка_1</formula1>
    </dataValidation>
    <dataValidation type="list" allowBlank="1" showInputMessage="1" sqref="B14">
      <formula1>ВЫП.Список_Расходка_2</formula1>
    </dataValidation>
    <dataValidation type="list" allowBlank="1" showInputMessage="1" sqref="B15">
      <formula1>ВЫП.Список_Расходка_3</formula1>
    </dataValidation>
    <dataValidation type="list" allowBlank="1" showInputMessage="1" sqref="B16">
      <formula1>ВЫП.Список_Расходка_4</formula1>
    </dataValidation>
    <dataValidation type="list" allowBlank="1" showInputMessage="1" showErrorMessage="1" sqref="B39 B35">
      <formula1>INDIRECT("Сотрудники[Должность: ФИО]")</formula1>
    </dataValidation>
    <dataValidation type="list" allowBlank="1" showInputMessage="1" sqref="B17">
      <formula1>ВЫП.Список_Расходка_5</formula1>
    </dataValidation>
    <dataValidation type="list" allowBlank="1" showInputMessage="1" sqref="B18">
      <formula1>ВЫП.Список_Расходка_6</formula1>
    </dataValidation>
    <dataValidation type="list" allowBlank="1" showInputMessage="1" sqref="B19">
      <formula1>ВЫП.Список_Расходка_7</formula1>
    </dataValidation>
    <dataValidation type="list" allowBlank="1" showInputMessage="1" sqref="B20">
      <formula1>ВЫП.Список_Расходка_8</formula1>
    </dataValidation>
    <dataValidation type="list" allowBlank="1" showInputMessage="1" sqref="B21">
      <formula1>ВЫП.Список_Расходка_9</formula1>
    </dataValidation>
    <dataValidation type="list" allowBlank="1" showInputMessage="1" sqref="B22">
      <formula1>ВЫП.Список_Расходка_10</formula1>
    </dataValidation>
    <dataValidation type="list" allowBlank="1" showInputMessage="1" sqref="B23">
      <formula1>ВЫП.Список_Расходка_11</formula1>
    </dataValidation>
    <dataValidation type="list" allowBlank="1" showInputMessage="1" sqref="B24">
      <formula1>ВЫП.Список_Расходка_12</formula1>
    </dataValidation>
    <dataValidation type="list" allowBlank="1" showInputMessage="1" sqref="B25">
      <formula1>ВЫП.Список_Расходка_13</formula1>
    </dataValidation>
    <dataValidation type="list" errorStyle="warning" allowBlank="1" showInputMessage="1" showErrorMessage="1" errorTitle="Ой)))" error="Размера нет в базе данных" sqref="C15">
      <formula1>Размеры_стентов_балонов</formula1>
    </dataValidation>
  </dataValidations>
  <printOptions horizontalCentered="1"/>
  <pageMargins left="0.11811023622047245" right="0.11811023622047245" top="0.35433070866141736" bottom="0" header="0.31496062992125984" footer="0.31496062992125984"/>
  <pageSetup paperSize="9" orientation="portrait"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'Расходный материал'!$C$2:$C$48</xm:f>
          </x14:formula1>
          <xm:sqref>G10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zoomScale="90" zoomScaleNormal="90" workbookViewId="0">
      <pane ySplit="1" topLeftCell="A2" activePane="bottomLeft" state="frozen"/>
      <selection pane="bottomLeft" activeCell="D4" sqref="D4"/>
    </sheetView>
  </sheetViews>
  <sheetFormatPr defaultRowHeight="15"/>
  <cols>
    <col min="1" max="1" width="5" customWidth="1"/>
    <col min="2" max="2" width="13.28515625" hidden="1" customWidth="1"/>
    <col min="3" max="3" width="25.5703125" bestFit="1" customWidth="1"/>
    <col min="4" max="4" width="56.7109375" customWidth="1"/>
    <col min="6" max="6" width="40" bestFit="1" customWidth="1"/>
    <col min="7" max="7" width="7.7109375" bestFit="1" customWidth="1"/>
    <col min="8" max="8" width="5.28515625" customWidth="1"/>
    <col min="9" max="9" width="15.42578125" bestFit="1" customWidth="1"/>
    <col min="10" max="10" width="12.28515625" bestFit="1" customWidth="1"/>
    <col min="11" max="11" width="7.42578125" bestFit="1" customWidth="1"/>
    <col min="12" max="12" width="12" bestFit="1" customWidth="1"/>
    <col min="13" max="13" width="6.28515625" customWidth="1"/>
    <col min="14" max="14" width="15.28515625" bestFit="1" customWidth="1"/>
    <col min="15" max="15" width="7.42578125" bestFit="1" customWidth="1"/>
    <col min="16" max="16" width="12" bestFit="1" customWidth="1"/>
    <col min="17" max="17" width="8.85546875" customWidth="1"/>
  </cols>
  <sheetData>
    <row r="1" spans="1:15" ht="24.6" customHeight="1">
      <c r="A1" s="7" t="s">
        <v>2</v>
      </c>
      <c r="B1" s="7" t="s">
        <v>7</v>
      </c>
      <c r="C1" s="8" t="s">
        <v>16</v>
      </c>
      <c r="D1" s="11" t="s">
        <v>17</v>
      </c>
      <c r="F1" s="3" t="s">
        <v>89</v>
      </c>
      <c r="G1" s="3" t="s">
        <v>90</v>
      </c>
      <c r="I1" s="2" t="s">
        <v>191</v>
      </c>
      <c r="J1" s="2" t="s">
        <v>194</v>
      </c>
      <c r="K1" s="2" t="s">
        <v>192</v>
      </c>
      <c r="L1" s="2" t="s">
        <v>195</v>
      </c>
    </row>
    <row r="2" spans="1:15">
      <c r="A2" s="10">
        <v>1</v>
      </c>
      <c r="B2" s="2" t="s">
        <v>9</v>
      </c>
      <c r="C2" s="10" t="s">
        <v>293</v>
      </c>
      <c r="D2" s="5" t="s">
        <v>278</v>
      </c>
      <c r="F2" t="s">
        <v>91</v>
      </c>
      <c r="G2">
        <v>155800</v>
      </c>
      <c r="I2" t="s">
        <v>98</v>
      </c>
      <c r="J2" s="2">
        <v>21166</v>
      </c>
      <c r="K2" t="s">
        <v>100</v>
      </c>
      <c r="L2" s="2">
        <v>47</v>
      </c>
      <c r="M2" s="12"/>
      <c r="N2" t="s">
        <v>280</v>
      </c>
    </row>
    <row r="3" spans="1:15">
      <c r="A3" s="10">
        <v>2</v>
      </c>
      <c r="B3" s="2" t="s">
        <v>18</v>
      </c>
      <c r="C3" s="10" t="s">
        <v>85</v>
      </c>
      <c r="D3" s="5" t="s">
        <v>279</v>
      </c>
      <c r="F3" t="s">
        <v>92</v>
      </c>
      <c r="G3">
        <v>218190</v>
      </c>
      <c r="I3" t="s">
        <v>387</v>
      </c>
      <c r="J3" s="2">
        <v>21167</v>
      </c>
      <c r="K3" t="s">
        <v>101</v>
      </c>
      <c r="L3" s="2">
        <v>46</v>
      </c>
      <c r="N3" t="s">
        <v>272</v>
      </c>
    </row>
    <row r="4" spans="1:15" ht="30">
      <c r="A4" s="10">
        <v>3</v>
      </c>
      <c r="B4" s="2" t="s">
        <v>38</v>
      </c>
      <c r="C4" s="10" t="s">
        <v>39</v>
      </c>
      <c r="D4" s="5" t="s">
        <v>273</v>
      </c>
      <c r="F4" t="s">
        <v>93</v>
      </c>
      <c r="G4">
        <v>218140</v>
      </c>
      <c r="I4" t="s">
        <v>193</v>
      </c>
      <c r="J4" s="2">
        <v>21168</v>
      </c>
      <c r="K4" t="s">
        <v>102</v>
      </c>
      <c r="L4" s="2">
        <v>45</v>
      </c>
      <c r="N4" t="s">
        <v>443</v>
      </c>
    </row>
    <row r="5" spans="1:15" ht="30">
      <c r="A5" s="10">
        <v>4</v>
      </c>
      <c r="B5" s="2"/>
      <c r="C5" s="10" t="s">
        <v>39</v>
      </c>
      <c r="D5" s="5" t="s">
        <v>442</v>
      </c>
      <c r="F5" t="s">
        <v>94</v>
      </c>
      <c r="G5">
        <v>218160</v>
      </c>
    </row>
    <row r="6" spans="1:15" ht="30">
      <c r="A6" s="10">
        <v>5</v>
      </c>
      <c r="B6" s="2" t="s">
        <v>36</v>
      </c>
      <c r="C6" s="10" t="s">
        <v>37</v>
      </c>
      <c r="D6" s="5" t="s">
        <v>251</v>
      </c>
      <c r="F6" t="s">
        <v>95</v>
      </c>
      <c r="G6">
        <v>194510</v>
      </c>
    </row>
    <row r="7" spans="1:15" ht="30">
      <c r="A7" s="10">
        <v>6</v>
      </c>
      <c r="B7" s="9"/>
      <c r="C7" s="10" t="s">
        <v>99</v>
      </c>
      <c r="D7" s="5" t="s">
        <v>378</v>
      </c>
      <c r="F7" t="s">
        <v>96</v>
      </c>
      <c r="G7">
        <v>323500</v>
      </c>
      <c r="I7" t="s">
        <v>292</v>
      </c>
      <c r="K7" t="s">
        <v>377</v>
      </c>
    </row>
    <row r="8" spans="1:15" ht="30">
      <c r="A8" s="10">
        <v>7</v>
      </c>
      <c r="B8" s="2"/>
      <c r="C8" s="10" t="s">
        <v>294</v>
      </c>
      <c r="D8" s="5" t="s">
        <v>196</v>
      </c>
      <c r="F8" t="s">
        <v>97</v>
      </c>
      <c r="G8">
        <v>323510</v>
      </c>
      <c r="I8" t="s">
        <v>282</v>
      </c>
      <c r="K8" t="s">
        <v>415</v>
      </c>
    </row>
    <row r="9" spans="1:15">
      <c r="A9" s="10">
        <v>8</v>
      </c>
      <c r="B9" s="9"/>
      <c r="C9" s="10" t="s">
        <v>80</v>
      </c>
      <c r="D9" s="5" t="s">
        <v>312</v>
      </c>
      <c r="I9" t="s">
        <v>283</v>
      </c>
      <c r="K9" t="s">
        <v>416</v>
      </c>
    </row>
    <row r="10" spans="1:15">
      <c r="A10" s="10">
        <v>9</v>
      </c>
      <c r="B10" s="2" t="s">
        <v>35</v>
      </c>
      <c r="C10" s="10" t="s">
        <v>86</v>
      </c>
      <c r="D10" s="5" t="s">
        <v>87</v>
      </c>
      <c r="F10" t="s">
        <v>134</v>
      </c>
      <c r="I10" t="s">
        <v>284</v>
      </c>
    </row>
    <row r="11" spans="1:15">
      <c r="A11" s="10">
        <v>10</v>
      </c>
      <c r="B11" s="2"/>
      <c r="C11" s="10" t="s">
        <v>295</v>
      </c>
      <c r="D11" s="5" t="s">
        <v>203</v>
      </c>
      <c r="F11" s="16" t="s">
        <v>98</v>
      </c>
      <c r="G11" s="16"/>
      <c r="H11" s="16"/>
      <c r="I11" t="s">
        <v>285</v>
      </c>
    </row>
    <row r="12" spans="1:15">
      <c r="A12" s="10">
        <v>11</v>
      </c>
      <c r="B12" s="2" t="s">
        <v>25</v>
      </c>
      <c r="C12" s="10" t="s">
        <v>296</v>
      </c>
      <c r="D12" s="5" t="s">
        <v>26</v>
      </c>
      <c r="F12" s="16" t="s">
        <v>386</v>
      </c>
      <c r="G12" s="16"/>
      <c r="H12" s="16"/>
      <c r="I12" t="s">
        <v>286</v>
      </c>
      <c r="O12" s="10"/>
    </row>
    <row r="13" spans="1:15">
      <c r="A13" s="10">
        <v>12</v>
      </c>
      <c r="B13" s="2" t="s">
        <v>19</v>
      </c>
      <c r="C13" s="10" t="s">
        <v>297</v>
      </c>
      <c r="D13" s="5" t="s">
        <v>20</v>
      </c>
      <c r="F13" s="16" t="s">
        <v>193</v>
      </c>
      <c r="G13" s="16"/>
      <c r="H13" s="16"/>
      <c r="I13" t="s">
        <v>287</v>
      </c>
      <c r="N13" s="12"/>
      <c r="O13" s="12"/>
    </row>
    <row r="14" spans="1:15">
      <c r="A14" s="10">
        <v>13</v>
      </c>
      <c r="B14" s="2" t="s">
        <v>21</v>
      </c>
      <c r="C14" s="10" t="s">
        <v>298</v>
      </c>
      <c r="D14" s="5" t="s">
        <v>22</v>
      </c>
      <c r="F14" s="16" t="s">
        <v>154</v>
      </c>
      <c r="G14" s="16"/>
      <c r="H14" s="16"/>
      <c r="I14" t="s">
        <v>288</v>
      </c>
    </row>
    <row r="15" spans="1:15">
      <c r="A15" s="10">
        <v>14</v>
      </c>
      <c r="B15" s="2" t="s">
        <v>23</v>
      </c>
      <c r="C15" s="10" t="s">
        <v>299</v>
      </c>
      <c r="D15" s="5" t="s">
        <v>24</v>
      </c>
      <c r="F15" s="16" t="s">
        <v>156</v>
      </c>
      <c r="G15" s="16"/>
      <c r="H15" s="16"/>
      <c r="I15" t="s">
        <v>274</v>
      </c>
    </row>
    <row r="16" spans="1:15">
      <c r="A16" s="10">
        <v>15</v>
      </c>
      <c r="B16" s="2" t="s">
        <v>27</v>
      </c>
      <c r="C16" s="10" t="s">
        <v>300</v>
      </c>
      <c r="D16" s="5" t="s">
        <v>28</v>
      </c>
      <c r="F16" s="16" t="s">
        <v>155</v>
      </c>
      <c r="G16" s="16"/>
      <c r="H16" s="16"/>
      <c r="I16" t="s">
        <v>289</v>
      </c>
    </row>
    <row r="17" spans="1:9">
      <c r="A17" s="10">
        <v>16</v>
      </c>
      <c r="B17" s="2" t="s">
        <v>29</v>
      </c>
      <c r="C17" s="10" t="s">
        <v>301</v>
      </c>
      <c r="D17" s="5" t="s">
        <v>30</v>
      </c>
      <c r="F17" s="16" t="s">
        <v>158</v>
      </c>
      <c r="I17" t="s">
        <v>281</v>
      </c>
    </row>
    <row r="18" spans="1:9">
      <c r="A18" s="10">
        <v>17</v>
      </c>
      <c r="B18" s="2" t="s">
        <v>31</v>
      </c>
      <c r="C18" s="10" t="s">
        <v>302</v>
      </c>
      <c r="D18" s="5" t="s">
        <v>32</v>
      </c>
      <c r="F18" s="16"/>
      <c r="I18" t="s">
        <v>290</v>
      </c>
    </row>
    <row r="19" spans="1:9">
      <c r="A19" s="10">
        <v>18</v>
      </c>
      <c r="B19" s="2" t="s">
        <v>33</v>
      </c>
      <c r="C19" s="10" t="s">
        <v>303</v>
      </c>
      <c r="D19" s="5" t="s">
        <v>34</v>
      </c>
      <c r="I19" t="s">
        <v>291</v>
      </c>
    </row>
    <row r="20" spans="1:9" ht="30">
      <c r="A20" s="10">
        <v>19</v>
      </c>
      <c r="B20" s="2" t="s">
        <v>40</v>
      </c>
      <c r="C20" s="10" t="s">
        <v>41</v>
      </c>
      <c r="D20" s="5" t="s">
        <v>42</v>
      </c>
    </row>
    <row r="21" spans="1:9" ht="30">
      <c r="A21" s="10">
        <v>20</v>
      </c>
      <c r="B21" s="2" t="s">
        <v>43</v>
      </c>
      <c r="C21" s="10" t="s">
        <v>44</v>
      </c>
      <c r="D21" s="5" t="s">
        <v>45</v>
      </c>
      <c r="F21" s="13"/>
      <c r="G21" s="13"/>
      <c r="H21" s="13"/>
      <c r="I21" s="13"/>
    </row>
    <row r="22" spans="1:9" ht="30">
      <c r="A22" s="10">
        <v>21</v>
      </c>
      <c r="B22" s="2" t="s">
        <v>46</v>
      </c>
      <c r="C22" s="10" t="s">
        <v>47</v>
      </c>
      <c r="D22" s="5" t="s">
        <v>48</v>
      </c>
      <c r="F22" s="13"/>
      <c r="G22" s="13"/>
      <c r="H22" s="13"/>
      <c r="I22" s="13"/>
    </row>
    <row r="23" spans="1:9" ht="30">
      <c r="A23" s="10">
        <v>22</v>
      </c>
      <c r="B23" s="2" t="s">
        <v>49</v>
      </c>
      <c r="C23" s="10" t="s">
        <v>50</v>
      </c>
      <c r="D23" s="5" t="s">
        <v>51</v>
      </c>
      <c r="F23" s="13"/>
      <c r="G23" s="13"/>
      <c r="H23" s="13"/>
      <c r="I23" s="13"/>
    </row>
    <row r="24" spans="1:9" ht="30">
      <c r="A24" s="10">
        <v>23</v>
      </c>
      <c r="B24" s="2" t="s">
        <v>52</v>
      </c>
      <c r="C24" s="10" t="s">
        <v>53</v>
      </c>
      <c r="D24" s="5" t="s">
        <v>54</v>
      </c>
      <c r="F24" s="13"/>
      <c r="G24" s="13"/>
      <c r="H24" s="13"/>
      <c r="I24" s="13"/>
    </row>
    <row r="25" spans="1:9">
      <c r="A25" s="10">
        <v>24</v>
      </c>
      <c r="B25" s="2" t="s">
        <v>55</v>
      </c>
      <c r="C25" s="10" t="s">
        <v>56</v>
      </c>
      <c r="D25" s="5" t="s">
        <v>57</v>
      </c>
      <c r="F25" s="13"/>
      <c r="G25" s="13"/>
      <c r="H25" s="13"/>
      <c r="I25" s="13"/>
    </row>
    <row r="26" spans="1:9">
      <c r="A26" s="10">
        <v>25</v>
      </c>
      <c r="B26" s="2" t="s">
        <v>58</v>
      </c>
      <c r="C26" s="10" t="s">
        <v>59</v>
      </c>
      <c r="D26" s="5" t="s">
        <v>60</v>
      </c>
      <c r="F26" s="13"/>
      <c r="G26" s="13"/>
      <c r="H26" s="13"/>
      <c r="I26" s="13"/>
    </row>
    <row r="27" spans="1:9" ht="30">
      <c r="A27" s="10">
        <v>26</v>
      </c>
      <c r="B27" s="2" t="s">
        <v>61</v>
      </c>
      <c r="C27" s="10" t="s">
        <v>62</v>
      </c>
      <c r="D27" s="5" t="s">
        <v>63</v>
      </c>
      <c r="F27" s="13"/>
      <c r="G27" s="13"/>
      <c r="H27" s="13"/>
      <c r="I27" s="13"/>
    </row>
    <row r="28" spans="1:9" ht="45">
      <c r="A28" s="10">
        <v>27</v>
      </c>
      <c r="B28" s="2" t="s">
        <v>64</v>
      </c>
      <c r="C28" s="10" t="s">
        <v>65</v>
      </c>
      <c r="D28" s="5" t="s">
        <v>66</v>
      </c>
      <c r="F28" s="13"/>
      <c r="G28" s="13"/>
      <c r="H28" s="13"/>
      <c r="I28" s="13"/>
    </row>
    <row r="29" spans="1:9">
      <c r="A29" s="10">
        <v>28</v>
      </c>
      <c r="B29" s="2" t="s">
        <v>67</v>
      </c>
      <c r="C29" s="94" t="s">
        <v>309</v>
      </c>
      <c r="D29" s="5" t="s">
        <v>310</v>
      </c>
      <c r="F29" s="13"/>
      <c r="G29" s="13"/>
      <c r="H29" s="13"/>
      <c r="I29" s="13"/>
    </row>
    <row r="30" spans="1:9" ht="45">
      <c r="A30" s="10">
        <v>29</v>
      </c>
      <c r="B30" s="2" t="s">
        <v>68</v>
      </c>
      <c r="C30" s="94" t="s">
        <v>69</v>
      </c>
      <c r="D30" s="5" t="s">
        <v>70</v>
      </c>
      <c r="F30" s="13"/>
      <c r="G30" s="13"/>
      <c r="H30" s="13"/>
      <c r="I30" s="13"/>
    </row>
    <row r="31" spans="1:9" ht="30">
      <c r="A31" s="10">
        <v>30</v>
      </c>
      <c r="B31" s="2" t="s">
        <v>71</v>
      </c>
      <c r="C31" s="94" t="s">
        <v>72</v>
      </c>
      <c r="D31" s="5" t="s">
        <v>73</v>
      </c>
      <c r="F31" s="13"/>
      <c r="G31" s="13"/>
      <c r="H31" s="13"/>
      <c r="I31" s="13"/>
    </row>
    <row r="32" spans="1:9">
      <c r="A32" s="10">
        <v>31</v>
      </c>
      <c r="B32" s="2" t="s">
        <v>74</v>
      </c>
      <c r="C32" s="94" t="s">
        <v>305</v>
      </c>
      <c r="D32" s="5" t="s">
        <v>75</v>
      </c>
      <c r="F32" s="13"/>
      <c r="G32" s="13"/>
      <c r="H32" s="13"/>
      <c r="I32" s="13"/>
    </row>
    <row r="33" spans="1:9">
      <c r="A33" s="10">
        <v>32</v>
      </c>
      <c r="B33" s="2" t="s">
        <v>76</v>
      </c>
      <c r="C33" s="94" t="s">
        <v>304</v>
      </c>
      <c r="D33" s="5" t="s">
        <v>77</v>
      </c>
      <c r="F33" s="13"/>
      <c r="G33" s="13"/>
      <c r="H33" s="13"/>
      <c r="I33" s="13"/>
    </row>
    <row r="34" spans="1:9">
      <c r="A34" s="10">
        <v>33</v>
      </c>
      <c r="B34" s="2" t="s">
        <v>78</v>
      </c>
      <c r="C34" s="94" t="s">
        <v>306</v>
      </c>
      <c r="D34" s="5" t="s">
        <v>79</v>
      </c>
      <c r="F34" s="13"/>
      <c r="G34" s="13"/>
      <c r="H34" s="13"/>
      <c r="I34" s="13"/>
    </row>
    <row r="35" spans="1:9">
      <c r="A35" s="10">
        <v>34</v>
      </c>
      <c r="B35" s="2" t="s">
        <v>81</v>
      </c>
      <c r="C35" s="94" t="s">
        <v>82</v>
      </c>
      <c r="D35" s="5" t="s">
        <v>307</v>
      </c>
      <c r="F35" s="13"/>
      <c r="G35" s="13"/>
      <c r="H35" s="13"/>
      <c r="I35" s="13"/>
    </row>
    <row r="36" spans="1:9">
      <c r="A36" s="10">
        <v>35</v>
      </c>
      <c r="B36" s="2" t="s">
        <v>83</v>
      </c>
      <c r="C36" s="94" t="s">
        <v>84</v>
      </c>
      <c r="D36" s="5" t="s">
        <v>308</v>
      </c>
      <c r="F36" s="13"/>
      <c r="G36" s="13"/>
      <c r="H36" s="13"/>
      <c r="I36" s="13"/>
    </row>
    <row r="37" spans="1:9">
      <c r="A37" s="10">
        <v>36</v>
      </c>
      <c r="B37" s="9"/>
      <c r="C37" s="94" t="s">
        <v>311</v>
      </c>
      <c r="D37" s="6" t="s">
        <v>88</v>
      </c>
      <c r="F37" s="13"/>
      <c r="G37" s="13"/>
      <c r="H37" s="13"/>
      <c r="I37" s="13"/>
    </row>
  </sheetData>
  <sheetProtection sheet="1" objects="1" scenarios="1" formatCells="0" formatColumns="0"/>
  <phoneticPr fontId="13" type="noConversion"/>
  <pageMargins left="0.7" right="0.7" top="0.75" bottom="0.75" header="0.3" footer="0.3"/>
  <pageSetup paperSize="9" orientation="portrait" r:id="rId1"/>
  <tableParts count="5">
    <tablePart r:id="rId2"/>
    <tablePart r:id="rId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8"/>
  <sheetViews>
    <sheetView zoomScaleNormal="100" workbookViewId="0">
      <selection activeCell="AH5" sqref="AH5"/>
    </sheetView>
  </sheetViews>
  <sheetFormatPr defaultRowHeight="15" outlineLevelCol="1"/>
  <cols>
    <col min="1" max="1" width="3.140625" bestFit="1" customWidth="1"/>
    <col min="2" max="2" width="34.42578125" bestFit="1" customWidth="1"/>
    <col min="3" max="3" width="35.5703125" bestFit="1" customWidth="1"/>
    <col min="4" max="4" width="9.85546875" customWidth="1"/>
    <col min="5" max="10" width="4.42578125" style="139" hidden="1" customWidth="1" outlineLevel="1"/>
    <col min="11" max="17" width="4.42578125" style="140" hidden="1" customWidth="1" outlineLevel="1"/>
    <col min="18" max="30" width="4.42578125" style="139" hidden="1" customWidth="1" outlineLevel="1"/>
    <col min="31" max="31" width="8.85546875" collapsed="1"/>
    <col min="32" max="32" width="18.7109375" bestFit="1" customWidth="1"/>
    <col min="33" max="33" width="9.28515625" bestFit="1" customWidth="1"/>
    <col min="35" max="35" width="12.28515625" bestFit="1" customWidth="1"/>
    <col min="36" max="36" width="15.5703125" bestFit="1" customWidth="1"/>
    <col min="37" max="37" width="24.85546875" bestFit="1" customWidth="1"/>
  </cols>
  <sheetData>
    <row r="1" spans="1:37">
      <c r="A1" t="s">
        <v>2</v>
      </c>
      <c r="B1" t="s">
        <v>1</v>
      </c>
      <c r="C1" t="s">
        <v>0</v>
      </c>
      <c r="E1" s="139" t="s">
        <v>129</v>
      </c>
      <c r="F1" s="139" t="s">
        <v>130</v>
      </c>
      <c r="G1" s="139" t="s">
        <v>347</v>
      </c>
      <c r="H1" s="139" t="s">
        <v>348</v>
      </c>
      <c r="I1" s="139" t="s">
        <v>349</v>
      </c>
      <c r="J1" s="139" t="s">
        <v>350</v>
      </c>
      <c r="K1" s="140" t="s">
        <v>351</v>
      </c>
      <c r="L1" s="140" t="s">
        <v>352</v>
      </c>
      <c r="M1" s="140" t="s">
        <v>353</v>
      </c>
      <c r="N1" s="140" t="s">
        <v>354</v>
      </c>
      <c r="O1" s="140" t="s">
        <v>355</v>
      </c>
      <c r="P1" s="140" t="s">
        <v>356</v>
      </c>
      <c r="Q1" s="140" t="s">
        <v>357</v>
      </c>
      <c r="R1" s="139" t="s">
        <v>131</v>
      </c>
      <c r="S1" s="139" t="s">
        <v>132</v>
      </c>
      <c r="T1" s="139" t="s">
        <v>358</v>
      </c>
      <c r="U1" s="139" t="s">
        <v>359</v>
      </c>
      <c r="V1" s="139" t="s">
        <v>360</v>
      </c>
      <c r="W1" s="139" t="s">
        <v>361</v>
      </c>
      <c r="X1" s="139" t="s">
        <v>362</v>
      </c>
      <c r="Y1" s="139" t="s">
        <v>363</v>
      </c>
      <c r="Z1" s="139" t="s">
        <v>364</v>
      </c>
      <c r="AA1" s="139" t="s">
        <v>365</v>
      </c>
      <c r="AB1" s="139" t="s">
        <v>366</v>
      </c>
      <c r="AC1" s="139" t="s">
        <v>367</v>
      </c>
      <c r="AD1" s="139" t="s">
        <v>368</v>
      </c>
      <c r="AF1" s="2" t="s">
        <v>160</v>
      </c>
      <c r="AG1" s="2" t="s">
        <v>190</v>
      </c>
      <c r="AI1" t="s">
        <v>261</v>
      </c>
      <c r="AJ1" t="s">
        <v>262</v>
      </c>
      <c r="AK1" t="s">
        <v>263</v>
      </c>
    </row>
    <row r="2" spans="1:37">
      <c r="A2">
        <v>1</v>
      </c>
      <c r="B2" t="s">
        <v>122</v>
      </c>
      <c r="C2" s="1" t="s">
        <v>383</v>
      </c>
      <c r="D2" s="1"/>
      <c r="E2" s="140">
        <f>IF(ISNUMBER(SEARCH('Карта учёта'!$B$13,Расходка[[#This Row],[Наименование расходного материала]])),MAX($E$1:E1)+1,0)</f>
        <v>0</v>
      </c>
      <c r="F2" s="140">
        <f>IF(ISNUMBER(SEARCH('Карта учёта'!$B$14,Расходка[[#This Row],[Наименование расходного материала]])),MAX($F$1:F1)+1,0)</f>
        <v>0</v>
      </c>
      <c r="G2" s="140">
        <f>IF(ISNUMBER(SEARCH('Карта учёта'!$B$15,Расходка[Наименование расходного материала])),MAX($G$1:G1)+1,0)</f>
        <v>0</v>
      </c>
      <c r="H2" s="140">
        <f>IF(ISNUMBER(SEARCH('Карта учёта'!$B$16,Расходка[Наименование расходного материала])),MAX($H$1:H1)+1,0)</f>
        <v>0</v>
      </c>
      <c r="I2" s="140">
        <f>IF(ISNUMBER(SEARCH('Карта учёта'!$B$17,Расходка[Наименование расходного материала])),MAX($I$1:I1)+1,0)</f>
        <v>0</v>
      </c>
      <c r="J2" s="140">
        <f>IF(ISNUMBER(SEARCH('Карта учёта'!$B$18,Расходка[Наименование расходного материала])),MAX($J$1:J1)+1,0)</f>
        <v>0</v>
      </c>
      <c r="K2" s="140">
        <f>IF(ISNUMBER(SEARCH('Карта учёта'!$B$19,Расходка[Наименование расходного материала])),MAX($K$1:K1)+1,0)</f>
        <v>0</v>
      </c>
      <c r="L2" s="140">
        <f>IF(ISNUMBER(SEARCH('Карта учёта'!$B$20,Расходка[Наименование расходного материала])),MAX($L$1:L1)+1,0)</f>
        <v>1</v>
      </c>
      <c r="M2" s="140">
        <f>IF(ISNUMBER(SEARCH('Карта учёта'!$B$21,Расходка[Наименование расходного материала])),MAX($M$1:M1)+1,0)</f>
        <v>1</v>
      </c>
      <c r="N2" s="141">
        <f>IF(ISNUMBER(SEARCH('Карта учёта'!$B$22,Расходка[Наименование расходного материала])),MAX($N$1:N1)+1,0)</f>
        <v>1</v>
      </c>
      <c r="O2" s="140">
        <f>IF(ISNUMBER(SEARCH('Карта учёта'!$B$23,Расходка[Наименование расходного материала])),MAX($O$1:O1)+1,0)</f>
        <v>1</v>
      </c>
      <c r="P2" s="140">
        <f>IF(ISNUMBER(SEARCH('Карта учёта'!$B$24,Расходка[Наименование расходного материала])),MAX($P$1:P1)+1,0)</f>
        <v>1</v>
      </c>
      <c r="Q2" s="140">
        <f>IF(ISNUMBER(SEARCH('Карта учёта'!$B$25,Расходка[Наименование расходного материала])),MAX($Q$1:Q1)+1,0)</f>
        <v>1</v>
      </c>
      <c r="R2" s="139" t="str">
        <f>IFERROR(INDEX(Расходка[Наименование расходного материала],MATCH(Расходка[№],Поиск_расходки[Индекс1],0)),"")</f>
        <v>BasixCOMPAK</v>
      </c>
      <c r="S2" s="139" t="str">
        <f>IFERROR(INDEX(Расходка[Наименование расходного материала],MATCH(Расходка[№],Поиск_расходки[Индекс2],0)),"")</f>
        <v>Launcher 6F EBU 3.5</v>
      </c>
      <c r="T2" s="139" t="str">
        <f>IFERROR(INDEX(Расходка[Наименование расходного материала],MATCH(Расходка[№],Поиск_расходки[Индекс3],0)),"")</f>
        <v>DES, Resolute Integtity</v>
      </c>
      <c r="U2" s="139" t="str">
        <f>IFERROR(INDEX(Расходка[Наименование расходного материала],MATCH(Расходка[№],Поиск_расходки[Индекс4],0)),"")</f>
        <v>DES, Resolute Integtity</v>
      </c>
      <c r="V2" s="139" t="str">
        <f>IFERROR(INDEX(Расходка[Наименование расходного материала],MATCH(Расходка[№],Поиск_расходки[Индекс5],0)),"")</f>
        <v>Sprinter Legend</v>
      </c>
      <c r="W2" s="139" t="str">
        <f>IFERROR(INDEX(Расходка[Наименование расходного материала],MATCH(Расходка[№],Поиск_расходки[Индекс6],0)),"")</f>
        <v>Sprinter Legend</v>
      </c>
      <c r="X2" s="139" t="str">
        <f>IFERROR(INDEX(Расходка[Наименование расходного материала],MATCH(Расходка[№],Поиск_расходки[Индекс7],0)),"")</f>
        <v>Intuition</v>
      </c>
      <c r="Y2" s="139" t="str">
        <f>IFERROR(INDEX(Расходка[Наименование расходного материала],MATCH(Расходка[№],Поиск_расходки[Индекс8],0)),"")</f>
        <v>Hunter® 6F</v>
      </c>
      <c r="Z2" s="139" t="str">
        <f>IFERROR(INDEX(Расходка[Наименование расходного материала],MATCH(Расходка[№],Поиск_расходки[Индекс9],0)),"")</f>
        <v>Hunter® 6F</v>
      </c>
      <c r="AA2" s="139" t="str">
        <f>IFERROR(INDEX(Расходка[Наименование расходного материала],MATCH(Расходка[№],Поиск_расходки[Индекс10],0)),"")</f>
        <v>Hunter® 6F</v>
      </c>
      <c r="AB2" s="139" t="str">
        <f>IFERROR(INDEX(Расходка[Наименование расходного материала],MATCH(Расходка[№],Поиск_расходки[Индекс11],0)),"")</f>
        <v>Hunter® 6F</v>
      </c>
      <c r="AC2" s="139" t="str">
        <f>IFERROR(INDEX(Расходка[Наименование расходного материала],MATCH(Расходка[№],Поиск_расходки[Индекс12],0)),"")</f>
        <v>Hunter® 6F</v>
      </c>
      <c r="AD2" s="139" t="str">
        <f>IFERROR(INDEX(Расходка[Наименование расходного материала],MATCH(Расходка[№],Поиск_расходки[Индекс13],0)),"")</f>
        <v>Hunter® 6F</v>
      </c>
      <c r="AF2" s="4" t="s">
        <v>5</v>
      </c>
      <c r="AG2" s="4" t="s">
        <v>103</v>
      </c>
      <c r="AI2" t="s">
        <v>255</v>
      </c>
      <c r="AJ2" t="s">
        <v>264</v>
      </c>
      <c r="AK2" t="str">
        <f>CONCATENATE(AI2,AJ2)</f>
        <v xml:space="preserve">Контраст: Ультравист 370 </v>
      </c>
    </row>
    <row r="3" spans="1:37">
      <c r="A3">
        <v>2</v>
      </c>
      <c r="B3" t="s">
        <v>5</v>
      </c>
      <c r="C3" t="s">
        <v>391</v>
      </c>
      <c r="E3" s="140">
        <f>IF(ISNUMBER(SEARCH('Карта учёта'!$B$13,Расходка[[#This Row],[Наименование расходного материала]])),MAX($E$1:E2)+1,0)</f>
        <v>0</v>
      </c>
      <c r="F3" s="140">
        <f>IF(ISNUMBER(SEARCH('Карта учёта'!$B$14,Расходка[[#This Row],[Наименование расходного материала]])),MAX($F$1:F2)+1,0)</f>
        <v>0</v>
      </c>
      <c r="G3" s="140">
        <f>IF(ISNUMBER(SEARCH('Карта учёта'!$B$15,Расходка[Наименование расходного материала])),MAX($G$1:G2)+1,0)</f>
        <v>0</v>
      </c>
      <c r="H3" s="140">
        <f>IF(ISNUMBER(SEARCH('Карта учёта'!$B$16,Расходка[Наименование расходного материала])),MAX($H$1:H2)+1,0)</f>
        <v>0</v>
      </c>
      <c r="I3" s="140">
        <f>IF(ISNUMBER(SEARCH('Карта учёта'!$B$17,Расходка[Наименование расходного материала])),MAX($I$1:I2)+1,0)</f>
        <v>0</v>
      </c>
      <c r="J3" s="140">
        <f>IF(ISNUMBER(SEARCH('Карта учёта'!$B$18,Расходка[Наименование расходного материала])),MAX($J$1:J2)+1,0)</f>
        <v>0</v>
      </c>
      <c r="K3" s="140">
        <f>IF(ISNUMBER(SEARCH('Карта учёта'!$B$19,Расходка[Наименование расходного материала])),MAX($K$1:K2)+1,0)</f>
        <v>0</v>
      </c>
      <c r="L3" s="140">
        <f>IF(ISNUMBER(SEARCH('Карта учёта'!$B$20,Расходка[Наименование расходного материала])),MAX($L$1:L2)+1,0)</f>
        <v>2</v>
      </c>
      <c r="M3" s="140">
        <f>IF(ISNUMBER(SEARCH('Карта учёта'!$B$21,Расходка[Наименование расходного материала])),MAX($M$1:M2)+1,0)</f>
        <v>2</v>
      </c>
      <c r="N3" s="142">
        <f>IF(ISNUMBER(SEARCH('Карта учёта'!$B$22,Расходка[Наименование расходного материала])),MAX($N$1:N2)+1,0)</f>
        <v>2</v>
      </c>
      <c r="O3" s="140">
        <f>IF(ISNUMBER(SEARCH('Карта учёта'!$B$23,Расходка[Наименование расходного материала])),MAX($O$1:O2)+1,0)</f>
        <v>2</v>
      </c>
      <c r="P3" s="140">
        <f>IF(ISNUMBER(SEARCH('Карта учёта'!$B$24,Расходка[Наименование расходного материала])),MAX($P$1:P2)+1,0)</f>
        <v>2</v>
      </c>
      <c r="Q3" s="140">
        <f>IF(ISNUMBER(SEARCH('Карта учёта'!$B$25,Расходка[Наименование расходного материала])),MAX($Q$1:Q2)+1,0)</f>
        <v>2</v>
      </c>
      <c r="R3" s="139" t="str">
        <f>IFERROR(INDEX(Расходка[Наименование расходного материала],MATCH(Расходка[№],Поиск_расходки[Индекс1],0)),"")</f>
        <v/>
      </c>
      <c r="S3" s="139" t="str">
        <f>IFERROR(INDEX(Расходка[Наименование расходного материала],MATCH(Расходка[№],Поиск_расходки[Индекс2],0)),"")</f>
        <v/>
      </c>
      <c r="T3" s="139" t="str">
        <f>IFERROR(INDEX(Расходка[Наименование расходного материала],MATCH(Расходка[№],Поиск_расходки[Индекс3],0)),"")</f>
        <v/>
      </c>
      <c r="U3" s="139" t="str">
        <f>IFERROR(INDEX(Расходка[Наименование расходного материала],MATCH(Расходка[№],Поиск_расходки[Индекс4],0)),"")</f>
        <v/>
      </c>
      <c r="V3" s="139" t="str">
        <f>IFERROR(INDEX(Расходка[Наименование расходного материала],MATCH(Расходка[№],Поиск_расходки[Индекс5],0)),"")</f>
        <v/>
      </c>
      <c r="W3" s="139" t="str">
        <f>IFERROR(INDEX(Расходка[Наименование расходного материала],MATCH(Расходка[№],Поиск_расходки[Индекс6],0)),"")</f>
        <v/>
      </c>
      <c r="X3" s="139" t="str">
        <f>IFERROR(INDEX(Расходка[Наименование расходного материала],MATCH(Расходка[№],Поиск_расходки[Индекс7],0)),"")</f>
        <v/>
      </c>
      <c r="Y3" s="139" t="str">
        <f>IFERROR(INDEX(Расходка[Наименование расходного материала],MATCH(Расходка[№],Поиск_расходки[Индекс8],0)),"")</f>
        <v>NC Accuforce</v>
      </c>
      <c r="Z3" s="139" t="str">
        <f>IFERROR(INDEX(Расходка[Наименование расходного материала],MATCH(Расходка[№],Поиск_расходки[Индекс9],0)),"")</f>
        <v>NC Accuforce</v>
      </c>
      <c r="AA3" s="139" t="str">
        <f>IFERROR(INDEX(Расходка[Наименование расходного материала],MATCH(Расходка[№],Поиск_расходки[Индекс10],0)),"")</f>
        <v>NC Accuforce</v>
      </c>
      <c r="AB3" s="139" t="str">
        <f>IFERROR(INDEX(Расходка[Наименование расходного материала],MATCH(Расходка[№],Поиск_расходки[Индекс11],0)),"")</f>
        <v>NC Accuforce</v>
      </c>
      <c r="AC3" s="139" t="str">
        <f>IFERROR(INDEX(Расходка[Наименование расходного материала],MATCH(Расходка[№],Поиск_расходки[Индекс12],0)),"")</f>
        <v>NC Accuforce</v>
      </c>
      <c r="AD3" s="139" t="str">
        <f>IFERROR(INDEX(Расходка[Наименование расходного материала],MATCH(Расходка[№],Поиск_расходки[Индекс13],0)),"")</f>
        <v>NC Accuforce</v>
      </c>
      <c r="AF3" s="4" t="s">
        <v>5</v>
      </c>
      <c r="AG3" s="4" t="s">
        <v>444</v>
      </c>
      <c r="AI3" t="s">
        <v>255</v>
      </c>
      <c r="AJ3" t="s">
        <v>265</v>
      </c>
      <c r="AK3" t="str">
        <f t="shared" ref="AK3:AK6" si="0">CONCATENATE(AI3,AJ3)</f>
        <v>Контраст: Омнипак 350</v>
      </c>
    </row>
    <row r="4" spans="1:37">
      <c r="A4">
        <v>3</v>
      </c>
      <c r="B4" t="s">
        <v>5</v>
      </c>
      <c r="C4" t="s">
        <v>392</v>
      </c>
      <c r="E4" s="140">
        <f>IF(ISNUMBER(SEARCH('Карта учёта'!$B$13,Расходка[[#This Row],[Наименование расходного материала]])),MAX($E$1:E3)+1,0)</f>
        <v>0</v>
      </c>
      <c r="F4" s="140">
        <f>IF(ISNUMBER(SEARCH('Карта учёта'!$B$14,Расходка[[#This Row],[Наименование расходного материала]])),MAX($F$1:F3)+1,0)</f>
        <v>0</v>
      </c>
      <c r="G4" s="140">
        <f>IF(ISNUMBER(SEARCH('Карта учёта'!$B$15,Расходка[Наименование расходного материала])),MAX($G$1:G3)+1,0)</f>
        <v>0</v>
      </c>
      <c r="H4" s="140">
        <f>IF(ISNUMBER(SEARCH('Карта учёта'!$B$16,Расходка[Наименование расходного материала])),MAX($H$1:H3)+1,0)</f>
        <v>0</v>
      </c>
      <c r="I4" s="140">
        <f>IF(ISNUMBER(SEARCH('Карта учёта'!$B$17,Расходка[Наименование расходного материала])),MAX($I$1:I3)+1,0)</f>
        <v>1</v>
      </c>
      <c r="J4" s="140">
        <f>IF(ISNUMBER(SEARCH('Карта учёта'!$B$18,Расходка[Наименование расходного материала])),MAX($J$1:J3)+1,0)</f>
        <v>1</v>
      </c>
      <c r="K4" s="140">
        <f>IF(ISNUMBER(SEARCH('Карта учёта'!$B$19,Расходка[Наименование расходного материала])),MAX($K$1:K3)+1,0)</f>
        <v>0</v>
      </c>
      <c r="L4" s="140">
        <f>IF(ISNUMBER(SEARCH('Карта учёта'!$B$20,Расходка[Наименование расходного материала])),MAX($L$1:L3)+1,0)</f>
        <v>3</v>
      </c>
      <c r="M4" s="140">
        <f>IF(ISNUMBER(SEARCH('Карта учёта'!$B$21,Расходка[Наименование расходного материала])),MAX($M$1:M3)+1,0)</f>
        <v>3</v>
      </c>
      <c r="N4" s="142">
        <f>IF(ISNUMBER(SEARCH('Карта учёта'!$B$22,Расходка[Наименование расходного материала])),MAX($N$1:N3)+1,0)</f>
        <v>3</v>
      </c>
      <c r="O4" s="140">
        <f>IF(ISNUMBER(SEARCH('Карта учёта'!$B$23,Расходка[Наименование расходного материала])),MAX($O$1:O3)+1,0)</f>
        <v>3</v>
      </c>
      <c r="P4" s="140">
        <f>IF(ISNUMBER(SEARCH('Карта учёта'!$B$24,Расходка[Наименование расходного материала])),MAX($P$1:P3)+1,0)</f>
        <v>3</v>
      </c>
      <c r="Q4" s="140">
        <f>IF(ISNUMBER(SEARCH('Карта учёта'!$B$25,Расходка[Наименование расходного материала])),MAX($Q$1:Q3)+1,0)</f>
        <v>3</v>
      </c>
      <c r="R4" s="139" t="str">
        <f>IFERROR(INDEX(Расходка[Наименование расходного материала],MATCH(Расходка[№],Поиск_расходки[Индекс1],0)),"")</f>
        <v/>
      </c>
      <c r="S4" s="139" t="str">
        <f>IFERROR(INDEX(Расходка[Наименование расходного материала],MATCH(Расходка[№],Поиск_расходки[Индекс2],0)),"")</f>
        <v/>
      </c>
      <c r="T4" s="139" t="str">
        <f>IFERROR(INDEX(Расходка[Наименование расходного материала],MATCH(Расходка[№],Поиск_расходки[Индекс3],0)),"")</f>
        <v/>
      </c>
      <c r="U4" s="139" t="str">
        <f>IFERROR(INDEX(Расходка[Наименование расходного материала],MATCH(Расходка[№],Поиск_расходки[Индекс4],0)),"")</f>
        <v/>
      </c>
      <c r="V4" s="139" t="str">
        <f>IFERROR(INDEX(Расходка[Наименование расходного материала],MATCH(Расходка[№],Поиск_расходки[Индекс5],0)),"")</f>
        <v/>
      </c>
      <c r="W4" s="139" t="str">
        <f>IFERROR(INDEX(Расходка[Наименование расходного материала],MATCH(Расходка[№],Поиск_расходки[Индекс6],0)),"")</f>
        <v/>
      </c>
      <c r="X4" s="139" t="str">
        <f>IFERROR(INDEX(Расходка[Наименование расходного материала],MATCH(Расходка[№],Поиск_расходки[Индекс7],0)),"")</f>
        <v/>
      </c>
      <c r="Y4" s="139" t="str">
        <f>IFERROR(INDEX(Расходка[Наименование расходного материала],MATCH(Расходка[№],Поиск_расходки[Индекс8],0)),"")</f>
        <v>Sprinter Legend</v>
      </c>
      <c r="Z4" s="139" t="str">
        <f>IFERROR(INDEX(Расходка[Наименование расходного материала],MATCH(Расходка[№],Поиск_расходки[Индекс9],0)),"")</f>
        <v>Sprinter Legend</v>
      </c>
      <c r="AA4" s="139" t="str">
        <f>IFERROR(INDEX(Расходка[Наименование расходного материала],MATCH(Расходка[№],Поиск_расходки[Индекс10],0)),"")</f>
        <v>Sprinter Legend</v>
      </c>
      <c r="AB4" s="139" t="str">
        <f>IFERROR(INDEX(Расходка[Наименование расходного материала],MATCH(Расходка[№],Поиск_расходки[Индекс11],0)),"")</f>
        <v>Sprinter Legend</v>
      </c>
      <c r="AC4" s="139" t="str">
        <f>IFERROR(INDEX(Расходка[Наименование расходного материала],MATCH(Расходка[№],Поиск_расходки[Индекс12],0)),"")</f>
        <v>Sprinter Legend</v>
      </c>
      <c r="AD4" s="139" t="str">
        <f>IFERROR(INDEX(Расходка[Наименование расходного материала],MATCH(Расходка[№],Поиск_расходки[Индекс13],0)),"")</f>
        <v>Sprinter Legend</v>
      </c>
      <c r="AF4" s="4" t="s">
        <v>5</v>
      </c>
      <c r="AG4" s="4" t="s">
        <v>104</v>
      </c>
      <c r="AI4" t="s">
        <v>255</v>
      </c>
      <c r="AJ4" t="s">
        <v>266</v>
      </c>
      <c r="AK4" t="str">
        <f t="shared" si="0"/>
        <v>Контраст: Оптирей 350</v>
      </c>
    </row>
    <row r="5" spans="1:37">
      <c r="A5">
        <v>4</v>
      </c>
      <c r="B5" t="s">
        <v>5</v>
      </c>
      <c r="C5" t="s">
        <v>344</v>
      </c>
      <c r="E5" s="140">
        <f>IF(ISNUMBER(SEARCH('Карта учёта'!$B$13,Расходка[[#This Row],[Наименование расходного материала]])),MAX($E$1:E4)+1,0)</f>
        <v>0</v>
      </c>
      <c r="F5" s="140">
        <f>IF(ISNUMBER(SEARCH('Карта учёта'!$B$14,Расходка[[#This Row],[Наименование расходного материала]])),MAX($F$1:F4)+1,0)</f>
        <v>0</v>
      </c>
      <c r="G5" s="140">
        <f>IF(ISNUMBER(SEARCH('Карта учёта'!$B$15,Расходка[Наименование расходного материала])),MAX($G$1:G4)+1,0)</f>
        <v>0</v>
      </c>
      <c r="H5" s="140">
        <f>IF(ISNUMBER(SEARCH('Карта учёта'!$B$16,Расходка[Наименование расходного материала])),MAX($H$1:H4)+1,0)</f>
        <v>0</v>
      </c>
      <c r="I5" s="140">
        <f>IF(ISNUMBER(SEARCH('Карта учёта'!$B$17,Расходка[Наименование расходного материала])),MAX($I$1:I4)+1,0)</f>
        <v>0</v>
      </c>
      <c r="J5" s="140">
        <f>IF(ISNUMBER(SEARCH('Карта учёта'!$B$18,Расходка[Наименование расходного материала])),MAX($J$1:J4)+1,0)</f>
        <v>0</v>
      </c>
      <c r="K5" s="140">
        <f>IF(ISNUMBER(SEARCH('Карта учёта'!$B$19,Расходка[Наименование расходного материала])),MAX($K$1:K4)+1,0)</f>
        <v>0</v>
      </c>
      <c r="L5" s="140">
        <f>IF(ISNUMBER(SEARCH('Карта учёта'!$B$20,Расходка[Наименование расходного материала])),MAX($L$1:L4)+1,0)</f>
        <v>4</v>
      </c>
      <c r="M5" s="140">
        <f>IF(ISNUMBER(SEARCH('Карта учёта'!$B$21,Расходка[Наименование расходного материала])),MAX($M$1:M4)+1,0)</f>
        <v>4</v>
      </c>
      <c r="N5" s="142">
        <f>IF(ISNUMBER(SEARCH('Карта учёта'!$B$22,Расходка[Наименование расходного материала])),MAX($N$1:N4)+1,0)</f>
        <v>4</v>
      </c>
      <c r="O5" s="140">
        <f>IF(ISNUMBER(SEARCH('Карта учёта'!$B$23,Расходка[Наименование расходного материала])),MAX($O$1:O4)+1,0)</f>
        <v>4</v>
      </c>
      <c r="P5" s="140">
        <f>IF(ISNUMBER(SEARCH('Карта учёта'!$B$24,Расходка[Наименование расходного материала])),MAX($P$1:P4)+1,0)</f>
        <v>4</v>
      </c>
      <c r="Q5" s="140">
        <f>IF(ISNUMBER(SEARCH('Карта учёта'!$B$25,Расходка[Наименование расходного материала])),MAX($Q$1:Q4)+1,0)</f>
        <v>4</v>
      </c>
      <c r="R5" s="139" t="str">
        <f>IFERROR(INDEX(Расходка[Наименование расходного материала],MATCH(Расходка[№],Поиск_расходки[Индекс1],0)),"")</f>
        <v/>
      </c>
      <c r="S5" s="139" t="str">
        <f>IFERROR(INDEX(Расходка[Наименование расходного материала],MATCH(Расходка[№],Поиск_расходки[Индекс2],0)),"")</f>
        <v/>
      </c>
      <c r="T5" s="139" t="str">
        <f>IFERROR(INDEX(Расходка[Наименование расходного материала],MATCH(Расходка[№],Поиск_расходки[Индекс3],0)),"")</f>
        <v/>
      </c>
      <c r="U5" s="139" t="str">
        <f>IFERROR(INDEX(Расходка[Наименование расходного материала],MATCH(Расходка[№],Поиск_расходки[Индекс4],0)),"")</f>
        <v/>
      </c>
      <c r="V5" s="139" t="str">
        <f>IFERROR(INDEX(Расходка[Наименование расходного материала],MATCH(Расходка[№],Поиск_расходки[Индекс5],0)),"")</f>
        <v/>
      </c>
      <c r="W5" s="139" t="str">
        <f>IFERROR(INDEX(Расходка[Наименование расходного материала],MATCH(Расходка[№],Поиск_расходки[Индекс6],0)),"")</f>
        <v/>
      </c>
      <c r="X5" s="139" t="str">
        <f>IFERROR(INDEX(Расходка[Наименование расходного материала],MATCH(Расходка[№],Поиск_расходки[Индекс7],0)),"")</f>
        <v/>
      </c>
      <c r="Y5" s="139" t="str">
        <f>IFERROR(INDEX(Расходка[Наименование расходного материала],MATCH(Расходка[№],Поиск_расходки[Индекс8],0)),"")</f>
        <v>Sapphire</v>
      </c>
      <c r="Z5" s="139" t="str">
        <f>IFERROR(INDEX(Расходка[Наименование расходного материала],MATCH(Расходка[№],Поиск_расходки[Индекс9],0)),"")</f>
        <v>Sapphire</v>
      </c>
      <c r="AA5" s="139" t="str">
        <f>IFERROR(INDEX(Расходка[Наименование расходного материала],MATCH(Расходка[№],Поиск_расходки[Индекс10],0)),"")</f>
        <v>Sapphire</v>
      </c>
      <c r="AB5" s="139" t="str">
        <f>IFERROR(INDEX(Расходка[Наименование расходного материала],MATCH(Расходка[№],Поиск_расходки[Индекс11],0)),"")</f>
        <v>Sapphire</v>
      </c>
      <c r="AC5" s="139" t="str">
        <f>IFERROR(INDEX(Расходка[Наименование расходного материала],MATCH(Расходка[№],Поиск_расходки[Индекс12],0)),"")</f>
        <v>Sapphire</v>
      </c>
      <c r="AD5" s="139" t="str">
        <f>IFERROR(INDEX(Расходка[Наименование расходного материала],MATCH(Расходка[№],Поиск_расходки[Индекс13],0)),"")</f>
        <v>Sapphire</v>
      </c>
      <c r="AF5" s="4" t="s">
        <v>5</v>
      </c>
      <c r="AG5" s="4" t="s">
        <v>159</v>
      </c>
      <c r="AI5" t="s">
        <v>255</v>
      </c>
      <c r="AJ5" t="s">
        <v>267</v>
      </c>
      <c r="AK5" t="str">
        <f t="shared" si="0"/>
        <v>Контраст: Юнигексол 350</v>
      </c>
    </row>
    <row r="6" spans="1:37">
      <c r="A6">
        <v>5</v>
      </c>
      <c r="B6" t="s">
        <v>5</v>
      </c>
      <c r="C6" s="1" t="s">
        <v>345</v>
      </c>
      <c r="E6" s="140">
        <f>IF(ISNUMBER(SEARCH('Карта учёта'!$B$13,Расходка[[#This Row],[Наименование расходного материала]])),MAX($E$1:E5)+1,0)</f>
        <v>0</v>
      </c>
      <c r="F6" s="140">
        <f>IF(ISNUMBER(SEARCH('Карта учёта'!$B$14,Расходка[[#This Row],[Наименование расходного материала]])),MAX($F$1:F5)+1,0)</f>
        <v>0</v>
      </c>
      <c r="G6" s="140">
        <f>IF(ISNUMBER(SEARCH('Карта учёта'!$B$15,Расходка[Наименование расходного материала])),MAX($G$1:G5)+1,0)</f>
        <v>0</v>
      </c>
      <c r="H6" s="140">
        <f>IF(ISNUMBER(SEARCH('Карта учёта'!$B$16,Расходка[Наименование расходного материала])),MAX($H$1:H5)+1,0)</f>
        <v>0</v>
      </c>
      <c r="I6" s="140">
        <f>IF(ISNUMBER(SEARCH('Карта учёта'!$B$17,Расходка[Наименование расходного материала])),MAX($I$1:I5)+1,0)</f>
        <v>0</v>
      </c>
      <c r="J6" s="140">
        <f>IF(ISNUMBER(SEARCH('Карта учёта'!$B$18,Расходка[Наименование расходного материала])),MAX($J$1:J5)+1,0)</f>
        <v>0</v>
      </c>
      <c r="K6" s="140">
        <f>IF(ISNUMBER(SEARCH('Карта учёта'!$B$19,Расходка[Наименование расходного материала])),MAX($K$1:K5)+1,0)</f>
        <v>0</v>
      </c>
      <c r="L6" s="140">
        <f>IF(ISNUMBER(SEARCH('Карта учёта'!$B$20,Расходка[Наименование расходного материала])),MAX($L$1:L5)+1,0)</f>
        <v>5</v>
      </c>
      <c r="M6" s="140">
        <f>IF(ISNUMBER(SEARCH('Карта учёта'!$B$21,Расходка[Наименование расходного материала])),MAX($M$1:M5)+1,0)</f>
        <v>5</v>
      </c>
      <c r="N6" s="142">
        <f>IF(ISNUMBER(SEARCH('Карта учёта'!$B$22,Расходка[Наименование расходного материала])),MAX($N$1:N5)+1,0)</f>
        <v>5</v>
      </c>
      <c r="O6" s="140">
        <f>IF(ISNUMBER(SEARCH('Карта учёта'!$B$23,Расходка[Наименование расходного материала])),MAX($O$1:O5)+1,0)</f>
        <v>5</v>
      </c>
      <c r="P6" s="140">
        <f>IF(ISNUMBER(SEARCH('Карта учёта'!$B$24,Расходка[Наименование расходного материала])),MAX($P$1:P5)+1,0)</f>
        <v>5</v>
      </c>
      <c r="Q6" s="140">
        <f>IF(ISNUMBER(SEARCH('Карта учёта'!$B$25,Расходка[Наименование расходного материала])),MAX($Q$1:Q5)+1,0)</f>
        <v>5</v>
      </c>
      <c r="R6" s="139" t="str">
        <f>IFERROR(INDEX(Расходка[Наименование расходного материала],MATCH(Расходка[№],Поиск_расходки[Индекс1],0)),"")</f>
        <v/>
      </c>
      <c r="S6" s="139" t="str">
        <f>IFERROR(INDEX(Расходка[Наименование расходного материала],MATCH(Расходка[№],Поиск_расходки[Индекс2],0)),"")</f>
        <v/>
      </c>
      <c r="T6" s="139" t="str">
        <f>IFERROR(INDEX(Расходка[Наименование расходного материала],MATCH(Расходка[№],Поиск_расходки[Индекс3],0)),"")</f>
        <v/>
      </c>
      <c r="U6" s="139" t="str">
        <f>IFERROR(INDEX(Расходка[Наименование расходного материала],MATCH(Расходка[№],Поиск_расходки[Индекс4],0)),"")</f>
        <v/>
      </c>
      <c r="V6" s="139" t="str">
        <f>IFERROR(INDEX(Расходка[Наименование расходного материала],MATCH(Расходка[№],Поиск_расходки[Индекс5],0)),"")</f>
        <v/>
      </c>
      <c r="W6" s="139" t="str">
        <f>IFERROR(INDEX(Расходка[Наименование расходного материала],MATCH(Расходка[№],Поиск_расходки[Индекс6],0)),"")</f>
        <v/>
      </c>
      <c r="X6" s="139" t="str">
        <f>IFERROR(INDEX(Расходка[Наименование расходного материала],MATCH(Расходка[№],Поиск_расходки[Индекс7],0)),"")</f>
        <v/>
      </c>
      <c r="Y6" s="139" t="str">
        <f>IFERROR(INDEX(Расходка[Наименование расходного материала],MATCH(Расходка[№],Поиск_расходки[Индекс8],0)),"")</f>
        <v>Euphora</v>
      </c>
      <c r="Z6" s="139" t="str">
        <f>IFERROR(INDEX(Расходка[Наименование расходного материала],MATCH(Расходка[№],Поиск_расходки[Индекс9],0)),"")</f>
        <v>Euphora</v>
      </c>
      <c r="AA6" s="139" t="str">
        <f>IFERROR(INDEX(Расходка[Наименование расходного материала],MATCH(Расходка[№],Поиск_расходки[Индекс10],0)),"")</f>
        <v>Euphora</v>
      </c>
      <c r="AB6" s="139" t="str">
        <f>IFERROR(INDEX(Расходка[Наименование расходного материала],MATCH(Расходка[№],Поиск_расходки[Индекс11],0)),"")</f>
        <v>Euphora</v>
      </c>
      <c r="AC6" s="139" t="str">
        <f>IFERROR(INDEX(Расходка[Наименование расходного материала],MATCH(Расходка[№],Поиск_расходки[Индекс12],0)),"")</f>
        <v>Euphora</v>
      </c>
      <c r="AD6" s="139" t="str">
        <f>IFERROR(INDEX(Расходка[Наименование расходного материала],MATCH(Расходка[№],Поиск_расходки[Индекс13],0)),"")</f>
        <v>Euphora</v>
      </c>
      <c r="AF6" s="4" t="s">
        <v>5</v>
      </c>
      <c r="AG6" s="4" t="s">
        <v>105</v>
      </c>
      <c r="AI6" t="s">
        <v>255</v>
      </c>
      <c r="AJ6" t="s">
        <v>268</v>
      </c>
      <c r="AK6" t="str">
        <f t="shared" si="0"/>
        <v>Контраст: Сканлюкс 370</v>
      </c>
    </row>
    <row r="7" spans="1:37">
      <c r="A7">
        <v>6</v>
      </c>
      <c r="B7" t="s">
        <v>5</v>
      </c>
      <c r="C7" s="1" t="s">
        <v>380</v>
      </c>
      <c r="E7" s="140">
        <f>IF(ISNUMBER(SEARCH('Карта учёта'!$B$13,Расходка[[#This Row],[Наименование расходного материала]])),MAX($E$1:E6)+1,0)</f>
        <v>0</v>
      </c>
      <c r="F7" s="140">
        <f>IF(ISNUMBER(SEARCH('Карта учёта'!$B$14,Расходка[[#This Row],[Наименование расходного материала]])),MAX($F$1:F6)+1,0)</f>
        <v>0</v>
      </c>
      <c r="G7" s="140">
        <f>IF(ISNUMBER(SEARCH('Карта учёта'!$B$15,Расходка[Наименование расходного материала])),MAX($G$1:G6)+1,0)</f>
        <v>0</v>
      </c>
      <c r="H7" s="140">
        <f>IF(ISNUMBER(SEARCH('Карта учёта'!$B$16,Расходка[Наименование расходного материала])),MAX($H$1:H6)+1,0)</f>
        <v>0</v>
      </c>
      <c r="I7" s="140">
        <f>IF(ISNUMBER(SEARCH('Карта учёта'!$B$17,Расходка[Наименование расходного материала])),MAX($I$1:I6)+1,0)</f>
        <v>0</v>
      </c>
      <c r="J7" s="140">
        <f>IF(ISNUMBER(SEARCH('Карта учёта'!$B$18,Расходка[Наименование расходного материала])),MAX($J$1:J6)+1,0)</f>
        <v>0</v>
      </c>
      <c r="K7" s="140">
        <f>IF(ISNUMBER(SEARCH('Карта учёта'!$B$19,Расходка[Наименование расходного материала])),MAX($K$1:K6)+1,0)</f>
        <v>0</v>
      </c>
      <c r="L7" s="140">
        <f>IF(ISNUMBER(SEARCH('Карта учёта'!$B$20,Расходка[Наименование расходного материала])),MAX($L$1:L6)+1,0)</f>
        <v>6</v>
      </c>
      <c r="M7" s="140">
        <f>IF(ISNUMBER(SEARCH('Карта учёта'!$B$21,Расходка[Наименование расходного материала])),MAX($M$1:M6)+1,0)</f>
        <v>6</v>
      </c>
      <c r="N7" s="142">
        <f>IF(ISNUMBER(SEARCH('Карта учёта'!$B$22,Расходка[Наименование расходного материала])),MAX($N$1:N6)+1,0)</f>
        <v>6</v>
      </c>
      <c r="O7" s="140">
        <f>IF(ISNUMBER(SEARCH('Карта учёта'!$B$23,Расходка[Наименование расходного материала])),MAX($O$1:O6)+1,0)</f>
        <v>6</v>
      </c>
      <c r="P7" s="140">
        <f>IF(ISNUMBER(SEARCH('Карта учёта'!$B$24,Расходка[Наименование расходного материала])),MAX($P$1:P6)+1,0)</f>
        <v>6</v>
      </c>
      <c r="Q7" s="140">
        <f>IF(ISNUMBER(SEARCH('Карта учёта'!$B$25,Расходка[Наименование расходного материала])),MAX($Q$1:Q6)+1,0)</f>
        <v>6</v>
      </c>
      <c r="R7" s="139" t="str">
        <f>IFERROR(INDEX(Расходка[Наименование расходного материала],MATCH(Расходка[№],Поиск_расходки[Индекс1],0)),"")</f>
        <v/>
      </c>
      <c r="S7" s="139" t="str">
        <f>IFERROR(INDEX(Расходка[Наименование расходного материала],MATCH(Расходка[№],Поиск_расходки[Индекс2],0)),"")</f>
        <v/>
      </c>
      <c r="T7" s="139" t="str">
        <f>IFERROR(INDEX(Расходка[Наименование расходного материала],MATCH(Расходка[№],Поиск_расходки[Индекс3],0)),"")</f>
        <v/>
      </c>
      <c r="U7" s="139" t="str">
        <f>IFERROR(INDEX(Расходка[Наименование расходного материала],MATCH(Расходка[№],Поиск_расходки[Индекс4],0)),"")</f>
        <v/>
      </c>
      <c r="V7" s="139" t="str">
        <f>IFERROR(INDEX(Расходка[Наименование расходного материала],MATCH(Расходка[№],Поиск_расходки[Индекс5],0)),"")</f>
        <v/>
      </c>
      <c r="W7" s="139" t="str">
        <f>IFERROR(INDEX(Расходка[Наименование расходного материала],MATCH(Расходка[№],Поиск_расходки[Индекс6],0)),"")</f>
        <v/>
      </c>
      <c r="X7" s="139" t="str">
        <f>IFERROR(INDEX(Расходка[Наименование расходного материала],MATCH(Расходка[№],Поиск_расходки[Индекс7],0)),"")</f>
        <v/>
      </c>
      <c r="Y7" s="139" t="str">
        <f>IFERROR(INDEX(Расходка[Наименование расходного материала],MATCH(Расходка[№],Поиск_расходки[Индекс8],0)),"")</f>
        <v>NC Euphora</v>
      </c>
      <c r="Z7" s="139" t="str">
        <f>IFERROR(INDEX(Расходка[Наименование расходного материала],MATCH(Расходка[№],Поиск_расходки[Индекс9],0)),"")</f>
        <v>NC Euphora</v>
      </c>
      <c r="AA7" s="139" t="str">
        <f>IFERROR(INDEX(Расходка[Наименование расходного материала],MATCH(Расходка[№],Поиск_расходки[Индекс10],0)),"")</f>
        <v>NC Euphora</v>
      </c>
      <c r="AB7" s="139" t="str">
        <f>IFERROR(INDEX(Расходка[Наименование расходного материала],MATCH(Расходка[№],Поиск_расходки[Индекс11],0)),"")</f>
        <v>NC Euphora</v>
      </c>
      <c r="AC7" s="139" t="str">
        <f>IFERROR(INDEX(Расходка[Наименование расходного материала],MATCH(Расходка[№],Поиск_расходки[Индекс12],0)),"")</f>
        <v>NC Euphora</v>
      </c>
      <c r="AD7" s="139" t="str">
        <f>IFERROR(INDEX(Расходка[Наименование расходного материала],MATCH(Расходка[№],Поиск_расходки[Индекс13],0)),"")</f>
        <v>NC Euphora</v>
      </c>
      <c r="AF7" s="4" t="s">
        <v>5</v>
      </c>
      <c r="AG7" s="4" t="s">
        <v>113</v>
      </c>
      <c r="AI7" t="s">
        <v>255</v>
      </c>
      <c r="AJ7" t="s">
        <v>269</v>
      </c>
      <c r="AK7" t="str">
        <f t="shared" ref="AK7:AK8" si="1">CONCATENATE(AI7,AJ7)</f>
        <v>Контраст: Йогексол 350</v>
      </c>
    </row>
    <row r="8" spans="1:37">
      <c r="A8">
        <v>7</v>
      </c>
      <c r="B8" t="s">
        <v>157</v>
      </c>
      <c r="C8" t="s">
        <v>393</v>
      </c>
      <c r="E8" s="140">
        <f>IF(ISNUMBER(SEARCH('Карта учёта'!$B$13,Расходка[[#This Row],[Наименование расходного материала]])),MAX($E$1:E7)+1,0)</f>
        <v>0</v>
      </c>
      <c r="F8" s="140">
        <f>IF(ISNUMBER(SEARCH('Карта учёта'!$B$14,Расходка[[#This Row],[Наименование расходного материала]])),MAX($F$1:F7)+1,0)</f>
        <v>0</v>
      </c>
      <c r="G8" s="140">
        <f>IF(ISNUMBER(SEARCH('Карта учёта'!$B$15,Расходка[Наименование расходного материала])),MAX($G$1:G7)+1,0)</f>
        <v>0</v>
      </c>
      <c r="H8" s="140">
        <f>IF(ISNUMBER(SEARCH('Карта учёта'!$B$16,Расходка[Наименование расходного материала])),MAX($H$1:H7)+1,0)</f>
        <v>0</v>
      </c>
      <c r="I8" s="140">
        <f>IF(ISNUMBER(SEARCH('Карта учёта'!$B$17,Расходка[Наименование расходного материала])),MAX($I$1:I7)+1,0)</f>
        <v>0</v>
      </c>
      <c r="J8" s="140">
        <f>IF(ISNUMBER(SEARCH('Карта учёта'!$B$18,Расходка[Наименование расходного материала])),MAX($J$1:J7)+1,0)</f>
        <v>0</v>
      </c>
      <c r="K8" s="140">
        <f>IF(ISNUMBER(SEARCH('Карта учёта'!$B$19,Расходка[Наименование расходного материала])),MAX($K$1:K7)+1,0)</f>
        <v>0</v>
      </c>
      <c r="L8" s="140">
        <f>IF(ISNUMBER(SEARCH('Карта учёта'!$B$20,Расходка[Наименование расходного материала])),MAX($L$1:L7)+1,0)</f>
        <v>7</v>
      </c>
      <c r="M8" s="140">
        <f>IF(ISNUMBER(SEARCH('Карта учёта'!$B$21,Расходка[Наименование расходного материала])),MAX($M$1:M7)+1,0)</f>
        <v>7</v>
      </c>
      <c r="N8" s="142">
        <f>IF(ISNUMBER(SEARCH('Карта учёта'!$B$22,Расходка[Наименование расходного материала])),MAX($N$1:N7)+1,0)</f>
        <v>7</v>
      </c>
      <c r="O8" s="140">
        <f>IF(ISNUMBER(SEARCH('Карта учёта'!$B$23,Расходка[Наименование расходного материала])),MAX($O$1:O7)+1,0)</f>
        <v>7</v>
      </c>
      <c r="P8" s="140">
        <f>IF(ISNUMBER(SEARCH('Карта учёта'!$B$24,Расходка[Наименование расходного материала])),MAX($P$1:P7)+1,0)</f>
        <v>7</v>
      </c>
      <c r="Q8" s="140">
        <f>IF(ISNUMBER(SEARCH('Карта учёта'!$B$25,Расходка[Наименование расходного материала])),MAX($Q$1:Q7)+1,0)</f>
        <v>7</v>
      </c>
      <c r="R8" s="139" t="str">
        <f>IFERROR(INDEX(Расходка[Наименование расходного материала],MATCH(Расходка[№],Поиск_расходки[Индекс1],0)),"")</f>
        <v/>
      </c>
      <c r="S8" s="139" t="str">
        <f>IFERROR(INDEX(Расходка[Наименование расходного материала],MATCH(Расходка[№],Поиск_расходки[Индекс2],0)),"")</f>
        <v/>
      </c>
      <c r="T8" s="139" t="str">
        <f>IFERROR(INDEX(Расходка[Наименование расходного материала],MATCH(Расходка[№],Поиск_расходки[Индекс3],0)),"")</f>
        <v/>
      </c>
      <c r="U8" s="139" t="str">
        <f>IFERROR(INDEX(Расходка[Наименование расходного материала],MATCH(Расходка[№],Поиск_расходки[Индекс4],0)),"")</f>
        <v/>
      </c>
      <c r="V8" s="139" t="str">
        <f>IFERROR(INDEX(Расходка[Наименование расходного материала],MATCH(Расходка[№],Поиск_расходки[Индекс5],0)),"")</f>
        <v/>
      </c>
      <c r="W8" s="139" t="str">
        <f>IFERROR(INDEX(Расходка[Наименование расходного материала],MATCH(Расходка[№],Поиск_расходки[Индекс6],0)),"")</f>
        <v/>
      </c>
      <c r="X8" s="139" t="str">
        <f>IFERROR(INDEX(Расходка[Наименование расходного материала],MATCH(Расходка[№],Поиск_расходки[Индекс7],0)),"")</f>
        <v/>
      </c>
      <c r="Y8" s="139" t="str">
        <f>IFERROR(INDEX(Расходка[Наименование расходного материала],MATCH(Расходка[№],Поиск_расходки[Индекс8],0)),"")</f>
        <v>Fielder</v>
      </c>
      <c r="Z8" s="139" t="str">
        <f>IFERROR(INDEX(Расходка[Наименование расходного материала],MATCH(Расходка[№],Поиск_расходки[Индекс9],0)),"")</f>
        <v>Fielder</v>
      </c>
      <c r="AA8" s="139" t="str">
        <f>IFERROR(INDEX(Расходка[Наименование расходного материала],MATCH(Расходка[№],Поиск_расходки[Индекс10],0)),"")</f>
        <v>Fielder</v>
      </c>
      <c r="AB8" s="139" t="str">
        <f>IFERROR(INDEX(Расходка[Наименование расходного материала],MATCH(Расходка[№],Поиск_расходки[Индекс11],0)),"")</f>
        <v>Fielder</v>
      </c>
      <c r="AC8" s="139" t="str">
        <f>IFERROR(INDEX(Расходка[Наименование расходного материала],MATCH(Расходка[№],Поиск_расходки[Индекс12],0)),"")</f>
        <v>Fielder</v>
      </c>
      <c r="AD8" s="139" t="str">
        <f>IFERROR(INDEX(Расходка[Наименование расходного материала],MATCH(Расходка[№],Поиск_расходки[Индекс13],0)),"")</f>
        <v>Fielder</v>
      </c>
      <c r="AF8" s="4" t="s">
        <v>5</v>
      </c>
      <c r="AG8" s="4" t="s">
        <v>106</v>
      </c>
      <c r="AI8" t="s">
        <v>255</v>
      </c>
      <c r="AJ8" t="s">
        <v>270</v>
      </c>
      <c r="AK8" t="str">
        <f t="shared" si="1"/>
        <v>Контраст: Визипак 320</v>
      </c>
    </row>
    <row r="9" spans="1:37">
      <c r="A9">
        <v>8</v>
      </c>
      <c r="B9" t="s">
        <v>3</v>
      </c>
      <c r="C9" t="s">
        <v>394</v>
      </c>
      <c r="E9" s="140">
        <f>IF(ISNUMBER(SEARCH('Карта учёта'!$B$13,Расходка[[#This Row],[Наименование расходного материала]])),MAX($E$1:E8)+1,0)</f>
        <v>0</v>
      </c>
      <c r="F9" s="140">
        <f>IF(ISNUMBER(SEARCH('Карта учёта'!$B$14,Расходка[[#This Row],[Наименование расходного материала]])),MAX($F$1:F8)+1,0)</f>
        <v>0</v>
      </c>
      <c r="G9" s="140">
        <f>IF(ISNUMBER(SEARCH('Карта учёта'!$B$15,Расходка[Наименование расходного материала])),MAX($G$1:G8)+1,0)</f>
        <v>0</v>
      </c>
      <c r="H9" s="140">
        <f>IF(ISNUMBER(SEARCH('Карта учёта'!$B$16,Расходка[Наименование расходного материала])),MAX($H$1:H8)+1,0)</f>
        <v>0</v>
      </c>
      <c r="I9" s="140">
        <f>IF(ISNUMBER(SEARCH('Карта учёта'!$B$17,Расходка[Наименование расходного материала])),MAX($I$1:I8)+1,0)</f>
        <v>0</v>
      </c>
      <c r="J9" s="140">
        <f>IF(ISNUMBER(SEARCH('Карта учёта'!$B$18,Расходка[Наименование расходного материала])),MAX($J$1:J8)+1,0)</f>
        <v>0</v>
      </c>
      <c r="K9" s="140">
        <f>IF(ISNUMBER(SEARCH('Карта учёта'!$B$19,Расходка[Наименование расходного материала])),MAX($K$1:K8)+1,0)</f>
        <v>0</v>
      </c>
      <c r="L9" s="140">
        <f>IF(ISNUMBER(SEARCH('Карта учёта'!$B$20,Расходка[Наименование расходного материала])),MAX($L$1:L8)+1,0)</f>
        <v>8</v>
      </c>
      <c r="M9" s="140">
        <f>IF(ISNUMBER(SEARCH('Карта учёта'!$B$21,Расходка[Наименование расходного материала])),MAX($M$1:M8)+1,0)</f>
        <v>8</v>
      </c>
      <c r="N9" s="142">
        <f>IF(ISNUMBER(SEARCH('Карта учёта'!$B$22,Расходка[Наименование расходного материала])),MAX($N$1:N8)+1,0)</f>
        <v>8</v>
      </c>
      <c r="O9" s="140">
        <f>IF(ISNUMBER(SEARCH('Карта учёта'!$B$23,Расходка[Наименование расходного материала])),MAX($O$1:O8)+1,0)</f>
        <v>8</v>
      </c>
      <c r="P9" s="140">
        <f>IF(ISNUMBER(SEARCH('Карта учёта'!$B$24,Расходка[Наименование расходного материала])),MAX($P$1:P8)+1,0)</f>
        <v>8</v>
      </c>
      <c r="Q9" s="140">
        <f>IF(ISNUMBER(SEARCH('Карта учёта'!$B$25,Расходка[Наименование расходного материала])),MAX($Q$1:Q8)+1,0)</f>
        <v>8</v>
      </c>
      <c r="R9" s="139" t="str">
        <f>IFERROR(INDEX(Расходка[Наименование расходного материала],MATCH(Расходка[№],Поиск_расходки[Индекс1],0)),"")</f>
        <v/>
      </c>
      <c r="S9" s="139" t="str">
        <f>IFERROR(INDEX(Расходка[Наименование расходного материала],MATCH(Расходка[№],Поиск_расходки[Индекс2],0)),"")</f>
        <v/>
      </c>
      <c r="T9" s="139" t="str">
        <f>IFERROR(INDEX(Расходка[Наименование расходного материала],MATCH(Расходка[№],Поиск_расходки[Индекс3],0)),"")</f>
        <v/>
      </c>
      <c r="U9" s="139" t="str">
        <f>IFERROR(INDEX(Расходка[Наименование расходного материала],MATCH(Расходка[№],Поиск_расходки[Индекс4],0)),"")</f>
        <v/>
      </c>
      <c r="V9" s="139" t="str">
        <f>IFERROR(INDEX(Расходка[Наименование расходного материала],MATCH(Расходка[№],Поиск_расходки[Индекс5],0)),"")</f>
        <v/>
      </c>
      <c r="W9" s="139" t="str">
        <f>IFERROR(INDEX(Расходка[Наименование расходного материала],MATCH(Расходка[№],Поиск_расходки[Индекс6],0)),"")</f>
        <v/>
      </c>
      <c r="X9" s="139" t="str">
        <f>IFERROR(INDEX(Расходка[Наименование расходного материала],MATCH(Расходка[№],Поиск_расходки[Индекс7],0)),"")</f>
        <v/>
      </c>
      <c r="Y9" s="139" t="str">
        <f>IFERROR(INDEX(Расходка[Наименование расходного материала],MATCH(Расходка[№],Поиск_расходки[Индекс8],0)),"")</f>
        <v>Sion</v>
      </c>
      <c r="Z9" s="139" t="str">
        <f>IFERROR(INDEX(Расходка[Наименование расходного материала],MATCH(Расходка[№],Поиск_расходки[Индекс9],0)),"")</f>
        <v>Sion</v>
      </c>
      <c r="AA9" s="139" t="str">
        <f>IFERROR(INDEX(Расходка[Наименование расходного материала],MATCH(Расходка[№],Поиск_расходки[Индекс10],0)),"")</f>
        <v>Sion</v>
      </c>
      <c r="AB9" s="139" t="str">
        <f>IFERROR(INDEX(Расходка[Наименование расходного материала],MATCH(Расходка[№],Поиск_расходки[Индекс11],0)),"")</f>
        <v>Sion</v>
      </c>
      <c r="AC9" s="139" t="str">
        <f>IFERROR(INDEX(Расходка[Наименование расходного материала],MATCH(Расходка[№],Поиск_расходки[Индекс12],0)),"")</f>
        <v>Sion</v>
      </c>
      <c r="AD9" s="139" t="str">
        <f>IFERROR(INDEX(Расходка[Наименование расходного материала],MATCH(Расходка[№],Поиск_расходки[Индекс13],0)),"")</f>
        <v>Sion</v>
      </c>
      <c r="AF9" s="4" t="s">
        <v>5</v>
      </c>
      <c r="AG9" s="4" t="s">
        <v>107</v>
      </c>
    </row>
    <row r="10" spans="1:37">
      <c r="A10">
        <v>9</v>
      </c>
      <c r="B10" t="s">
        <v>3</v>
      </c>
      <c r="C10" t="s">
        <v>395</v>
      </c>
      <c r="E10" s="140">
        <f>IF(ISNUMBER(SEARCH('Карта учёта'!$B$13,Расходка[[#This Row],[Наименование расходного материала]])),MAX($E$1:E9)+1,0)</f>
        <v>0</v>
      </c>
      <c r="F10" s="140">
        <f>IF(ISNUMBER(SEARCH('Карта учёта'!$B$14,Расходка[[#This Row],[Наименование расходного материала]])),MAX($F$1:F9)+1,0)</f>
        <v>0</v>
      </c>
      <c r="G10" s="140">
        <f>IF(ISNUMBER(SEARCH('Карта учёта'!$B$15,Расходка[Наименование расходного материала])),MAX($G$1:G9)+1,0)</f>
        <v>0</v>
      </c>
      <c r="H10" s="140">
        <f>IF(ISNUMBER(SEARCH('Карта учёта'!$B$16,Расходка[Наименование расходного материала])),MAX($H$1:H9)+1,0)</f>
        <v>0</v>
      </c>
      <c r="I10" s="140">
        <f>IF(ISNUMBER(SEARCH('Карта учёта'!$B$17,Расходка[Наименование расходного материала])),MAX($I$1:I9)+1,0)</f>
        <v>0</v>
      </c>
      <c r="J10" s="140">
        <f>IF(ISNUMBER(SEARCH('Карта учёта'!$B$18,Расходка[Наименование расходного материала])),MAX($J$1:J9)+1,0)</f>
        <v>0</v>
      </c>
      <c r="K10" s="140">
        <f>IF(ISNUMBER(SEARCH('Карта учёта'!$B$19,Расходка[Наименование расходного материала])),MAX($K$1:K9)+1,0)</f>
        <v>0</v>
      </c>
      <c r="L10" s="140">
        <f>IF(ISNUMBER(SEARCH('Карта учёта'!$B$20,Расходка[Наименование расходного материала])),MAX($L$1:L9)+1,0)</f>
        <v>9</v>
      </c>
      <c r="M10" s="140">
        <f>IF(ISNUMBER(SEARCH('Карта учёта'!$B$21,Расходка[Наименование расходного материала])),MAX($M$1:M9)+1,0)</f>
        <v>9</v>
      </c>
      <c r="N10" s="142">
        <f>IF(ISNUMBER(SEARCH('Карта учёта'!$B$22,Расходка[Наименование расходного материала])),MAX($N$1:N9)+1,0)</f>
        <v>9</v>
      </c>
      <c r="O10" s="140">
        <f>IF(ISNUMBER(SEARCH('Карта учёта'!$B$23,Расходка[Наименование расходного материала])),MAX($O$1:O9)+1,0)</f>
        <v>9</v>
      </c>
      <c r="P10" s="140">
        <f>IF(ISNUMBER(SEARCH('Карта учёта'!$B$24,Расходка[Наименование расходного материала])),MAX($P$1:P9)+1,0)</f>
        <v>9</v>
      </c>
      <c r="Q10" s="140">
        <f>IF(ISNUMBER(SEARCH('Карта учёта'!$B$25,Расходка[Наименование расходного материала])),MAX($Q$1:Q9)+1,0)</f>
        <v>9</v>
      </c>
      <c r="R10" s="139" t="str">
        <f>IFERROR(INDEX(Расходка[Наименование расходного материала],MATCH(Расходка[№],Поиск_расходки[Индекс1],0)),"")</f>
        <v/>
      </c>
      <c r="S10" s="139" t="str">
        <f>IFERROR(INDEX(Расходка[Наименование расходного материала],MATCH(Расходка[№],Поиск_расходки[Индекс2],0)),"")</f>
        <v/>
      </c>
      <c r="T10" s="139" t="str">
        <f>IFERROR(INDEX(Расходка[Наименование расходного материала],MATCH(Расходка[№],Поиск_расходки[Индекс3],0)),"")</f>
        <v/>
      </c>
      <c r="U10" s="139" t="str">
        <f>IFERROR(INDEX(Расходка[Наименование расходного материала],MATCH(Расходка[№],Поиск_расходки[Индекс4],0)),"")</f>
        <v/>
      </c>
      <c r="V10" s="139" t="str">
        <f>IFERROR(INDEX(Расходка[Наименование расходного материала],MATCH(Расходка[№],Поиск_расходки[Индекс5],0)),"")</f>
        <v/>
      </c>
      <c r="W10" s="139" t="str">
        <f>IFERROR(INDEX(Расходка[Наименование расходного материала],MATCH(Расходка[№],Поиск_расходки[Индекс6],0)),"")</f>
        <v/>
      </c>
      <c r="X10" s="139" t="str">
        <f>IFERROR(INDEX(Расходка[Наименование расходного материала],MATCH(Расходка[№],Поиск_расходки[Индекс7],0)),"")</f>
        <v/>
      </c>
      <c r="Y10" s="139" t="str">
        <f>IFERROR(INDEX(Расходка[Наименование расходного материала],MATCH(Расходка[№],Поиск_расходки[Индекс8],0)),"")</f>
        <v>Rinato</v>
      </c>
      <c r="Z10" s="139" t="str">
        <f>IFERROR(INDEX(Расходка[Наименование расходного материала],MATCH(Расходка[№],Поиск_расходки[Индекс9],0)),"")</f>
        <v>Rinato</v>
      </c>
      <c r="AA10" s="139" t="str">
        <f>IFERROR(INDEX(Расходка[Наименование расходного материала],MATCH(Расходка[№],Поиск_расходки[Индекс10],0)),"")</f>
        <v>Rinato</v>
      </c>
      <c r="AB10" s="139" t="str">
        <f>IFERROR(INDEX(Расходка[Наименование расходного материала],MATCH(Расходка[№],Поиск_расходки[Индекс11],0)),"")</f>
        <v>Rinato</v>
      </c>
      <c r="AC10" s="139" t="str">
        <f>IFERROR(INDEX(Расходка[Наименование расходного материала],MATCH(Расходка[№],Поиск_расходки[Индекс12],0)),"")</f>
        <v>Rinato</v>
      </c>
      <c r="AD10" s="139" t="str">
        <f>IFERROR(INDEX(Расходка[Наименование расходного материала],MATCH(Расходка[№],Поиск_расходки[Индекс13],0)),"")</f>
        <v>Rinato</v>
      </c>
      <c r="AF10" s="4" t="s">
        <v>5</v>
      </c>
      <c r="AG10" s="4" t="s">
        <v>108</v>
      </c>
    </row>
    <row r="11" spans="1:37">
      <c r="A11">
        <v>10</v>
      </c>
      <c r="B11" t="s">
        <v>3</v>
      </c>
      <c r="C11" t="s">
        <v>396</v>
      </c>
      <c r="E11" s="140">
        <f>IF(ISNUMBER(SEARCH('Карта учёта'!$B$13,Расходка[[#This Row],[Наименование расходного материала]])),MAX($E$1:E10)+1,0)</f>
        <v>0</v>
      </c>
      <c r="F11" s="140">
        <f>IF(ISNUMBER(SEARCH('Карта учёта'!$B$14,Расходка[[#This Row],[Наименование расходного материала]])),MAX($F$1:F10)+1,0)</f>
        <v>0</v>
      </c>
      <c r="G11" s="140">
        <f>IF(ISNUMBER(SEARCH('Карта учёта'!$B$15,Расходка[Наименование расходного материала])),MAX($G$1:G10)+1,0)</f>
        <v>0</v>
      </c>
      <c r="H11" s="140">
        <f>IF(ISNUMBER(SEARCH('Карта учёта'!$B$16,Расходка[Наименование расходного материала])),MAX($H$1:H10)+1,0)</f>
        <v>0</v>
      </c>
      <c r="I11" s="140">
        <f>IF(ISNUMBER(SEARCH('Карта учёта'!$B$17,Расходка[Наименование расходного материала])),MAX($I$1:I10)+1,0)</f>
        <v>0</v>
      </c>
      <c r="J11" s="140">
        <f>IF(ISNUMBER(SEARCH('Карта учёта'!$B$18,Расходка[Наименование расходного материала])),MAX($J$1:J10)+1,0)</f>
        <v>0</v>
      </c>
      <c r="K11" s="140">
        <f>IF(ISNUMBER(SEARCH('Карта учёта'!$B$19,Расходка[Наименование расходного материала])),MAX($K$1:K10)+1,0)</f>
        <v>0</v>
      </c>
      <c r="L11" s="140">
        <f>IF(ISNUMBER(SEARCH('Карта учёта'!$B$20,Расходка[Наименование расходного материала])),MAX($L$1:L10)+1,0)</f>
        <v>10</v>
      </c>
      <c r="M11" s="140">
        <f>IF(ISNUMBER(SEARCH('Карта учёта'!$B$21,Расходка[Наименование расходного материала])),MAX($M$1:M10)+1,0)</f>
        <v>10</v>
      </c>
      <c r="N11" s="142">
        <f>IF(ISNUMBER(SEARCH('Карта учёта'!$B$22,Расходка[Наименование расходного материала])),MAX($N$1:N10)+1,0)</f>
        <v>10</v>
      </c>
      <c r="O11" s="140">
        <f>IF(ISNUMBER(SEARCH('Карта учёта'!$B$23,Расходка[Наименование расходного материала])),MAX($O$1:O10)+1,0)</f>
        <v>10</v>
      </c>
      <c r="P11" s="140">
        <f>IF(ISNUMBER(SEARCH('Карта учёта'!$B$24,Расходка[Наименование расходного материала])),MAX($P$1:P10)+1,0)</f>
        <v>10</v>
      </c>
      <c r="Q11" s="140">
        <f>IF(ISNUMBER(SEARCH('Карта учёта'!$B$25,Расходка[Наименование расходного материала])),MAX($Q$1:Q10)+1,0)</f>
        <v>10</v>
      </c>
      <c r="R11" s="139" t="str">
        <f>IFERROR(INDEX(Расходка[Наименование расходного материала],MATCH(Расходка[№],Поиск_расходки[Индекс1],0)),"")</f>
        <v/>
      </c>
      <c r="S11" s="139" t="str">
        <f>IFERROR(INDEX(Расходка[Наименование расходного материала],MATCH(Расходка[№],Поиск_расходки[Индекс2],0)),"")</f>
        <v/>
      </c>
      <c r="T11" s="139" t="str">
        <f>IFERROR(INDEX(Расходка[Наименование расходного материала],MATCH(Расходка[№],Поиск_расходки[Индекс3],0)),"")</f>
        <v/>
      </c>
      <c r="U11" s="139" t="str">
        <f>IFERROR(INDEX(Расходка[Наименование расходного материала],MATCH(Расходка[№],Поиск_расходки[Индекс4],0)),"")</f>
        <v/>
      </c>
      <c r="V11" s="139" t="str">
        <f>IFERROR(INDEX(Расходка[Наименование расходного материала],MATCH(Расходка[№],Поиск_расходки[Индекс5],0)),"")</f>
        <v/>
      </c>
      <c r="W11" s="139" t="str">
        <f>IFERROR(INDEX(Расходка[Наименование расходного материала],MATCH(Расходка[№],Поиск_расходки[Индекс6],0)),"")</f>
        <v/>
      </c>
      <c r="X11" s="139" t="str">
        <f>IFERROR(INDEX(Расходка[Наименование расходного материала],MATCH(Расходка[№],Поиск_расходки[Индекс7],0)),"")</f>
        <v/>
      </c>
      <c r="Y11" s="139" t="str">
        <f>IFERROR(INDEX(Расходка[Наименование расходного материала],MATCH(Расходка[№],Поиск_расходки[Индекс8],0)),"")</f>
        <v>Thunder</v>
      </c>
      <c r="Z11" s="139" t="str">
        <f>IFERROR(INDEX(Расходка[Наименование расходного материала],MATCH(Расходка[№],Поиск_расходки[Индекс9],0)),"")</f>
        <v>Thunder</v>
      </c>
      <c r="AA11" s="139" t="str">
        <f>IFERROR(INDEX(Расходка[Наименование расходного материала],MATCH(Расходка[№],Поиск_расходки[Индекс10],0)),"")</f>
        <v>Thunder</v>
      </c>
      <c r="AB11" s="139" t="str">
        <f>IFERROR(INDEX(Расходка[Наименование расходного материала],MATCH(Расходка[№],Поиск_расходки[Индекс11],0)),"")</f>
        <v>Thunder</v>
      </c>
      <c r="AC11" s="139" t="str">
        <f>IFERROR(INDEX(Расходка[Наименование расходного материала],MATCH(Расходка[№],Поиск_расходки[Индекс12],0)),"")</f>
        <v>Thunder</v>
      </c>
      <c r="AD11" s="139" t="str">
        <f>IFERROR(INDEX(Расходка[Наименование расходного материала],MATCH(Расходка[№],Поиск_расходки[Индекс13],0)),"")</f>
        <v>Thunder</v>
      </c>
      <c r="AF11" s="4" t="s">
        <v>5</v>
      </c>
      <c r="AG11" s="4" t="s">
        <v>177</v>
      </c>
    </row>
    <row r="12" spans="1:37">
      <c r="A12">
        <v>11</v>
      </c>
      <c r="B12" t="s">
        <v>3</v>
      </c>
      <c r="C12" t="s">
        <v>397</v>
      </c>
      <c r="E12" s="140">
        <f>IF(ISNUMBER(SEARCH('Карта учёта'!$B$13,Расходка[[#This Row],[Наименование расходного материала]])),MAX($E$1:E11)+1,0)</f>
        <v>0</v>
      </c>
      <c r="F12" s="140">
        <f>IF(ISNUMBER(SEARCH('Карта учёта'!$B$14,Расходка[[#This Row],[Наименование расходного материала]])),MAX($F$1:F11)+1,0)</f>
        <v>0</v>
      </c>
      <c r="G12" s="140">
        <f>IF(ISNUMBER(SEARCH('Карта учёта'!$B$15,Расходка[Наименование расходного материала])),MAX($G$1:G11)+1,0)</f>
        <v>0</v>
      </c>
      <c r="H12" s="140">
        <f>IF(ISNUMBER(SEARCH('Карта учёта'!$B$16,Расходка[Наименование расходного материала])),MAX($H$1:H11)+1,0)</f>
        <v>0</v>
      </c>
      <c r="I12" s="140">
        <f>IF(ISNUMBER(SEARCH('Карта учёта'!$B$17,Расходка[Наименование расходного материала])),MAX($I$1:I11)+1,0)</f>
        <v>0</v>
      </c>
      <c r="J12" s="140">
        <f>IF(ISNUMBER(SEARCH('Карта учёта'!$B$18,Расходка[Наименование расходного материала])),MAX($J$1:J11)+1,0)</f>
        <v>0</v>
      </c>
      <c r="K12" s="140">
        <f>IF(ISNUMBER(SEARCH('Карта учёта'!$B$19,Расходка[Наименование расходного материала])),MAX($K$1:K11)+1,0)</f>
        <v>0</v>
      </c>
      <c r="L12" s="140">
        <f>IF(ISNUMBER(SEARCH('Карта учёта'!$B$20,Расходка[Наименование расходного материала])),MAX($L$1:L11)+1,0)</f>
        <v>11</v>
      </c>
      <c r="M12" s="140">
        <f>IF(ISNUMBER(SEARCH('Карта учёта'!$B$21,Расходка[Наименование расходного материала])),MAX($M$1:M11)+1,0)</f>
        <v>11</v>
      </c>
      <c r="N12" s="142">
        <f>IF(ISNUMBER(SEARCH('Карта учёта'!$B$22,Расходка[Наименование расходного материала])),MAX($N$1:N11)+1,0)</f>
        <v>11</v>
      </c>
      <c r="O12" s="140">
        <f>IF(ISNUMBER(SEARCH('Карта учёта'!$B$23,Расходка[Наименование расходного материала])),MAX($O$1:O11)+1,0)</f>
        <v>11</v>
      </c>
      <c r="P12" s="140">
        <f>IF(ISNUMBER(SEARCH('Карта учёта'!$B$24,Расходка[Наименование расходного материала])),MAX($P$1:P11)+1,0)</f>
        <v>11</v>
      </c>
      <c r="Q12" s="140">
        <f>IF(ISNUMBER(SEARCH('Карта учёта'!$B$25,Расходка[Наименование расходного материала])),MAX($Q$1:Q11)+1,0)</f>
        <v>11</v>
      </c>
      <c r="R12" s="139" t="str">
        <f>IFERROR(INDEX(Расходка[Наименование расходного материала],MATCH(Расходка[№],Поиск_расходки[Индекс1],0)),"")</f>
        <v/>
      </c>
      <c r="S12" s="139" t="str">
        <f>IFERROR(INDEX(Расходка[Наименование расходного материала],MATCH(Расходка[№],Поиск_расходки[Индекс2],0)),"")</f>
        <v/>
      </c>
      <c r="T12" s="139" t="str">
        <f>IFERROR(INDEX(Расходка[Наименование расходного материала],MATCH(Расходка[№],Поиск_расходки[Индекс3],0)),"")</f>
        <v/>
      </c>
      <c r="U12" s="139" t="str">
        <f>IFERROR(INDEX(Расходка[Наименование расходного материала],MATCH(Расходка[№],Поиск_расходки[Индекс4],0)),"")</f>
        <v/>
      </c>
      <c r="V12" s="139" t="str">
        <f>IFERROR(INDEX(Расходка[Наименование расходного материала],MATCH(Расходка[№],Поиск_расходки[Индекс5],0)),"")</f>
        <v/>
      </c>
      <c r="W12" s="139" t="str">
        <f>IFERROR(INDEX(Расходка[Наименование расходного материала],MATCH(Расходка[№],Поиск_расходки[Индекс6],0)),"")</f>
        <v/>
      </c>
      <c r="X12" s="139" t="str">
        <f>IFERROR(INDEX(Расходка[Наименование расходного материала],MATCH(Расходка[№],Поиск_расходки[Индекс7],0)),"")</f>
        <v/>
      </c>
      <c r="Y12" s="139" t="str">
        <f>IFERROR(INDEX(Расходка[Наименование расходного материала],MATCH(Расходка[№],Поиск_расходки[Индекс8],0)),"")</f>
        <v>ProVia 3 Hydro-Track®</v>
      </c>
      <c r="Z12" s="139" t="str">
        <f>IFERROR(INDEX(Расходка[Наименование расходного материала],MATCH(Расходка[№],Поиск_расходки[Индекс9],0)),"")</f>
        <v>ProVia 3 Hydro-Track®</v>
      </c>
      <c r="AA12" s="139" t="str">
        <f>IFERROR(INDEX(Расходка[Наименование расходного материала],MATCH(Расходка[№],Поиск_расходки[Индекс10],0)),"")</f>
        <v>ProVia 3 Hydro-Track®</v>
      </c>
      <c r="AB12" s="139" t="str">
        <f>IFERROR(INDEX(Расходка[Наименование расходного материала],MATCH(Расходка[№],Поиск_расходки[Индекс11],0)),"")</f>
        <v>ProVia 3 Hydro-Track®</v>
      </c>
      <c r="AC12" s="139" t="str">
        <f>IFERROR(INDEX(Расходка[Наименование расходного материала],MATCH(Расходка[№],Поиск_расходки[Индекс12],0)),"")</f>
        <v>ProVia 3 Hydro-Track®</v>
      </c>
      <c r="AD12" s="139" t="str">
        <f>IFERROR(INDEX(Расходка[Наименование расходного материала],MATCH(Расходка[№],Поиск_расходки[Индекс13],0)),"")</f>
        <v>ProVia 3 Hydro-Track®</v>
      </c>
      <c r="AF12" s="4" t="s">
        <v>5</v>
      </c>
      <c r="AG12" s="4" t="s">
        <v>109</v>
      </c>
    </row>
    <row r="13" spans="1:37">
      <c r="A13">
        <v>12</v>
      </c>
      <c r="B13" t="s">
        <v>3</v>
      </c>
      <c r="C13" t="s">
        <v>398</v>
      </c>
      <c r="D13" s="1"/>
      <c r="E13" s="140">
        <f>IF(ISNUMBER(SEARCH('Карта учёта'!$B$13,Расходка[[#This Row],[Наименование расходного материала]])),MAX($E$1:E12)+1,0)</f>
        <v>0</v>
      </c>
      <c r="F13" s="140">
        <f>IF(ISNUMBER(SEARCH('Карта учёта'!$B$14,Расходка[[#This Row],[Наименование расходного материала]])),MAX($F$1:F12)+1,0)</f>
        <v>0</v>
      </c>
      <c r="G13" s="140">
        <f>IF(ISNUMBER(SEARCH('Карта учёта'!$B$15,Расходка[Наименование расходного материала])),MAX($G$1:G12)+1,0)</f>
        <v>0</v>
      </c>
      <c r="H13" s="140">
        <f>IF(ISNUMBER(SEARCH('Карта учёта'!$B$16,Расходка[Наименование расходного материала])),MAX($H$1:H12)+1,0)</f>
        <v>0</v>
      </c>
      <c r="I13" s="140">
        <f>IF(ISNUMBER(SEARCH('Карта учёта'!$B$17,Расходка[Наименование расходного материала])),MAX($I$1:I12)+1,0)</f>
        <v>0</v>
      </c>
      <c r="J13" s="140">
        <f>IF(ISNUMBER(SEARCH('Карта учёта'!$B$18,Расходка[Наименование расходного материала])),MAX($J$1:J12)+1,0)</f>
        <v>0</v>
      </c>
      <c r="K13" s="140">
        <f>IF(ISNUMBER(SEARCH('Карта учёта'!$B$19,Расходка[Наименование расходного материала])),MAX($K$1:K12)+1,0)</f>
        <v>0</v>
      </c>
      <c r="L13" s="140">
        <f>IF(ISNUMBER(SEARCH('Карта учёта'!$B$20,Расходка[Наименование расходного материала])),MAX($L$1:L12)+1,0)</f>
        <v>12</v>
      </c>
      <c r="M13" s="140">
        <f>IF(ISNUMBER(SEARCH('Карта учёта'!$B$21,Расходка[Наименование расходного материала])),MAX($M$1:M12)+1,0)</f>
        <v>12</v>
      </c>
      <c r="N13" s="142">
        <f>IF(ISNUMBER(SEARCH('Карта учёта'!$B$22,Расходка[Наименование расходного материала])),MAX($N$1:N12)+1,0)</f>
        <v>12</v>
      </c>
      <c r="O13" s="140">
        <f>IF(ISNUMBER(SEARCH('Карта учёта'!$B$23,Расходка[Наименование расходного материала])),MAX($O$1:O12)+1,0)</f>
        <v>12</v>
      </c>
      <c r="P13" s="140">
        <f>IF(ISNUMBER(SEARCH('Карта учёта'!$B$24,Расходка[Наименование расходного материала])),MAX($P$1:P12)+1,0)</f>
        <v>12</v>
      </c>
      <c r="Q13" s="140">
        <f>IF(ISNUMBER(SEARCH('Карта учёта'!$B$25,Расходка[Наименование расходного материала])),MAX($Q$1:Q12)+1,0)</f>
        <v>12</v>
      </c>
      <c r="R13" s="139" t="str">
        <f>IFERROR(INDEX(Расходка[Наименование расходного материала],MATCH(Расходка[№],Поиск_расходки[Индекс1],0)),"")</f>
        <v/>
      </c>
      <c r="S13" s="139" t="str">
        <f>IFERROR(INDEX(Расходка[Наименование расходного материала],MATCH(Расходка[№],Поиск_расходки[Индекс2],0)),"")</f>
        <v/>
      </c>
      <c r="T13" s="139" t="str">
        <f>IFERROR(INDEX(Расходка[Наименование расходного материала],MATCH(Расходка[№],Поиск_расходки[Индекс3],0)),"")</f>
        <v/>
      </c>
      <c r="U13" s="139" t="str">
        <f>IFERROR(INDEX(Расходка[Наименование расходного материала],MATCH(Расходка[№],Поиск_расходки[Индекс4],0)),"")</f>
        <v/>
      </c>
      <c r="V13" s="139" t="str">
        <f>IFERROR(INDEX(Расходка[Наименование расходного материала],MATCH(Расходка[№],Поиск_расходки[Индекс5],0)),"")</f>
        <v/>
      </c>
      <c r="W13" s="139" t="str">
        <f>IFERROR(INDEX(Расходка[Наименование расходного материала],MATCH(Расходка[№],Поиск_расходки[Индекс6],0)),"")</f>
        <v/>
      </c>
      <c r="X13" s="139" t="str">
        <f>IFERROR(INDEX(Расходка[Наименование расходного материала],MATCH(Расходка[№],Поиск_расходки[Индекс7],0)),"")</f>
        <v/>
      </c>
      <c r="Y13" s="139" t="str">
        <f>IFERROR(INDEX(Расходка[Наименование расходного материала],MATCH(Расходка[№],Поиск_расходки[Индекс8],0)),"")</f>
        <v>ProVia 6 Hydro-Track®</v>
      </c>
      <c r="Z13" s="139" t="str">
        <f>IFERROR(INDEX(Расходка[Наименование расходного материала],MATCH(Расходка[№],Поиск_расходки[Индекс9],0)),"")</f>
        <v>ProVia 6 Hydro-Track®</v>
      </c>
      <c r="AA13" s="139" t="str">
        <f>IFERROR(INDEX(Расходка[Наименование расходного материала],MATCH(Расходка[№],Поиск_расходки[Индекс10],0)),"")</f>
        <v>ProVia 6 Hydro-Track®</v>
      </c>
      <c r="AB13" s="139" t="str">
        <f>IFERROR(INDEX(Расходка[Наименование расходного материала],MATCH(Расходка[№],Поиск_расходки[Индекс11],0)),"")</f>
        <v>ProVia 6 Hydro-Track®</v>
      </c>
      <c r="AC13" s="139" t="str">
        <f>IFERROR(INDEX(Расходка[Наименование расходного материала],MATCH(Расходка[№],Поиск_расходки[Индекс12],0)),"")</f>
        <v>ProVia 6 Hydro-Track®</v>
      </c>
      <c r="AD13" s="139" t="str">
        <f>IFERROR(INDEX(Расходка[Наименование расходного материала],MATCH(Расходка[№],Поиск_расходки[Индекс13],0)),"")</f>
        <v>ProVia 6 Hydro-Track®</v>
      </c>
      <c r="AF13" s="4" t="s">
        <v>5</v>
      </c>
      <c r="AG13" s="4" t="s">
        <v>110</v>
      </c>
      <c r="AI13">
        <v>155760</v>
      </c>
      <c r="AJ13" s="161" t="s">
        <v>388</v>
      </c>
    </row>
    <row r="14" spans="1:37">
      <c r="A14">
        <v>13</v>
      </c>
      <c r="B14" t="s">
        <v>3</v>
      </c>
      <c r="C14" t="s">
        <v>399</v>
      </c>
      <c r="E14" s="140">
        <f>IF(ISNUMBER(SEARCH('Карта учёта'!$B$13,Расходка[[#This Row],[Наименование расходного материала]])),MAX($E$1:E13)+1,0)</f>
        <v>0</v>
      </c>
      <c r="F14" s="140">
        <f>IF(ISNUMBER(SEARCH('Карта учёта'!$B$14,Расходка[[#This Row],[Наименование расходного материала]])),MAX($F$1:F13)+1,0)</f>
        <v>0</v>
      </c>
      <c r="G14" s="140">
        <f>IF(ISNUMBER(SEARCH('Карта учёта'!$B$15,Расходка[Наименование расходного материала])),MAX($G$1:G13)+1,0)</f>
        <v>0</v>
      </c>
      <c r="H14" s="140">
        <f>IF(ISNUMBER(SEARCH('Карта учёта'!$B$16,Расходка[Наименование расходного материала])),MAX($H$1:H13)+1,0)</f>
        <v>0</v>
      </c>
      <c r="I14" s="140">
        <f>IF(ISNUMBER(SEARCH('Карта учёта'!$B$17,Расходка[Наименование расходного материала])),MAX($I$1:I13)+1,0)</f>
        <v>0</v>
      </c>
      <c r="J14" s="140">
        <f>IF(ISNUMBER(SEARCH('Карта учёта'!$B$18,Расходка[Наименование расходного материала])),MAX($J$1:J13)+1,0)</f>
        <v>0</v>
      </c>
      <c r="K14" s="140">
        <f>IF(ISNUMBER(SEARCH('Карта учёта'!$B$19,Расходка[Наименование расходного материала])),MAX($K$1:K13)+1,0)</f>
        <v>0</v>
      </c>
      <c r="L14" s="140">
        <f>IF(ISNUMBER(SEARCH('Карта учёта'!$B$20,Расходка[Наименование расходного материала])),MAX($L$1:L13)+1,0)</f>
        <v>13</v>
      </c>
      <c r="M14" s="140">
        <f>IF(ISNUMBER(SEARCH('Карта учёта'!$B$21,Расходка[Наименование расходного материала])),MAX($M$1:M13)+1,0)</f>
        <v>13</v>
      </c>
      <c r="N14" s="142">
        <f>IF(ISNUMBER(SEARCH('Карта учёта'!$B$22,Расходка[Наименование расходного материала])),MAX($N$1:N13)+1,0)</f>
        <v>13</v>
      </c>
      <c r="O14" s="140">
        <f>IF(ISNUMBER(SEARCH('Карта учёта'!$B$23,Расходка[Наименование расходного материала])),MAX($O$1:O13)+1,0)</f>
        <v>13</v>
      </c>
      <c r="P14" s="140">
        <f>IF(ISNUMBER(SEARCH('Карта учёта'!$B$24,Расходка[Наименование расходного материала])),MAX($P$1:P13)+1,0)</f>
        <v>13</v>
      </c>
      <c r="Q14" s="140">
        <f>IF(ISNUMBER(SEARCH('Карта учёта'!$B$25,Расходка[Наименование расходного материала])),MAX($Q$1:Q13)+1,0)</f>
        <v>13</v>
      </c>
      <c r="R14" s="139" t="str">
        <f>IFERROR(INDEX(Расходка[Наименование расходного материала],MATCH(Расходка[№],Поиск_расходки[Индекс1],0)),"")</f>
        <v/>
      </c>
      <c r="S14" s="139" t="str">
        <f>IFERROR(INDEX(Расходка[Наименование расходного материала],MATCH(Расходка[№],Поиск_расходки[Индекс2],0)),"")</f>
        <v/>
      </c>
      <c r="T14" s="139" t="str">
        <f>IFERROR(INDEX(Расходка[Наименование расходного материала],MATCH(Расходка[№],Поиск_расходки[Индекс3],0)),"")</f>
        <v/>
      </c>
      <c r="U14" s="139" t="str">
        <f>IFERROR(INDEX(Расходка[Наименование расходного материала],MATCH(Расходка[№],Поиск_расходки[Индекс4],0)),"")</f>
        <v/>
      </c>
      <c r="V14" s="139" t="str">
        <f>IFERROR(INDEX(Расходка[Наименование расходного материала],MATCH(Расходка[№],Поиск_расходки[Индекс5],0)),"")</f>
        <v/>
      </c>
      <c r="W14" s="139" t="str">
        <f>IFERROR(INDEX(Расходка[Наименование расходного материала],MATCH(Расходка[№],Поиск_расходки[Индекс6],0)),"")</f>
        <v/>
      </c>
      <c r="X14" s="139" t="str">
        <f>IFERROR(INDEX(Расходка[Наименование расходного материала],MATCH(Расходка[№],Поиск_расходки[Индекс7],0)),"")</f>
        <v/>
      </c>
      <c r="Y14" s="139" t="str">
        <f>IFERROR(INDEX(Расходка[Наименование расходного материала],MATCH(Расходка[№],Поиск_расходки[Индекс8],0)),"")</f>
        <v>ProVia 9 Hydro-Track®</v>
      </c>
      <c r="Z14" s="139" t="str">
        <f>IFERROR(INDEX(Расходка[Наименование расходного материала],MATCH(Расходка[№],Поиск_расходки[Индекс9],0)),"")</f>
        <v>ProVia 9 Hydro-Track®</v>
      </c>
      <c r="AA14" s="139" t="str">
        <f>IFERROR(INDEX(Расходка[Наименование расходного материала],MATCH(Расходка[№],Поиск_расходки[Индекс10],0)),"")</f>
        <v>ProVia 9 Hydro-Track®</v>
      </c>
      <c r="AB14" s="139" t="str">
        <f>IFERROR(INDEX(Расходка[Наименование расходного материала],MATCH(Расходка[№],Поиск_расходки[Индекс11],0)),"")</f>
        <v>ProVia 9 Hydro-Track®</v>
      </c>
      <c r="AC14" s="139" t="str">
        <f>IFERROR(INDEX(Расходка[Наименование расходного материала],MATCH(Расходка[№],Поиск_расходки[Индекс12],0)),"")</f>
        <v>ProVia 9 Hydro-Track®</v>
      </c>
      <c r="AD14" s="139" t="str">
        <f>IFERROR(INDEX(Расходка[Наименование расходного материала],MATCH(Расходка[№],Поиск_расходки[Индекс13],0)),"")</f>
        <v>ProVia 9 Hydro-Track®</v>
      </c>
      <c r="AF14" s="4" t="s">
        <v>5</v>
      </c>
      <c r="AG14" s="4" t="s">
        <v>111</v>
      </c>
      <c r="AI14">
        <v>155800</v>
      </c>
      <c r="AJ14" s="162" t="s">
        <v>389</v>
      </c>
    </row>
    <row r="15" spans="1:37">
      <c r="A15">
        <v>14</v>
      </c>
      <c r="B15" t="s">
        <v>3</v>
      </c>
      <c r="C15" t="s">
        <v>438</v>
      </c>
      <c r="E15" s="140">
        <f>IF(ISNUMBER(SEARCH('Карта учёта'!$B$13,Расходка[[#This Row],[Наименование расходного материала]])),MAX($E$1:E14)+1,0)</f>
        <v>0</v>
      </c>
      <c r="F15" s="140">
        <f>IF(ISNUMBER(SEARCH('Карта учёта'!$B$14,Расходка[[#This Row],[Наименование расходного материала]])),MAX($F$1:F14)+1,0)</f>
        <v>0</v>
      </c>
      <c r="G15" s="140">
        <f>IF(ISNUMBER(SEARCH('Карта учёта'!$B$15,Расходка[Наименование расходного материала])),MAX($G$1:G14)+1,0)</f>
        <v>0</v>
      </c>
      <c r="H15" s="140">
        <f>IF(ISNUMBER(SEARCH('Карта учёта'!$B$16,Расходка[Наименование расходного материала])),MAX($H$1:H14)+1,0)</f>
        <v>0</v>
      </c>
      <c r="I15" s="140">
        <f>IF(ISNUMBER(SEARCH('Карта учёта'!$B$17,Расходка[Наименование расходного материала])),MAX($I$1:I14)+1,0)</f>
        <v>0</v>
      </c>
      <c r="J15" s="140">
        <f>IF(ISNUMBER(SEARCH('Карта учёта'!$B$18,Расходка[Наименование расходного материала])),MAX($J$1:J14)+1,0)</f>
        <v>0</v>
      </c>
      <c r="K15" s="140">
        <f>IF(ISNUMBER(SEARCH('Карта учёта'!$B$19,Расходка[Наименование расходного материала])),MAX($K$1:K14)+1,0)</f>
        <v>0</v>
      </c>
      <c r="L15" s="140">
        <f>IF(ISNUMBER(SEARCH('Карта учёта'!$B$20,Расходка[Наименование расходного материала])),MAX($L$1:L14)+1,0)</f>
        <v>14</v>
      </c>
      <c r="M15" s="140">
        <f>IF(ISNUMBER(SEARCH('Карта учёта'!$B$21,Расходка[Наименование расходного материала])),MAX($M$1:M14)+1,0)</f>
        <v>14</v>
      </c>
      <c r="N15" s="142">
        <f>IF(ISNUMBER(SEARCH('Карта учёта'!$B$22,Расходка[Наименование расходного материала])),MAX($N$1:N14)+1,0)</f>
        <v>14</v>
      </c>
      <c r="O15" s="140">
        <f>IF(ISNUMBER(SEARCH('Карта учёта'!$B$23,Расходка[Наименование расходного материала])),MAX($O$1:O14)+1,0)</f>
        <v>14</v>
      </c>
      <c r="P15" s="140">
        <f>IF(ISNUMBER(SEARCH('Карта учёта'!$B$24,Расходка[Наименование расходного материала])),MAX($P$1:P14)+1,0)</f>
        <v>14</v>
      </c>
      <c r="Q15" s="140">
        <f>IF(ISNUMBER(SEARCH('Карта учёта'!$B$25,Расходка[Наименование расходного материала])),MAX($Q$1:Q14)+1,0)</f>
        <v>14</v>
      </c>
      <c r="R15" s="139" t="str">
        <f>IFERROR(INDEX(Расходка[Наименование расходного материала],MATCH(Расходка[№],Поиск_расходки[Индекс1],0)),"")</f>
        <v/>
      </c>
      <c r="S15" s="139" t="str">
        <f>IFERROR(INDEX(Расходка[Наименование расходного материала],MATCH(Расходка[№],Поиск_расходки[Индекс2],0)),"")</f>
        <v/>
      </c>
      <c r="T15" s="139" t="str">
        <f>IFERROR(INDEX(Расходка[Наименование расходного материала],MATCH(Расходка[№],Поиск_расходки[Индекс3],0)),"")</f>
        <v/>
      </c>
      <c r="U15" s="139" t="str">
        <f>IFERROR(INDEX(Расходка[Наименование расходного материала],MATCH(Расходка[№],Поиск_расходки[Индекс4],0)),"")</f>
        <v/>
      </c>
      <c r="V15" s="139" t="str">
        <f>IFERROR(INDEX(Расходка[Наименование расходного материала],MATCH(Расходка[№],Поиск_расходки[Индекс5],0)),"")</f>
        <v/>
      </c>
      <c r="W15" s="139" t="str">
        <f>IFERROR(INDEX(Расходка[Наименование расходного материала],MATCH(Расходка[№],Поиск_расходки[Индекс6],0)),"")</f>
        <v/>
      </c>
      <c r="X15" s="139" t="str">
        <f>IFERROR(INDEX(Расходка[Наименование расходного материала],MATCH(Расходка[№],Поиск_расходки[Индекс7],0)),"")</f>
        <v/>
      </c>
      <c r="Y15" s="139" t="str">
        <f>IFERROR(INDEX(Расходка[Наименование расходного материала],MATCH(Расходка[№],Поиск_расходки[Индекс8],0)),"")</f>
        <v>Проводник коронарный  1g, Angioline</v>
      </c>
      <c r="Z15" s="139" t="str">
        <f>IFERROR(INDEX(Расходка[Наименование расходного материала],MATCH(Расходка[№],Поиск_расходки[Индекс9],0)),"")</f>
        <v>Проводник коронарный  1g, Angioline</v>
      </c>
      <c r="AA15" s="139" t="str">
        <f>IFERROR(INDEX(Расходка[Наименование расходного материала],MATCH(Расходка[№],Поиск_расходки[Индекс10],0)),"")</f>
        <v>Проводник коронарный  1g, Angioline</v>
      </c>
      <c r="AB15" s="139" t="str">
        <f>IFERROR(INDEX(Расходка[Наименование расходного материала],MATCH(Расходка[№],Поиск_расходки[Индекс11],0)),"")</f>
        <v>Проводник коронарный  1g, Angioline</v>
      </c>
      <c r="AC15" s="139" t="str">
        <f>IFERROR(INDEX(Расходка[Наименование расходного материала],MATCH(Расходка[№],Поиск_расходки[Индекс12],0)),"")</f>
        <v>Проводник коронарный  1g, Angioline</v>
      </c>
      <c r="AD15" s="139" t="str">
        <f>IFERROR(INDEX(Расходка[Наименование расходного материала],MATCH(Расходка[№],Поиск_расходки[Индекс13],0)),"")</f>
        <v>Проводник коронарный  1g, Angioline</v>
      </c>
      <c r="AF15" s="4" t="s">
        <v>5</v>
      </c>
      <c r="AG15" s="4" t="s">
        <v>112</v>
      </c>
      <c r="AI15">
        <v>218190</v>
      </c>
      <c r="AJ15" s="162" t="s">
        <v>390</v>
      </c>
    </row>
    <row r="16" spans="1:37">
      <c r="A16">
        <v>15</v>
      </c>
      <c r="B16" t="s">
        <v>3</v>
      </c>
      <c r="C16" t="s">
        <v>124</v>
      </c>
      <c r="E16" s="140">
        <f>IF(ISNUMBER(SEARCH('Карта учёта'!$B$13,Расходка[[#This Row],[Наименование расходного материала]])),MAX($E$1:E15)+1,0)</f>
        <v>0</v>
      </c>
      <c r="F16" s="140">
        <f>IF(ISNUMBER(SEARCH('Карта учёта'!$B$14,Расходка[[#This Row],[Наименование расходного материала]])),MAX($F$1:F15)+1,0)</f>
        <v>0</v>
      </c>
      <c r="G16" s="140">
        <f>IF(ISNUMBER(SEARCH('Карта учёта'!$B$15,Расходка[Наименование расходного материала])),MAX($G$1:G15)+1,0)</f>
        <v>0</v>
      </c>
      <c r="H16" s="140">
        <f>IF(ISNUMBER(SEARCH('Карта учёта'!$B$16,Расходка[Наименование расходного материала])),MAX($H$1:H15)+1,0)</f>
        <v>0</v>
      </c>
      <c r="I16" s="140">
        <f>IF(ISNUMBER(SEARCH('Карта учёта'!$B$17,Расходка[Наименование расходного материала])),MAX($I$1:I15)+1,0)</f>
        <v>0</v>
      </c>
      <c r="J16" s="140">
        <f>IF(ISNUMBER(SEARCH('Карта учёта'!$B$18,Расходка[Наименование расходного материала])),MAX($J$1:J15)+1,0)</f>
        <v>0</v>
      </c>
      <c r="K16" s="140">
        <f>IF(ISNUMBER(SEARCH('Карта учёта'!$B$19,Расходка[Наименование расходного материала])),MAX($K$1:K15)+1,0)</f>
        <v>0</v>
      </c>
      <c r="L16" s="140">
        <f>IF(ISNUMBER(SEARCH('Карта учёта'!$B$20,Расходка[Наименование расходного материала])),MAX($L$1:L15)+1,0)</f>
        <v>15</v>
      </c>
      <c r="M16" s="140">
        <f>IF(ISNUMBER(SEARCH('Карта учёта'!$B$21,Расходка[Наименование расходного материала])),MAX($M$1:M15)+1,0)</f>
        <v>15</v>
      </c>
      <c r="N16" s="142">
        <f>IF(ISNUMBER(SEARCH('Карта учёта'!$B$22,Расходка[Наименование расходного материала])),MAX($N$1:N15)+1,0)</f>
        <v>15</v>
      </c>
      <c r="O16" s="140">
        <f>IF(ISNUMBER(SEARCH('Карта учёта'!$B$23,Расходка[Наименование расходного материала])),MAX($O$1:O15)+1,0)</f>
        <v>15</v>
      </c>
      <c r="P16" s="140">
        <f>IF(ISNUMBER(SEARCH('Карта учёта'!$B$24,Расходка[Наименование расходного материала])),MAX($P$1:P15)+1,0)</f>
        <v>15</v>
      </c>
      <c r="Q16" s="140">
        <f>IF(ISNUMBER(SEARCH('Карта учёта'!$B$25,Расходка[Наименование расходного материала])),MAX($Q$1:Q15)+1,0)</f>
        <v>15</v>
      </c>
      <c r="R16" s="139" t="str">
        <f>IFERROR(INDEX(Расходка[Наименование расходного материала],MATCH(Расходка[№],Поиск_расходки[Индекс1],0)),"")</f>
        <v/>
      </c>
      <c r="S16" s="139" t="str">
        <f>IFERROR(INDEX(Расходка[Наименование расходного материала],MATCH(Расходка[№],Поиск_расходки[Индекс2],0)),"")</f>
        <v/>
      </c>
      <c r="T16" s="139" t="str">
        <f>IFERROR(INDEX(Расходка[Наименование расходного материала],MATCH(Расходка[№],Поиск_расходки[Индекс3],0)),"")</f>
        <v/>
      </c>
      <c r="U16" s="139" t="str">
        <f>IFERROR(INDEX(Расходка[Наименование расходного материала],MATCH(Расходка[№],Поиск_расходки[Индекс4],0)),"")</f>
        <v/>
      </c>
      <c r="V16" s="139" t="str">
        <f>IFERROR(INDEX(Расходка[Наименование расходного материала],MATCH(Расходка[№],Поиск_расходки[Индекс5],0)),"")</f>
        <v/>
      </c>
      <c r="W16" s="139" t="str">
        <f>IFERROR(INDEX(Расходка[Наименование расходного материала],MATCH(Расходка[№],Поиск_расходки[Индекс6],0)),"")</f>
        <v/>
      </c>
      <c r="X16" s="139" t="str">
        <f>IFERROR(INDEX(Расходка[Наименование расходного материала],MATCH(Расходка[№],Поиск_расходки[Индекс7],0)),"")</f>
        <v/>
      </c>
      <c r="Y16" s="139" t="str">
        <f>IFERROR(INDEX(Расходка[Наименование расходного материала],MATCH(Расходка[№],Поиск_расходки[Индекс8],0)),"")</f>
        <v>Проводник коронарный  3g, Angioline</v>
      </c>
      <c r="Z16" s="139" t="str">
        <f>IFERROR(INDEX(Расходка[Наименование расходного материала],MATCH(Расходка[№],Поиск_расходки[Индекс9],0)),"")</f>
        <v>Проводник коронарный  3g, Angioline</v>
      </c>
      <c r="AA16" s="139" t="str">
        <f>IFERROR(INDEX(Расходка[Наименование расходного материала],MATCH(Расходка[№],Поиск_расходки[Индекс10],0)),"")</f>
        <v>Проводник коронарный  3g, Angioline</v>
      </c>
      <c r="AB16" s="139" t="str">
        <f>IFERROR(INDEX(Расходка[Наименование расходного материала],MATCH(Расходка[№],Поиск_расходки[Индекс11],0)),"")</f>
        <v>Проводник коронарный  3g, Angioline</v>
      </c>
      <c r="AC16" s="139" t="str">
        <f>IFERROR(INDEX(Расходка[Наименование расходного материала],MATCH(Расходка[№],Поиск_расходки[Индекс12],0)),"")</f>
        <v>Проводник коронарный  3g, Angioline</v>
      </c>
      <c r="AD16" s="139" t="str">
        <f>IFERROR(INDEX(Расходка[Наименование расходного материала],MATCH(Расходка[№],Поиск_расходки[Индекс13],0)),"")</f>
        <v>Проводник коронарный  3g, Angioline</v>
      </c>
      <c r="AF16" s="4" t="s">
        <v>5</v>
      </c>
      <c r="AG16" s="4" t="s">
        <v>421</v>
      </c>
    </row>
    <row r="17" spans="1:33">
      <c r="A17">
        <v>16</v>
      </c>
      <c r="B17" t="s">
        <v>3</v>
      </c>
      <c r="C17" t="s">
        <v>400</v>
      </c>
      <c r="E17" s="140">
        <f>IF(ISNUMBER(SEARCH('Карта учёта'!$B$13,Расходка[[#This Row],[Наименование расходного материала]])),MAX($E$1:E16)+1,0)</f>
        <v>0</v>
      </c>
      <c r="F17" s="140">
        <f>IF(ISNUMBER(SEARCH('Карта учёта'!$B$14,Расходка[[#This Row],[Наименование расходного материала]])),MAX($F$1:F16)+1,0)</f>
        <v>0</v>
      </c>
      <c r="G17" s="140">
        <f>IF(ISNUMBER(SEARCH('Карта учёта'!$B$15,Расходка[Наименование расходного материала])),MAX($G$1:G16)+1,0)</f>
        <v>0</v>
      </c>
      <c r="H17" s="140">
        <f>IF(ISNUMBER(SEARCH('Карта учёта'!$B$16,Расходка[Наименование расходного материала])),MAX($H$1:H16)+1,0)</f>
        <v>0</v>
      </c>
      <c r="I17" s="140">
        <f>IF(ISNUMBER(SEARCH('Карта учёта'!$B$17,Расходка[Наименование расходного материала])),MAX($I$1:I16)+1,0)</f>
        <v>0</v>
      </c>
      <c r="J17" s="140">
        <f>IF(ISNUMBER(SEARCH('Карта учёта'!$B$18,Расходка[Наименование расходного материала])),MAX($J$1:J16)+1,0)</f>
        <v>0</v>
      </c>
      <c r="K17" s="140">
        <f>IF(ISNUMBER(SEARCH('Карта учёта'!$B$19,Расходка[Наименование расходного материала])),MAX($K$1:K16)+1,0)</f>
        <v>0</v>
      </c>
      <c r="L17" s="140">
        <f>IF(ISNUMBER(SEARCH('Карта учёта'!$B$20,Расходка[Наименование расходного материала])),MAX($L$1:L16)+1,0)</f>
        <v>16</v>
      </c>
      <c r="M17" s="140">
        <f>IF(ISNUMBER(SEARCH('Карта учёта'!$B$21,Расходка[Наименование расходного материала])),MAX($M$1:M16)+1,0)</f>
        <v>16</v>
      </c>
      <c r="N17" s="142">
        <f>IF(ISNUMBER(SEARCH('Карта учёта'!$B$22,Расходка[Наименование расходного материала])),MAX($N$1:N16)+1,0)</f>
        <v>16</v>
      </c>
      <c r="O17" s="140">
        <f>IF(ISNUMBER(SEARCH('Карта учёта'!$B$23,Расходка[Наименование расходного материала])),MAX($O$1:O16)+1,0)</f>
        <v>16</v>
      </c>
      <c r="P17" s="140">
        <f>IF(ISNUMBER(SEARCH('Карта учёта'!$B$24,Расходка[Наименование расходного материала])),MAX($P$1:P16)+1,0)</f>
        <v>16</v>
      </c>
      <c r="Q17" s="140">
        <f>IF(ISNUMBER(SEARCH('Карта учёта'!$B$25,Расходка[Наименование расходного материала])),MAX($Q$1:Q16)+1,0)</f>
        <v>16</v>
      </c>
      <c r="R17" s="139" t="str">
        <f>IFERROR(INDEX(Расходка[Наименование расходного материала],MATCH(Расходка[№],Поиск_расходки[Индекс1],0)),"")</f>
        <v/>
      </c>
      <c r="S17" s="139" t="str">
        <f>IFERROR(INDEX(Расходка[Наименование расходного материала],MATCH(Расходка[№],Поиск_расходки[Индекс2],0)),"")</f>
        <v/>
      </c>
      <c r="T17" s="139" t="str">
        <f>IFERROR(INDEX(Расходка[Наименование расходного материала],MATCH(Расходка[№],Поиск_расходки[Индекс3],0)),"")</f>
        <v/>
      </c>
      <c r="U17" s="139" t="str">
        <f>IFERROR(INDEX(Расходка[Наименование расходного материала],MATCH(Расходка[№],Поиск_расходки[Индекс4],0)),"")</f>
        <v/>
      </c>
      <c r="V17" s="139" t="str">
        <f>IFERROR(INDEX(Расходка[Наименование расходного материала],MATCH(Расходка[№],Поиск_расходки[Индекс5],0)),"")</f>
        <v/>
      </c>
      <c r="W17" s="139" t="str">
        <f>IFERROR(INDEX(Расходка[Наименование расходного материала],MATCH(Расходка[№],Поиск_расходки[Индекс6],0)),"")</f>
        <v/>
      </c>
      <c r="X17" s="139" t="str">
        <f>IFERROR(INDEX(Расходка[Наименование расходного материала],MATCH(Расходка[№],Поиск_расходки[Индекс7],0)),"")</f>
        <v/>
      </c>
      <c r="Y17" s="139" t="str">
        <f>IFERROR(INDEX(Расходка[Наименование расходного материала],MATCH(Расходка[№],Поиск_расходки[Индекс8],0)),"")</f>
        <v>Cougar LS Hydro-Track®</v>
      </c>
      <c r="Z17" s="139" t="str">
        <f>IFERROR(INDEX(Расходка[Наименование расходного материала],MATCH(Расходка[№],Поиск_расходки[Индекс9],0)),"")</f>
        <v>Cougar LS Hydro-Track®</v>
      </c>
      <c r="AA17" s="139" t="str">
        <f>IFERROR(INDEX(Расходка[Наименование расходного материала],MATCH(Расходка[№],Поиск_расходки[Индекс10],0)),"")</f>
        <v>Cougar LS Hydro-Track®</v>
      </c>
      <c r="AB17" s="139" t="str">
        <f>IFERROR(INDEX(Расходка[Наименование расходного материала],MATCH(Расходка[№],Поиск_расходки[Индекс11],0)),"")</f>
        <v>Cougar LS Hydro-Track®</v>
      </c>
      <c r="AC17" s="139" t="str">
        <f>IFERROR(INDEX(Расходка[Наименование расходного материала],MATCH(Расходка[№],Поиск_расходки[Индекс12],0)),"")</f>
        <v>Cougar LS Hydro-Track®</v>
      </c>
      <c r="AD17" s="139" t="str">
        <f>IFERROR(INDEX(Расходка[Наименование расходного материала],MATCH(Расходка[№],Поиск_расходки[Индекс13],0)),"")</f>
        <v>Cougar LS Hydro-Track®</v>
      </c>
      <c r="AF17" s="4" t="s">
        <v>5</v>
      </c>
      <c r="AG17" s="4" t="s">
        <v>418</v>
      </c>
    </row>
    <row r="18" spans="1:33">
      <c r="A18">
        <v>17</v>
      </c>
      <c r="B18" t="s">
        <v>3</v>
      </c>
      <c r="C18" t="s">
        <v>428</v>
      </c>
      <c r="D18" s="1"/>
      <c r="E18" s="140">
        <f>IF(ISNUMBER(SEARCH('Карта учёта'!$B$13,Расходка[[#This Row],[Наименование расходного материала]])),MAX($E$1:E17)+1,0)</f>
        <v>0</v>
      </c>
      <c r="F18" s="140">
        <f>IF(ISNUMBER(SEARCH('Карта учёта'!$B$14,Расходка[[#This Row],[Наименование расходного материала]])),MAX($F$1:F17)+1,0)</f>
        <v>0</v>
      </c>
      <c r="G18" s="140">
        <f>IF(ISNUMBER(SEARCH('Карта учёта'!$B$15,Расходка[Наименование расходного материала])),MAX($G$1:G17)+1,0)</f>
        <v>0</v>
      </c>
      <c r="H18" s="140">
        <f>IF(ISNUMBER(SEARCH('Карта учёта'!$B$16,Расходка[Наименование расходного материала])),MAX($H$1:H17)+1,0)</f>
        <v>0</v>
      </c>
      <c r="I18" s="140">
        <f>IF(ISNUMBER(SEARCH('Карта учёта'!$B$17,Расходка[Наименование расходного материала])),MAX($I$1:I17)+1,0)</f>
        <v>0</v>
      </c>
      <c r="J18" s="140">
        <f>IF(ISNUMBER(SEARCH('Карта учёта'!$B$18,Расходка[Наименование расходного материала])),MAX($J$1:J17)+1,0)</f>
        <v>0</v>
      </c>
      <c r="K18" s="140">
        <f>IF(ISNUMBER(SEARCH('Карта учёта'!$B$19,Расходка[Наименование расходного материала])),MAX($K$1:K17)+1,0)</f>
        <v>0</v>
      </c>
      <c r="L18" s="140">
        <f>IF(ISNUMBER(SEARCH('Карта учёта'!$B$20,Расходка[Наименование расходного материала])),MAX($L$1:L17)+1,0)</f>
        <v>17</v>
      </c>
      <c r="M18" s="140">
        <f>IF(ISNUMBER(SEARCH('Карта учёта'!$B$21,Расходка[Наименование расходного материала])),MAX($M$1:M17)+1,0)</f>
        <v>17</v>
      </c>
      <c r="N18" s="142">
        <f>IF(ISNUMBER(SEARCH('Карта учёта'!$B$22,Расходка[Наименование расходного материала])),MAX($N$1:N17)+1,0)</f>
        <v>17</v>
      </c>
      <c r="O18" s="140">
        <f>IF(ISNUMBER(SEARCH('Карта учёта'!$B$23,Расходка[Наименование расходного материала])),MAX($O$1:O17)+1,0)</f>
        <v>17</v>
      </c>
      <c r="P18" s="140">
        <f>IF(ISNUMBER(SEARCH('Карта учёта'!$B$24,Расходка[Наименование расходного материала])),MAX($P$1:P17)+1,0)</f>
        <v>17</v>
      </c>
      <c r="Q18" s="140">
        <f>IF(ISNUMBER(SEARCH('Карта учёта'!$B$25,Расходка[Наименование расходного материала])),MAX($Q$1:Q17)+1,0)</f>
        <v>17</v>
      </c>
      <c r="R18" s="139" t="str">
        <f>IFERROR(INDEX(Расходка[Наименование расходного материала],MATCH(Расходка[№],Поиск_расходки[Индекс1],0)),"")</f>
        <v/>
      </c>
      <c r="S18" s="139" t="str">
        <f>IFERROR(INDEX(Расходка[Наименование расходного материала],MATCH(Расходка[№],Поиск_расходки[Индекс2],0)),"")</f>
        <v/>
      </c>
      <c r="T18" s="139" t="str">
        <f>IFERROR(INDEX(Расходка[Наименование расходного материала],MATCH(Расходка[№],Поиск_расходки[Индекс3],0)),"")</f>
        <v/>
      </c>
      <c r="U18" s="139" t="str">
        <f>IFERROR(INDEX(Расходка[Наименование расходного материала],MATCH(Расходка[№],Поиск_расходки[Индекс4],0)),"")</f>
        <v/>
      </c>
      <c r="V18" s="139" t="str">
        <f>IFERROR(INDEX(Расходка[Наименование расходного материала],MATCH(Расходка[№],Поиск_расходки[Индекс5],0)),"")</f>
        <v/>
      </c>
      <c r="W18" s="139" t="str">
        <f>IFERROR(INDEX(Расходка[Наименование расходного материала],MATCH(Расходка[№],Поиск_расходки[Индекс6],0)),"")</f>
        <v/>
      </c>
      <c r="X18" s="139" t="str">
        <f>IFERROR(INDEX(Расходка[Наименование расходного материала],MATCH(Расходка[№],Поиск_расходки[Индекс7],0)),"")</f>
        <v/>
      </c>
      <c r="Y18" s="139" t="str">
        <f>IFERROR(INDEX(Расходка[Наименование расходного материала],MATCH(Расходка[№],Поиск_расходки[Индекс8],0)),"")</f>
        <v>Cougar XT Hydro-Track®</v>
      </c>
      <c r="Z18" s="139" t="str">
        <f>IFERROR(INDEX(Расходка[Наименование расходного материала],MATCH(Расходка[№],Поиск_расходки[Индекс9],0)),"")</f>
        <v>Cougar XT Hydro-Track®</v>
      </c>
      <c r="AA18" s="139" t="str">
        <f>IFERROR(INDEX(Расходка[Наименование расходного материала],MATCH(Расходка[№],Поиск_расходки[Индекс10],0)),"")</f>
        <v>Cougar XT Hydro-Track®</v>
      </c>
      <c r="AB18" s="139" t="str">
        <f>IFERROR(INDEX(Расходка[Наименование расходного материала],MATCH(Расходка[№],Поиск_расходки[Индекс11],0)),"")</f>
        <v>Cougar XT Hydro-Track®</v>
      </c>
      <c r="AC18" s="139" t="str">
        <f>IFERROR(INDEX(Расходка[Наименование расходного материала],MATCH(Расходка[№],Поиск_расходки[Индекс12],0)),"")</f>
        <v>Cougar XT Hydro-Track®</v>
      </c>
      <c r="AD18" s="139" t="str">
        <f>IFERROR(INDEX(Расходка[Наименование расходного материала],MATCH(Расходка[№],Поиск_расходки[Индекс13],0)),"")</f>
        <v>Cougar XT Hydro-Track®</v>
      </c>
      <c r="AF18" s="4" t="s">
        <v>5</v>
      </c>
      <c r="AG18" s="4" t="s">
        <v>114</v>
      </c>
    </row>
    <row r="19" spans="1:33">
      <c r="A19">
        <v>18</v>
      </c>
      <c r="B19" t="s">
        <v>3</v>
      </c>
      <c r="C19" s="1" t="s">
        <v>401</v>
      </c>
      <c r="E19" s="140">
        <f>IF(ISNUMBER(SEARCH('Карта учёта'!$B$13,Расходка[[#This Row],[Наименование расходного материала]])),MAX($E$1:E18)+1,0)</f>
        <v>0</v>
      </c>
      <c r="F19" s="140">
        <f>IF(ISNUMBER(SEARCH('Карта учёта'!$B$14,Расходка[[#This Row],[Наименование расходного материала]])),MAX($F$1:F18)+1,0)</f>
        <v>0</v>
      </c>
      <c r="G19" s="140">
        <f>IF(ISNUMBER(SEARCH('Карта учёта'!$B$15,Расходка[Наименование расходного материала])),MAX($G$1:G18)+1,0)</f>
        <v>0</v>
      </c>
      <c r="H19" s="140">
        <f>IF(ISNUMBER(SEARCH('Карта учёта'!$B$16,Расходка[Наименование расходного материала])),MAX($H$1:H18)+1,0)</f>
        <v>0</v>
      </c>
      <c r="I19" s="140">
        <f>IF(ISNUMBER(SEARCH('Карта учёта'!$B$17,Расходка[Наименование расходного материала])),MAX($I$1:I18)+1,0)</f>
        <v>0</v>
      </c>
      <c r="J19" s="140">
        <f>IF(ISNUMBER(SEARCH('Карта учёта'!$B$18,Расходка[Наименование расходного материала])),MAX($J$1:J18)+1,0)</f>
        <v>0</v>
      </c>
      <c r="K19" s="140">
        <f>IF(ISNUMBER(SEARCH('Карта учёта'!$B$19,Расходка[Наименование расходного материала])),MAX($K$1:K18)+1,0)</f>
        <v>1</v>
      </c>
      <c r="L19" s="140">
        <f>IF(ISNUMBER(SEARCH('Карта учёта'!$B$20,Расходка[Наименование расходного материала])),MAX($L$1:L18)+1,0)</f>
        <v>18</v>
      </c>
      <c r="M19" s="140">
        <f>IF(ISNUMBER(SEARCH('Карта учёта'!$B$21,Расходка[Наименование расходного материала])),MAX($M$1:M18)+1,0)</f>
        <v>18</v>
      </c>
      <c r="N19" s="142">
        <f>IF(ISNUMBER(SEARCH('Карта учёта'!$B$22,Расходка[Наименование расходного материала])),MAX($N$1:N18)+1,0)</f>
        <v>18</v>
      </c>
      <c r="O19" s="140">
        <f>IF(ISNUMBER(SEARCH('Карта учёта'!$B$23,Расходка[Наименование расходного материала])),MAX($O$1:O18)+1,0)</f>
        <v>18</v>
      </c>
      <c r="P19" s="140">
        <f>IF(ISNUMBER(SEARCH('Карта учёта'!$B$24,Расходка[Наименование расходного материала])),MAX($P$1:P18)+1,0)</f>
        <v>18</v>
      </c>
      <c r="Q19" s="140">
        <f>IF(ISNUMBER(SEARCH('Карта учёта'!$B$25,Расходка[Наименование расходного материала])),MAX($Q$1:Q18)+1,0)</f>
        <v>18</v>
      </c>
      <c r="R19" s="139" t="str">
        <f>IFERROR(INDEX(Расходка[Наименование расходного материала],MATCH(Расходка[№],Поиск_расходки[Индекс1],0)),"")</f>
        <v/>
      </c>
      <c r="S19" s="139" t="str">
        <f>IFERROR(INDEX(Расходка[Наименование расходного материала],MATCH(Расходка[№],Поиск_расходки[Индекс2],0)),"")</f>
        <v/>
      </c>
      <c r="T19" s="139" t="str">
        <f>IFERROR(INDEX(Расходка[Наименование расходного материала],MATCH(Расходка[№],Поиск_расходки[Индекс3],0)),"")</f>
        <v/>
      </c>
      <c r="U19" s="139" t="str">
        <f>IFERROR(INDEX(Расходка[Наименование расходного материала],MATCH(Расходка[№],Поиск_расходки[Индекс4],0)),"")</f>
        <v/>
      </c>
      <c r="V19" s="139" t="str">
        <f>IFERROR(INDEX(Расходка[Наименование расходного материала],MATCH(Расходка[№],Поиск_расходки[Индекс5],0)),"")</f>
        <v/>
      </c>
      <c r="W19" s="139" t="str">
        <f>IFERROR(INDEX(Расходка[Наименование расходного материала],MATCH(Расходка[№],Поиск_расходки[Индекс6],0)),"")</f>
        <v/>
      </c>
      <c r="X19" s="139" t="str">
        <f>IFERROR(INDEX(Расходка[Наименование расходного материала],MATCH(Расходка[№],Поиск_расходки[Индекс7],0)),"")</f>
        <v/>
      </c>
      <c r="Y19" s="139" t="str">
        <f>IFERROR(INDEX(Расходка[Наименование расходного материала],MATCH(Расходка[№],Поиск_расходки[Индекс8],0)),"")</f>
        <v>Intuition</v>
      </c>
      <c r="Z19" s="139" t="str">
        <f>IFERROR(INDEX(Расходка[Наименование расходного материала],MATCH(Расходка[№],Поиск_расходки[Индекс9],0)),"")</f>
        <v>Intuition</v>
      </c>
      <c r="AA19" s="139" t="str">
        <f>IFERROR(INDEX(Расходка[Наименование расходного материала],MATCH(Расходка[№],Поиск_расходки[Индекс10],0)),"")</f>
        <v>Intuition</v>
      </c>
      <c r="AB19" s="139" t="str">
        <f>IFERROR(INDEX(Расходка[Наименование расходного материала],MATCH(Расходка[№],Поиск_расходки[Индекс11],0)),"")</f>
        <v>Intuition</v>
      </c>
      <c r="AC19" s="139" t="str">
        <f>IFERROR(INDEX(Расходка[Наименование расходного материала],MATCH(Расходка[№],Поиск_расходки[Индекс12],0)),"")</f>
        <v>Intuition</v>
      </c>
      <c r="AD19" s="139" t="str">
        <f>IFERROR(INDEX(Расходка[Наименование расходного материала],MATCH(Расходка[№],Поиск_расходки[Индекс13],0)),"")</f>
        <v>Intuition</v>
      </c>
      <c r="AF19" s="4" t="s">
        <v>5</v>
      </c>
      <c r="AG19" s="4" t="s">
        <v>115</v>
      </c>
    </row>
    <row r="20" spans="1:33">
      <c r="A20">
        <v>19</v>
      </c>
      <c r="B20" t="s">
        <v>6</v>
      </c>
      <c r="C20" s="163" t="s">
        <v>402</v>
      </c>
      <c r="E20" s="140">
        <f>IF(ISNUMBER(SEARCH('Карта учёта'!$B$13,Расходка[[#This Row],[Наименование расходного материала]])),MAX($E$1:E19)+1,0)</f>
        <v>0</v>
      </c>
      <c r="F20" s="140">
        <f>IF(ISNUMBER(SEARCH('Карта учёта'!$B$14,Расходка[[#This Row],[Наименование расходного материала]])),MAX($F$1:F19)+1,0)</f>
        <v>0</v>
      </c>
      <c r="G20" s="140">
        <f>IF(ISNUMBER(SEARCH('Карта учёта'!$B$15,Расходка[Наименование расходного материала])),MAX($G$1:G19)+1,0)</f>
        <v>1</v>
      </c>
      <c r="H20" s="140">
        <f>IF(ISNUMBER(SEARCH('Карта учёта'!$B$16,Расходка[Наименование расходного материала])),MAX($H$1:H19)+1,0)</f>
        <v>1</v>
      </c>
      <c r="I20" s="140">
        <f>IF(ISNUMBER(SEARCH('Карта учёта'!$B$17,Расходка[Наименование расходного материала])),MAX($I$1:I19)+1,0)</f>
        <v>0</v>
      </c>
      <c r="J20" s="140">
        <f>IF(ISNUMBER(SEARCH('Карта учёта'!$B$18,Расходка[Наименование расходного материала])),MAX($J$1:J19)+1,0)</f>
        <v>0</v>
      </c>
      <c r="K20" s="140">
        <f>IF(ISNUMBER(SEARCH('Карта учёта'!$B$19,Расходка[Наименование расходного материала])),MAX($K$1:K19)+1,0)</f>
        <v>0</v>
      </c>
      <c r="L20" s="140">
        <f>IF(ISNUMBER(SEARCH('Карта учёта'!$B$20,Расходка[Наименование расходного материала])),MAX($L$1:L19)+1,0)</f>
        <v>19</v>
      </c>
      <c r="M20" s="140">
        <f>IF(ISNUMBER(SEARCH('Карта учёта'!$B$21,Расходка[Наименование расходного материала])),MAX($M$1:M19)+1,0)</f>
        <v>19</v>
      </c>
      <c r="N20" s="142">
        <f>IF(ISNUMBER(SEARCH('Карта учёта'!$B$22,Расходка[Наименование расходного материала])),MAX($N$1:N19)+1,0)</f>
        <v>19</v>
      </c>
      <c r="O20" s="140">
        <f>IF(ISNUMBER(SEARCH('Карта учёта'!$B$23,Расходка[Наименование расходного материала])),MAX($O$1:O19)+1,0)</f>
        <v>19</v>
      </c>
      <c r="P20" s="140">
        <f>IF(ISNUMBER(SEARCH('Карта учёта'!$B$24,Расходка[Наименование расходного материала])),MAX($P$1:P19)+1,0)</f>
        <v>19</v>
      </c>
      <c r="Q20" s="140">
        <f>IF(ISNUMBER(SEARCH('Карта учёта'!$B$25,Расходка[Наименование расходного материала])),MAX($Q$1:Q19)+1,0)</f>
        <v>19</v>
      </c>
      <c r="R20" s="139" t="str">
        <f>IFERROR(INDEX(Расходка[Наименование расходного материала],MATCH(Расходка[№],Поиск_расходки[Индекс1],0)),"")</f>
        <v/>
      </c>
      <c r="S20" s="139" t="str">
        <f>IFERROR(INDEX(Расходка[Наименование расходного материала],MATCH(Расходка[№],Поиск_расходки[Индекс2],0)),"")</f>
        <v/>
      </c>
      <c r="T20" s="139" t="str">
        <f>IFERROR(INDEX(Расходка[Наименование расходного материала],MATCH(Расходка[№],Поиск_расходки[Индекс3],0)),"")</f>
        <v/>
      </c>
      <c r="U20" s="139" t="str">
        <f>IFERROR(INDEX(Расходка[Наименование расходного материала],MATCH(Расходка[№],Поиск_расходки[Индекс4],0)),"")</f>
        <v/>
      </c>
      <c r="V20" s="139" t="str">
        <f>IFERROR(INDEX(Расходка[Наименование расходного материала],MATCH(Расходка[№],Поиск_расходки[Индекс5],0)),"")</f>
        <v/>
      </c>
      <c r="W20" s="139" t="str">
        <f>IFERROR(INDEX(Расходка[Наименование расходного материала],MATCH(Расходка[№],Поиск_расходки[Индекс6],0)),"")</f>
        <v/>
      </c>
      <c r="X20" s="139" t="str">
        <f>IFERROR(INDEX(Расходка[Наименование расходного материала],MATCH(Расходка[№],Поиск_расходки[Индекс7],0)),"")</f>
        <v/>
      </c>
      <c r="Y20" s="139" t="str">
        <f>IFERROR(INDEX(Расходка[Наименование расходного материала],MATCH(Расходка[№],Поиск_расходки[Индекс8],0)),"")</f>
        <v>DES, Resolute Integtity</v>
      </c>
      <c r="Z20" s="139" t="str">
        <f>IFERROR(INDEX(Расходка[Наименование расходного материала],MATCH(Расходка[№],Поиск_расходки[Индекс9],0)),"")</f>
        <v>DES, Resolute Integtity</v>
      </c>
      <c r="AA20" s="139" t="str">
        <f>IFERROR(INDEX(Расходка[Наименование расходного материала],MATCH(Расходка[№],Поиск_расходки[Индекс10],0)),"")</f>
        <v>DES, Resolute Integtity</v>
      </c>
      <c r="AB20" s="139" t="str">
        <f>IFERROR(INDEX(Расходка[Наименование расходного материала],MATCH(Расходка[№],Поиск_расходки[Индекс11],0)),"")</f>
        <v>DES, Resolute Integtity</v>
      </c>
      <c r="AC20" s="139" t="str">
        <f>IFERROR(INDEX(Расходка[Наименование расходного материала],MATCH(Расходка[№],Поиск_расходки[Индекс12],0)),"")</f>
        <v>DES, Resolute Integtity</v>
      </c>
      <c r="AD20" s="139" t="str">
        <f>IFERROR(INDEX(Расходка[Наименование расходного материала],MATCH(Расходка[№],Поиск_расходки[Индекс13],0)),"")</f>
        <v>DES, Resolute Integtity</v>
      </c>
      <c r="AF20" s="4" t="s">
        <v>5</v>
      </c>
      <c r="AG20" s="4" t="s">
        <v>116</v>
      </c>
    </row>
    <row r="21" spans="1:33">
      <c r="A21">
        <v>20</v>
      </c>
      <c r="B21" t="s">
        <v>6</v>
      </c>
      <c r="C21" s="197" t="s">
        <v>432</v>
      </c>
      <c r="E21" s="140">
        <f>IF(ISNUMBER(SEARCH('Карта учёта'!$B$13,Расходка[[#This Row],[Наименование расходного материала]])),MAX($E$1:E20)+1,0)</f>
        <v>0</v>
      </c>
      <c r="F21" s="140">
        <f>IF(ISNUMBER(SEARCH('Карта учёта'!$B$14,Расходка[[#This Row],[Наименование расходного материала]])),MAX($F$1:F20)+1,0)</f>
        <v>0</v>
      </c>
      <c r="G21" s="140">
        <f>IF(ISNUMBER(SEARCH('Карта учёта'!$B$15,Расходка[Наименование расходного материала])),MAX($G$1:G20)+1,0)</f>
        <v>0</v>
      </c>
      <c r="H21" s="140">
        <f>IF(ISNUMBER(SEARCH('Карта учёта'!$B$16,Расходка[Наименование расходного материала])),MAX($H$1:H20)+1,0)</f>
        <v>0</v>
      </c>
      <c r="I21" s="140">
        <f>IF(ISNUMBER(SEARCH('Карта учёта'!$B$17,Расходка[Наименование расходного материала])),MAX($I$1:I20)+1,0)</f>
        <v>0</v>
      </c>
      <c r="J21" s="140">
        <f>IF(ISNUMBER(SEARCH('Карта учёта'!$B$18,Расходка[Наименование расходного материала])),MAX($J$1:J20)+1,0)</f>
        <v>0</v>
      </c>
      <c r="K21" s="140">
        <f>IF(ISNUMBER(SEARCH('Карта учёта'!$B$19,Расходка[Наименование расходного материала])),MAX($K$1:K20)+1,0)</f>
        <v>0</v>
      </c>
      <c r="L21" s="140">
        <f>IF(ISNUMBER(SEARCH('Карта учёта'!$B$20,Расходка[Наименование расходного материала])),MAX($L$1:L20)+1,0)</f>
        <v>20</v>
      </c>
      <c r="M21" s="140">
        <f>IF(ISNUMBER(SEARCH('Карта учёта'!$B$21,Расходка[Наименование расходного материала])),MAX($M$1:M20)+1,0)</f>
        <v>20</v>
      </c>
      <c r="N21" s="142">
        <f>IF(ISNUMBER(SEARCH('Карта учёта'!$B$22,Расходка[Наименование расходного материала])),MAX($N$1:N20)+1,0)</f>
        <v>20</v>
      </c>
      <c r="O21" s="140">
        <f>IF(ISNUMBER(SEARCH('Карта учёта'!$B$23,Расходка[Наименование расходного материала])),MAX($O$1:O20)+1,0)</f>
        <v>20</v>
      </c>
      <c r="P21" s="140">
        <f>IF(ISNUMBER(SEARCH('Карта учёта'!$B$24,Расходка[Наименование расходного материала])),MAX($P$1:P20)+1,0)</f>
        <v>20</v>
      </c>
      <c r="Q21" s="140">
        <f>IF(ISNUMBER(SEARCH('Карта учёта'!$B$25,Расходка[Наименование расходного материала])),MAX($Q$1:Q20)+1,0)</f>
        <v>20</v>
      </c>
      <c r="R21" s="139" t="str">
        <f>IFERROR(INDEX(Расходка[Наименование расходного материала],MATCH(Расходка[№],Поиск_расходки[Индекс1],0)),"")</f>
        <v/>
      </c>
      <c r="S21" s="139" t="str">
        <f>IFERROR(INDEX(Расходка[Наименование расходного материала],MATCH(Расходка[№],Поиск_расходки[Индекс2],0)),"")</f>
        <v/>
      </c>
      <c r="T21" s="139" t="str">
        <f>IFERROR(INDEX(Расходка[Наименование расходного материала],MATCH(Расходка[№],Поиск_расходки[Индекс3],0)),"")</f>
        <v/>
      </c>
      <c r="U21" s="139" t="str">
        <f>IFERROR(INDEX(Расходка[Наименование расходного материала],MATCH(Расходка[№],Поиск_расходки[Индекс4],0)),"")</f>
        <v/>
      </c>
      <c r="V21" s="139" t="str">
        <f>IFERROR(INDEX(Расходка[Наименование расходного материала],MATCH(Расходка[№],Поиск_расходки[Индекс5],0)),"")</f>
        <v/>
      </c>
      <c r="W21" s="139" t="str">
        <f>IFERROR(INDEX(Расходка[Наименование расходного материала],MATCH(Расходка[№],Поиск_расходки[Индекс6],0)),"")</f>
        <v/>
      </c>
      <c r="X21" s="139" t="str">
        <f>IFERROR(INDEX(Расходка[Наименование расходного материала],MATCH(Расходка[№],Поиск_расходки[Индекс7],0)),"")</f>
        <v/>
      </c>
      <c r="Y21" s="139" t="str">
        <f>IFERROR(INDEX(Расходка[Наименование расходного материала],MATCH(Расходка[№],Поиск_расходки[Индекс8],0)),"")</f>
        <v>DES, Calipso</v>
      </c>
      <c r="Z21" s="139" t="str">
        <f>IFERROR(INDEX(Расходка[Наименование расходного материала],MATCH(Расходка[№],Поиск_расходки[Индекс9],0)),"")</f>
        <v>DES, Calipso</v>
      </c>
      <c r="AA21" s="139" t="str">
        <f>IFERROR(INDEX(Расходка[Наименование расходного материала],MATCH(Расходка[№],Поиск_расходки[Индекс10],0)),"")</f>
        <v>DES, Calipso</v>
      </c>
      <c r="AB21" s="139" t="str">
        <f>IFERROR(INDEX(Расходка[Наименование расходного материала],MATCH(Расходка[№],Поиск_расходки[Индекс11],0)),"")</f>
        <v>DES, Calipso</v>
      </c>
      <c r="AC21" s="139" t="str">
        <f>IFERROR(INDEX(Расходка[Наименование расходного материала],MATCH(Расходка[№],Поиск_расходки[Индекс12],0)),"")</f>
        <v>DES, Calipso</v>
      </c>
      <c r="AD21" s="139" t="str">
        <f>IFERROR(INDEX(Расходка[Наименование расходного материала],MATCH(Расходка[№],Поиск_расходки[Индекс13],0)),"")</f>
        <v>DES, Calipso</v>
      </c>
      <c r="AF21" s="4" t="s">
        <v>5</v>
      </c>
      <c r="AG21" s="4" t="s">
        <v>117</v>
      </c>
    </row>
    <row r="22" spans="1:33">
      <c r="A22">
        <v>21</v>
      </c>
      <c r="B22" t="s">
        <v>6</v>
      </c>
      <c r="C22" s="197" t="s">
        <v>431</v>
      </c>
      <c r="E22" s="140">
        <f>IF(ISNUMBER(SEARCH('Карта учёта'!$B$13,Расходка[[#This Row],[Наименование расходного материала]])),MAX($E$1:E21)+1,0)</f>
        <v>0</v>
      </c>
      <c r="F22" s="140">
        <f>IF(ISNUMBER(SEARCH('Карта учёта'!$B$14,Расходка[[#This Row],[Наименование расходного материала]])),MAX($F$1:F21)+1,0)</f>
        <v>0</v>
      </c>
      <c r="G22" s="140">
        <f>IF(ISNUMBER(SEARCH('Карта учёта'!$B$15,Расходка[Наименование расходного материала])),MAX($G$1:G21)+1,0)</f>
        <v>0</v>
      </c>
      <c r="H22" s="140">
        <f>IF(ISNUMBER(SEARCH('Карта учёта'!$B$16,Расходка[Наименование расходного материала])),MAX($H$1:H21)+1,0)</f>
        <v>0</v>
      </c>
      <c r="I22" s="140">
        <f>IF(ISNUMBER(SEARCH('Карта учёта'!$B$17,Расходка[Наименование расходного материала])),MAX($I$1:I21)+1,0)</f>
        <v>0</v>
      </c>
      <c r="J22" s="140">
        <f>IF(ISNUMBER(SEARCH('Карта учёта'!$B$18,Расходка[Наименование расходного материала])),MAX($J$1:J21)+1,0)</f>
        <v>0</v>
      </c>
      <c r="K22" s="140">
        <f>IF(ISNUMBER(SEARCH('Карта учёта'!$B$19,Расходка[Наименование расходного материала])),MAX($K$1:K21)+1,0)</f>
        <v>0</v>
      </c>
      <c r="L22" s="140">
        <f>IF(ISNUMBER(SEARCH('Карта учёта'!$B$20,Расходка[Наименование расходного материала])),MAX($L$1:L21)+1,0)</f>
        <v>21</v>
      </c>
      <c r="M22" s="140">
        <f>IF(ISNUMBER(SEARCH('Карта учёта'!$B$21,Расходка[Наименование расходного материала])),MAX($M$1:M21)+1,0)</f>
        <v>21</v>
      </c>
      <c r="N22" s="142">
        <f>IF(ISNUMBER(SEARCH('Карта учёта'!$B$22,Расходка[Наименование расходного материала])),MAX($N$1:N21)+1,0)</f>
        <v>21</v>
      </c>
      <c r="O22" s="140">
        <f>IF(ISNUMBER(SEARCH('Карта учёта'!$B$23,Расходка[Наименование расходного материала])),MAX($O$1:O21)+1,0)</f>
        <v>21</v>
      </c>
      <c r="P22" s="140">
        <f>IF(ISNUMBER(SEARCH('Карта учёта'!$B$24,Расходка[Наименование расходного материала])),MAX($P$1:P21)+1,0)</f>
        <v>21</v>
      </c>
      <c r="Q22" s="140">
        <f>IF(ISNUMBER(SEARCH('Карта учёта'!$B$25,Расходка[Наименование расходного материала])),MAX($Q$1:Q21)+1,0)</f>
        <v>21</v>
      </c>
      <c r="R22" s="139" t="str">
        <f>IFERROR(INDEX(Расходка[Наименование расходного материала],MATCH(Расходка[№],Поиск_расходки[Индекс1],0)),"")</f>
        <v/>
      </c>
      <c r="S22" s="139" t="str">
        <f>IFERROR(INDEX(Расходка[Наименование расходного материала],MATCH(Расходка[№],Поиск_расходки[Индекс2],0)),"")</f>
        <v/>
      </c>
      <c r="T22" s="139" t="str">
        <f>IFERROR(INDEX(Расходка[Наименование расходного материала],MATCH(Расходка[№],Поиск_расходки[Индекс3],0)),"")</f>
        <v/>
      </c>
      <c r="U22" s="139" t="str">
        <f>IFERROR(INDEX(Расходка[Наименование расходного материала],MATCH(Расходка[№],Поиск_расходки[Индекс4],0)),"")</f>
        <v/>
      </c>
      <c r="V22" s="139" t="str">
        <f>IFERROR(INDEX(Расходка[Наименование расходного материала],MATCH(Расходка[№],Поиск_расходки[Индекс5],0)),"")</f>
        <v/>
      </c>
      <c r="W22" s="139" t="str">
        <f>IFERROR(INDEX(Расходка[Наименование расходного материала],MATCH(Расходка[№],Поиск_расходки[Индекс6],0)),"")</f>
        <v/>
      </c>
      <c r="X22" s="139" t="str">
        <f>IFERROR(INDEX(Расходка[Наименование расходного материала],MATCH(Расходка[№],Поиск_расходки[Индекс7],0)),"")</f>
        <v/>
      </c>
      <c r="Y22" s="139" t="str">
        <f>IFERROR(INDEX(Расходка[Наименование расходного материала],MATCH(Расходка[№],Поиск_расходки[Индекс8],0)),"")</f>
        <v>DES, NanoMed</v>
      </c>
      <c r="Z22" s="139" t="str">
        <f>IFERROR(INDEX(Расходка[Наименование расходного материала],MATCH(Расходка[№],Поиск_расходки[Индекс9],0)),"")</f>
        <v>DES, NanoMed</v>
      </c>
      <c r="AA22" s="139" t="str">
        <f>IFERROR(INDEX(Расходка[Наименование расходного материала],MATCH(Расходка[№],Поиск_расходки[Индекс10],0)),"")</f>
        <v>DES, NanoMed</v>
      </c>
      <c r="AB22" s="139" t="str">
        <f>IFERROR(INDEX(Расходка[Наименование расходного материала],MATCH(Расходка[№],Поиск_расходки[Индекс11],0)),"")</f>
        <v>DES, NanoMed</v>
      </c>
      <c r="AC22" s="139" t="str">
        <f>IFERROR(INDEX(Расходка[Наименование расходного материала],MATCH(Расходка[№],Поиск_расходки[Индекс12],0)),"")</f>
        <v>DES, NanoMed</v>
      </c>
      <c r="AD22" s="139" t="str">
        <f>IFERROR(INDEX(Расходка[Наименование расходного материала],MATCH(Расходка[№],Поиск_расходки[Индекс13],0)),"")</f>
        <v>DES, NanoMed</v>
      </c>
      <c r="AF22" s="4" t="s">
        <v>5</v>
      </c>
      <c r="AG22" s="4" t="s">
        <v>118</v>
      </c>
    </row>
    <row r="23" spans="1:33">
      <c r="A23">
        <v>22</v>
      </c>
      <c r="B23" t="s">
        <v>6</v>
      </c>
      <c r="C23" s="1" t="s">
        <v>346</v>
      </c>
      <c r="E23" s="140">
        <f>IF(ISNUMBER(SEARCH('Карта учёта'!$B$13,Расходка[[#This Row],[Наименование расходного материала]])),MAX($E$1:E22)+1,0)</f>
        <v>0</v>
      </c>
      <c r="F23" s="140">
        <f>IF(ISNUMBER(SEARCH('Карта учёта'!$B$14,Расходка[[#This Row],[Наименование расходного материала]])),MAX($F$1:F22)+1,0)</f>
        <v>0</v>
      </c>
      <c r="G23" s="140">
        <f>IF(ISNUMBER(SEARCH('Карта учёта'!$B$15,Расходка[Наименование расходного материала])),MAX($G$1:G22)+1,0)</f>
        <v>0</v>
      </c>
      <c r="H23" s="140">
        <f>IF(ISNUMBER(SEARCH('Карта учёта'!$B$16,Расходка[Наименование расходного материала])),MAX($H$1:H22)+1,0)</f>
        <v>0</v>
      </c>
      <c r="I23" s="140">
        <f>IF(ISNUMBER(SEARCH('Карта учёта'!$B$17,Расходка[Наименование расходного материала])),MAX($I$1:I22)+1,0)</f>
        <v>0</v>
      </c>
      <c r="J23" s="140">
        <f>IF(ISNUMBER(SEARCH('Карта учёта'!$B$18,Расходка[Наименование расходного материала])),MAX($J$1:J22)+1,0)</f>
        <v>0</v>
      </c>
      <c r="K23" s="140">
        <f>IF(ISNUMBER(SEARCH('Карта учёта'!$B$19,Расходка[Наименование расходного материала])),MAX($K$1:K22)+1,0)</f>
        <v>0</v>
      </c>
      <c r="L23" s="140">
        <f>IF(ISNUMBER(SEARCH('Карта учёта'!$B$20,Расходка[Наименование расходного материала])),MAX($L$1:L22)+1,0)</f>
        <v>22</v>
      </c>
      <c r="M23" s="140">
        <f>IF(ISNUMBER(SEARCH('Карта учёта'!$B$21,Расходка[Наименование расходного материала])),MAX($M$1:M22)+1,0)</f>
        <v>22</v>
      </c>
      <c r="N23" s="142">
        <f>IF(ISNUMBER(SEARCH('Карта учёта'!$B$22,Расходка[Наименование расходного материала])),MAX($N$1:N22)+1,0)</f>
        <v>22</v>
      </c>
      <c r="O23" s="140">
        <f>IF(ISNUMBER(SEARCH('Карта учёта'!$B$23,Расходка[Наименование расходного материала])),MAX($O$1:O22)+1,0)</f>
        <v>22</v>
      </c>
      <c r="P23" s="140">
        <f>IF(ISNUMBER(SEARCH('Карта учёта'!$B$24,Расходка[Наименование расходного материала])),MAX($P$1:P22)+1,0)</f>
        <v>22</v>
      </c>
      <c r="Q23" s="140">
        <f>IF(ISNUMBER(SEARCH('Карта учёта'!$B$25,Расходка[Наименование расходного материала])),MAX($Q$1:Q22)+1,0)</f>
        <v>22</v>
      </c>
      <c r="R23" s="139" t="str">
        <f>IFERROR(INDEX(Расходка[Наименование расходного материала],MATCH(Расходка[№],Поиск_расходки[Индекс1],0)),"")</f>
        <v/>
      </c>
      <c r="S23" s="139" t="str">
        <f>IFERROR(INDEX(Расходка[Наименование расходного материала],MATCH(Расходка[№],Поиск_расходки[Индекс2],0)),"")</f>
        <v/>
      </c>
      <c r="T23" s="139" t="str">
        <f>IFERROR(INDEX(Расходка[Наименование расходного материала],MATCH(Расходка[№],Поиск_расходки[Индекс3],0)),"")</f>
        <v/>
      </c>
      <c r="U23" s="139" t="str">
        <f>IFERROR(INDEX(Расходка[Наименование расходного материала],MATCH(Расходка[№],Поиск_расходки[Индекс4],0)),"")</f>
        <v/>
      </c>
      <c r="V23" s="139" t="str">
        <f>IFERROR(INDEX(Расходка[Наименование расходного материала],MATCH(Расходка[№],Поиск_расходки[Индекс5],0)),"")</f>
        <v/>
      </c>
      <c r="W23" s="139" t="str">
        <f>IFERROR(INDEX(Расходка[Наименование расходного материала],MATCH(Расходка[№],Поиск_расходки[Индекс6],0)),"")</f>
        <v/>
      </c>
      <c r="X23" s="139" t="str">
        <f>IFERROR(INDEX(Расходка[Наименование расходного материала],MATCH(Расходка[№],Поиск_расходки[Индекс7],0)),"")</f>
        <v/>
      </c>
      <c r="Y23" s="139" t="str">
        <f>IFERROR(INDEX(Расходка[Наименование расходного материала],MATCH(Расходка[№],Поиск_расходки[Индекс8],0)),"")</f>
        <v>BMS, Integtity</v>
      </c>
      <c r="Z23" s="139" t="str">
        <f>IFERROR(INDEX(Расходка[Наименование расходного материала],MATCH(Расходка[№],Поиск_расходки[Индекс9],0)),"")</f>
        <v>BMS, Integtity</v>
      </c>
      <c r="AA23" s="139" t="str">
        <f>IFERROR(INDEX(Расходка[Наименование расходного материала],MATCH(Расходка[№],Поиск_расходки[Индекс10],0)),"")</f>
        <v>BMS, Integtity</v>
      </c>
      <c r="AB23" s="139" t="str">
        <f>IFERROR(INDEX(Расходка[Наименование расходного материала],MATCH(Расходка[№],Поиск_расходки[Индекс11],0)),"")</f>
        <v>BMS, Integtity</v>
      </c>
      <c r="AC23" s="139" t="str">
        <f>IFERROR(INDEX(Расходка[Наименование расходного материала],MATCH(Расходка[№],Поиск_расходки[Индекс12],0)),"")</f>
        <v>BMS, Integtity</v>
      </c>
      <c r="AD23" s="139" t="str">
        <f>IFERROR(INDEX(Расходка[Наименование расходного материала],MATCH(Расходка[№],Поиск_расходки[Индекс13],0)),"")</f>
        <v>BMS, Integtity</v>
      </c>
      <c r="AF23" s="4" t="s">
        <v>5</v>
      </c>
      <c r="AG23" s="4" t="s">
        <v>119</v>
      </c>
    </row>
    <row r="24" spans="1:33">
      <c r="A24">
        <v>23</v>
      </c>
      <c r="B24" t="s">
        <v>123</v>
      </c>
      <c r="C24" s="1" t="s">
        <v>403</v>
      </c>
      <c r="E24" s="140">
        <f>IF(ISNUMBER(SEARCH('Карта учёта'!$B$13,Расходка[[#This Row],[Наименование расходного материала]])),MAX($E$1:E23)+1,0)</f>
        <v>0</v>
      </c>
      <c r="F24" s="140">
        <f>IF(ISNUMBER(SEARCH('Карта учёта'!$B$14,Расходка[[#This Row],[Наименование расходного материала]])),MAX($F$1:F23)+1,0)</f>
        <v>0</v>
      </c>
      <c r="G24" s="140">
        <f>IF(ISNUMBER(SEARCH('Карта учёта'!$B$15,Расходка[Наименование расходного материала])),MAX($G$1:G23)+1,0)</f>
        <v>0</v>
      </c>
      <c r="H24" s="140">
        <f>IF(ISNUMBER(SEARCH('Карта учёта'!$B$16,Расходка[Наименование расходного материала])),MAX($H$1:H23)+1,0)</f>
        <v>0</v>
      </c>
      <c r="I24" s="140">
        <f>IF(ISNUMBER(SEARCH('Карта учёта'!$B$17,Расходка[Наименование расходного материала])),MAX($I$1:I23)+1,0)</f>
        <v>0</v>
      </c>
      <c r="J24" s="140">
        <f>IF(ISNUMBER(SEARCH('Карта учёта'!$B$18,Расходка[Наименование расходного материала])),MAX($J$1:J23)+1,0)</f>
        <v>0</v>
      </c>
      <c r="K24" s="140">
        <f>IF(ISNUMBER(SEARCH('Карта учёта'!$B$19,Расходка[Наименование расходного материала])),MAX($K$1:K23)+1,0)</f>
        <v>0</v>
      </c>
      <c r="L24" s="140">
        <f>IF(ISNUMBER(SEARCH('Карта учёта'!$B$20,Расходка[Наименование расходного материала])),MAX($L$1:L23)+1,0)</f>
        <v>23</v>
      </c>
      <c r="M24" s="140">
        <f>IF(ISNUMBER(SEARCH('Карта учёта'!$B$21,Расходка[Наименование расходного материала])),MAX($M$1:M23)+1,0)</f>
        <v>23</v>
      </c>
      <c r="N24" s="142">
        <f>IF(ISNUMBER(SEARCH('Карта учёта'!$B$22,Расходка[Наименование расходного материала])),MAX($N$1:N23)+1,0)</f>
        <v>23</v>
      </c>
      <c r="O24" s="140">
        <f>IF(ISNUMBER(SEARCH('Карта учёта'!$B$23,Расходка[Наименование расходного материала])),MAX($O$1:O23)+1,0)</f>
        <v>23</v>
      </c>
      <c r="P24" s="140">
        <f>IF(ISNUMBER(SEARCH('Карта учёта'!$B$24,Расходка[Наименование расходного материала])),MAX($P$1:P23)+1,0)</f>
        <v>23</v>
      </c>
      <c r="Q24" s="140">
        <f>IF(ISNUMBER(SEARCH('Карта учёта'!$B$25,Расходка[Наименование расходного материала])),MAX($Q$1:Q23)+1,0)</f>
        <v>23</v>
      </c>
      <c r="R24" s="139" t="str">
        <f>IFERROR(INDEX(Расходка[Наименование расходного материала],MATCH(Расходка[№],Поиск_расходки[Индекс1],0)),"")</f>
        <v/>
      </c>
      <c r="S24" s="139" t="str">
        <f>IFERROR(INDEX(Расходка[Наименование расходного материала],MATCH(Расходка[№],Поиск_расходки[Индекс2],0)),"")</f>
        <v/>
      </c>
      <c r="T24" s="139" t="str">
        <f>IFERROR(INDEX(Расходка[Наименование расходного материала],MATCH(Расходка[№],Поиск_расходки[Индекс3],0)),"")</f>
        <v/>
      </c>
      <c r="U24" s="139" t="str">
        <f>IFERROR(INDEX(Расходка[Наименование расходного материала],MATCH(Расходка[№],Поиск_расходки[Индекс4],0)),"")</f>
        <v/>
      </c>
      <c r="V24" s="139" t="str">
        <f>IFERROR(INDEX(Расходка[Наименование расходного материала],MATCH(Расходка[№],Поиск_расходки[Индекс5],0)),"")</f>
        <v/>
      </c>
      <c r="W24" s="139" t="str">
        <f>IFERROR(INDEX(Расходка[Наименование расходного материала],MATCH(Расходка[№],Поиск_расходки[Индекс6],0)),"")</f>
        <v/>
      </c>
      <c r="X24" s="139" t="str">
        <f>IFERROR(INDEX(Расходка[Наименование расходного материала],MATCH(Расходка[№],Поиск_расходки[Индекс7],0)),"")</f>
        <v/>
      </c>
      <c r="Y24" s="139" t="str">
        <f>IFERROR(INDEX(Расходка[Наименование расходного материала],MATCH(Расходка[№],Поиск_расходки[Индекс8],0)),"")</f>
        <v>Guidezilla™ II 6F</v>
      </c>
      <c r="Z24" s="139" t="str">
        <f>IFERROR(INDEX(Расходка[Наименование расходного материала],MATCH(Расходка[№],Поиск_расходки[Индекс9],0)),"")</f>
        <v>Guidezilla™ II 6F</v>
      </c>
      <c r="AA24" s="139" t="str">
        <f>IFERROR(INDEX(Расходка[Наименование расходного материала],MATCH(Расходка[№],Поиск_расходки[Индекс10],0)),"")</f>
        <v>Guidezilla™ II 6F</v>
      </c>
      <c r="AB24" s="139" t="str">
        <f>IFERROR(INDEX(Расходка[Наименование расходного материала],MATCH(Расходка[№],Поиск_расходки[Индекс11],0)),"")</f>
        <v>Guidezilla™ II 6F</v>
      </c>
      <c r="AC24" s="139" t="str">
        <f>IFERROR(INDEX(Расходка[Наименование расходного материала],MATCH(Расходка[№],Поиск_расходки[Индекс12],0)),"")</f>
        <v>Guidezilla™ II 6F</v>
      </c>
      <c r="AD24" s="139" t="str">
        <f>IFERROR(INDEX(Расходка[Наименование расходного материала],MATCH(Расходка[№],Поиск_расходки[Индекс13],0)),"")</f>
        <v>Guidezilla™ II 6F</v>
      </c>
      <c r="AF24" s="4" t="s">
        <v>5</v>
      </c>
      <c r="AG24" s="4" t="s">
        <v>120</v>
      </c>
    </row>
    <row r="25" spans="1:33">
      <c r="A25">
        <v>24</v>
      </c>
      <c r="B25" t="s">
        <v>123</v>
      </c>
      <c r="C25" s="1" t="s">
        <v>429</v>
      </c>
      <c r="E25" s="140">
        <f>IF(ISNUMBER(SEARCH('Карта учёта'!$B$13,Расходка[[#This Row],[Наименование расходного материала]])),MAX($E$1:E24)+1,0)</f>
        <v>0</v>
      </c>
      <c r="F25" s="140">
        <f>IF(ISNUMBER(SEARCH('Карта учёта'!$B$14,Расходка[[#This Row],[Наименование расходного материала]])),MAX($F$1:F24)+1,0)</f>
        <v>0</v>
      </c>
      <c r="G25" s="140">
        <f>IF(ISNUMBER(SEARCH('Карта учёта'!$B$15,Расходка[Наименование расходного материала])),MAX($G$1:G24)+1,0)</f>
        <v>0</v>
      </c>
      <c r="H25" s="140">
        <f>IF(ISNUMBER(SEARCH('Карта учёта'!$B$16,Расходка[Наименование расходного материала])),MAX($H$1:H24)+1,0)</f>
        <v>0</v>
      </c>
      <c r="I25" s="140">
        <f>IF(ISNUMBER(SEARCH('Карта учёта'!$B$17,Расходка[Наименование расходного материала])),MAX($I$1:I24)+1,0)</f>
        <v>0</v>
      </c>
      <c r="J25" s="140">
        <f>IF(ISNUMBER(SEARCH('Карта учёта'!$B$18,Расходка[Наименование расходного материала])),MAX($J$1:J24)+1,0)</f>
        <v>0</v>
      </c>
      <c r="K25" s="140">
        <f>IF(ISNUMBER(SEARCH('Карта учёта'!$B$19,Расходка[Наименование расходного материала])),MAX($K$1:K24)+1,0)</f>
        <v>0</v>
      </c>
      <c r="L25" s="140">
        <f>IF(ISNUMBER(SEARCH('Карта учёта'!$B$20,Расходка[Наименование расходного материала])),MAX($L$1:L24)+1,0)</f>
        <v>24</v>
      </c>
      <c r="M25" s="140">
        <f>IF(ISNUMBER(SEARCH('Карта учёта'!$B$21,Расходка[Наименование расходного материала])),MAX($M$1:M24)+1,0)</f>
        <v>24</v>
      </c>
      <c r="N25" s="142">
        <f>IF(ISNUMBER(SEARCH('Карта учёта'!$B$22,Расходка[Наименование расходного материала])),MAX($N$1:N24)+1,0)</f>
        <v>24</v>
      </c>
      <c r="O25" s="140">
        <f>IF(ISNUMBER(SEARCH('Карта учёта'!$B$23,Расходка[Наименование расходного материала])),MAX($O$1:O24)+1,0)</f>
        <v>24</v>
      </c>
      <c r="P25" s="140">
        <f>IF(ISNUMBER(SEARCH('Карта учёта'!$B$24,Расходка[Наименование расходного материала])),MAX($P$1:P24)+1,0)</f>
        <v>24</v>
      </c>
      <c r="Q25" s="140">
        <f>IF(ISNUMBER(SEARCH('Карта учёта'!$B$25,Расходка[Наименование расходного материала])),MAX($Q$1:Q24)+1,0)</f>
        <v>24</v>
      </c>
      <c r="R25" s="139" t="str">
        <f>IFERROR(INDEX(Расходка[Наименование расходного материала],MATCH(Расходка[№],Поиск_расходки[Индекс1],0)),"")</f>
        <v/>
      </c>
      <c r="S25" s="139" t="str">
        <f>IFERROR(INDEX(Расходка[Наименование расходного материала],MATCH(Расходка[№],Поиск_расходки[Индекс2],0)),"")</f>
        <v/>
      </c>
      <c r="T25" s="139" t="str">
        <f>IFERROR(INDEX(Расходка[Наименование расходного материала],MATCH(Расходка[№],Поиск_расходки[Индекс3],0)),"")</f>
        <v/>
      </c>
      <c r="U25" s="139" t="str">
        <f>IFERROR(INDEX(Расходка[Наименование расходного материала],MATCH(Расходка[№],Поиск_расходки[Индекс4],0)),"")</f>
        <v/>
      </c>
      <c r="V25" s="139" t="str">
        <f>IFERROR(INDEX(Расходка[Наименование расходного материала],MATCH(Расходка[№],Поиск_расходки[Индекс5],0)),"")</f>
        <v/>
      </c>
      <c r="W25" s="139" t="str">
        <f>IFERROR(INDEX(Расходка[Наименование расходного материала],MATCH(Расходка[№],Поиск_расходки[Индекс6],0)),"")</f>
        <v/>
      </c>
      <c r="X25" s="139" t="str">
        <f>IFERROR(INDEX(Расходка[Наименование расходного материала],MATCH(Расходка[№],Поиск_расходки[Индекс7],0)),"")</f>
        <v/>
      </c>
      <c r="Y25" s="139" t="str">
        <f>IFERROR(INDEX(Расходка[Наименование расходного материала],MATCH(Расходка[№],Поиск_расходки[Индекс8],0)),"")</f>
        <v>Telescope ™ II 6F</v>
      </c>
      <c r="Z25" s="139" t="str">
        <f>IFERROR(INDEX(Расходка[Наименование расходного материала],MATCH(Расходка[№],Поиск_расходки[Индекс9],0)),"")</f>
        <v>Telescope ™ II 6F</v>
      </c>
      <c r="AA25" s="139" t="str">
        <f>IFERROR(INDEX(Расходка[Наименование расходного материала],MATCH(Расходка[№],Поиск_расходки[Индекс10],0)),"")</f>
        <v>Telescope ™ II 6F</v>
      </c>
      <c r="AB25" s="139" t="str">
        <f>IFERROR(INDEX(Расходка[Наименование расходного материала],MATCH(Расходка[№],Поиск_расходки[Индекс11],0)),"")</f>
        <v>Telescope ™ II 6F</v>
      </c>
      <c r="AC25" s="139" t="str">
        <f>IFERROR(INDEX(Расходка[Наименование расходного материала],MATCH(Расходка[№],Поиск_расходки[Индекс12],0)),"")</f>
        <v>Telescope ™ II 6F</v>
      </c>
      <c r="AD25" s="139" t="str">
        <f>IFERROR(INDEX(Расходка[Наименование расходного материала],MATCH(Расходка[№],Поиск_расходки[Индекс13],0)),"")</f>
        <v>Telescope ™ II 6F</v>
      </c>
      <c r="AF25" s="4" t="s">
        <v>5</v>
      </c>
      <c r="AG25" s="4" t="s">
        <v>121</v>
      </c>
    </row>
    <row r="26" spans="1:33">
      <c r="A26">
        <v>25</v>
      </c>
      <c r="B26" t="s">
        <v>4</v>
      </c>
      <c r="C26" t="s">
        <v>404</v>
      </c>
      <c r="E26" s="142">
        <f>IF(ISNUMBER(SEARCH('Карта учёта'!$B$13,Расходка[[#This Row],[Наименование расходного материала]])),MAX($E$1:E25)+1,0)</f>
        <v>0</v>
      </c>
      <c r="F26" s="142">
        <f>IF(ISNUMBER(SEARCH('Карта учёта'!$B$14,Расходка[[#This Row],[Наименование расходного материала]])),MAX($F$1:F25)+1,0)</f>
        <v>1</v>
      </c>
      <c r="G26" s="142">
        <f>IF(ISNUMBER(SEARCH('Карта учёта'!$B$15,Расходка[Наименование расходного материала])),MAX($G$1:G25)+1,0)</f>
        <v>0</v>
      </c>
      <c r="H26" s="142">
        <f>IF(ISNUMBER(SEARCH('Карта учёта'!$B$16,Расходка[Наименование расходного материала])),MAX($H$1:H25)+1,0)</f>
        <v>0</v>
      </c>
      <c r="I26" s="142">
        <f>IF(ISNUMBER(SEARCH('Карта учёта'!$B$17,Расходка[Наименование расходного материала])),MAX($I$1:I25)+1,0)</f>
        <v>0</v>
      </c>
      <c r="J26" s="142">
        <f>IF(ISNUMBER(SEARCH('Карта учёта'!$B$18,Расходка[Наименование расходного материала])),MAX($J$1:J25)+1,0)</f>
        <v>0</v>
      </c>
      <c r="K26" s="142">
        <f>IF(ISNUMBER(SEARCH('Карта учёта'!$B$19,Расходка[Наименование расходного материала])),MAX($K$1:K25)+1,0)</f>
        <v>0</v>
      </c>
      <c r="L26" s="142">
        <f>IF(ISNUMBER(SEARCH('Карта учёта'!$B$20,Расходка[Наименование расходного материала])),MAX($L$1:L25)+1,0)</f>
        <v>25</v>
      </c>
      <c r="M26" s="142">
        <f>IF(ISNUMBER(SEARCH('Карта учёта'!$B$21,Расходка[Наименование расходного материала])),MAX($M$1:M25)+1,0)</f>
        <v>25</v>
      </c>
      <c r="N26" s="142">
        <f>IF(ISNUMBER(SEARCH('Карта учёта'!$B$22,Расходка[Наименование расходного материала])),MAX($N$1:N25)+1,0)</f>
        <v>25</v>
      </c>
      <c r="O26" s="142">
        <f>IF(ISNUMBER(SEARCH('Карта учёта'!$B$23,Расходка[Наименование расходного материала])),MAX($O$1:O25)+1,0)</f>
        <v>25</v>
      </c>
      <c r="P26" s="142">
        <f>IF(ISNUMBER(SEARCH('Карта учёта'!$B$24,Расходка[Наименование расходного материала])),MAX($P$1:P25)+1,0)</f>
        <v>25</v>
      </c>
      <c r="Q26" s="142">
        <f>IF(ISNUMBER(SEARCH('Карта учёта'!$B$25,Расходка[Наименование расходного материала])),MAX($Q$1:Q25)+1,0)</f>
        <v>25</v>
      </c>
      <c r="R26" s="144" t="str">
        <f>IFERROR(INDEX(Расходка[Наименование расходного материала],MATCH(Расходка[№],Поиск_расходки[Индекс1],0)),"")</f>
        <v/>
      </c>
      <c r="S26" s="144" t="str">
        <f>IFERROR(INDEX(Расходка[Наименование расходного материала],MATCH(Расходка[№],Поиск_расходки[Индекс2],0)),"")</f>
        <v/>
      </c>
      <c r="T26" s="144" t="str">
        <f>IFERROR(INDEX(Расходка[Наименование расходного материала],MATCH(Расходка[№],Поиск_расходки[Индекс3],0)),"")</f>
        <v/>
      </c>
      <c r="U26" s="144" t="str">
        <f>IFERROR(INDEX(Расходка[Наименование расходного материала],MATCH(Расходка[№],Поиск_расходки[Индекс4],0)),"")</f>
        <v/>
      </c>
      <c r="V26" s="144" t="str">
        <f>IFERROR(INDEX(Расходка[Наименование расходного материала],MATCH(Расходка[№],Поиск_расходки[Индекс5],0)),"")</f>
        <v/>
      </c>
      <c r="W26" s="144" t="str">
        <f>IFERROR(INDEX(Расходка[Наименование расходного материала],MATCH(Расходка[№],Поиск_расходки[Индекс6],0)),"")</f>
        <v/>
      </c>
      <c r="X26" s="144" t="str">
        <f>IFERROR(INDEX(Расходка[Наименование расходного материала],MATCH(Расходка[№],Поиск_расходки[Индекс7],0)),"")</f>
        <v/>
      </c>
      <c r="Y26" s="144" t="str">
        <f>IFERROR(INDEX(Расходка[Наименование расходного материала],MATCH(Расходка[№],Поиск_расходки[Индекс8],0)),"")</f>
        <v>Launcher 6F EBU 3.5</v>
      </c>
      <c r="Z26" s="144" t="str">
        <f>IFERROR(INDEX(Расходка[Наименование расходного материала],MATCH(Расходка[№],Поиск_расходки[Индекс9],0)),"")</f>
        <v>Launcher 6F EBU 3.5</v>
      </c>
      <c r="AA26" s="144" t="str">
        <f>IFERROR(INDEX(Расходка[Наименование расходного материала],MATCH(Расходка[№],Поиск_расходки[Индекс10],0)),"")</f>
        <v>Launcher 6F EBU 3.5</v>
      </c>
      <c r="AB26" s="144" t="str">
        <f>IFERROR(INDEX(Расходка[Наименование расходного материала],MATCH(Расходка[№],Поиск_расходки[Индекс11],0)),"")</f>
        <v>Launcher 6F EBU 3.5</v>
      </c>
      <c r="AC26" s="144" t="str">
        <f>IFERROR(INDEX(Расходка[Наименование расходного материала],MATCH(Расходка[№],Поиск_расходки[Индекс12],0)),"")</f>
        <v>Launcher 6F EBU 3.5</v>
      </c>
      <c r="AD26" s="144" t="str">
        <f>IFERROR(INDEX(Расходка[Наименование расходного материала],MATCH(Расходка[№],Поиск_расходки[Индекс13],0)),"")</f>
        <v>Launcher 6F EBU 3.5</v>
      </c>
      <c r="AF26" s="4" t="s">
        <v>5</v>
      </c>
      <c r="AG26" s="4" t="s">
        <v>375</v>
      </c>
    </row>
    <row r="27" spans="1:33">
      <c r="A27">
        <v>26</v>
      </c>
      <c r="B27" t="s">
        <v>4</v>
      </c>
      <c r="C27" t="s">
        <v>405</v>
      </c>
      <c r="E27" s="142">
        <f>IF(ISNUMBER(SEARCH('Карта учёта'!$B$13,Расходка[[#This Row],[Наименование расходного материала]])),MAX($E$1:E26)+1,0)</f>
        <v>0</v>
      </c>
      <c r="F27" s="142">
        <f>IF(ISNUMBER(SEARCH('Карта учёта'!$B$14,Расходка[[#This Row],[Наименование расходного материала]])),MAX($F$1:F26)+1,0)</f>
        <v>0</v>
      </c>
      <c r="G27" s="142">
        <f>IF(ISNUMBER(SEARCH('Карта учёта'!$B$15,Расходка[Наименование расходного материала])),MAX($G$1:G26)+1,0)</f>
        <v>0</v>
      </c>
      <c r="H27" s="142">
        <f>IF(ISNUMBER(SEARCH('Карта учёта'!$B$16,Расходка[Наименование расходного материала])),MAX($H$1:H26)+1,0)</f>
        <v>0</v>
      </c>
      <c r="I27" s="142">
        <f>IF(ISNUMBER(SEARCH('Карта учёта'!$B$17,Расходка[Наименование расходного материала])),MAX($I$1:I26)+1,0)</f>
        <v>0</v>
      </c>
      <c r="J27" s="142">
        <f>IF(ISNUMBER(SEARCH('Карта учёта'!$B$18,Расходка[Наименование расходного материала])),MAX($J$1:J26)+1,0)</f>
        <v>0</v>
      </c>
      <c r="K27" s="142">
        <f>IF(ISNUMBER(SEARCH('Карта учёта'!$B$19,Расходка[Наименование расходного материала])),MAX($K$1:K26)+1,0)</f>
        <v>0</v>
      </c>
      <c r="L27" s="142">
        <f>IF(ISNUMBER(SEARCH('Карта учёта'!$B$20,Расходка[Наименование расходного материала])),MAX($L$1:L26)+1,0)</f>
        <v>26</v>
      </c>
      <c r="M27" s="142">
        <f>IF(ISNUMBER(SEARCH('Карта учёта'!$B$21,Расходка[Наименование расходного материала])),MAX($M$1:M26)+1,0)</f>
        <v>26</v>
      </c>
      <c r="N27" s="142">
        <f>IF(ISNUMBER(SEARCH('Карта учёта'!$B$22,Расходка[Наименование расходного материала])),MAX($N$1:N26)+1,0)</f>
        <v>26</v>
      </c>
      <c r="O27" s="142">
        <f>IF(ISNUMBER(SEARCH('Карта учёта'!$B$23,Расходка[Наименование расходного материала])),MAX($O$1:O26)+1,0)</f>
        <v>26</v>
      </c>
      <c r="P27" s="142">
        <f>IF(ISNUMBER(SEARCH('Карта учёта'!$B$24,Расходка[Наименование расходного материала])),MAX($P$1:P26)+1,0)</f>
        <v>26</v>
      </c>
      <c r="Q27" s="142">
        <f>IF(ISNUMBER(SEARCH('Карта учёта'!$B$25,Расходка[Наименование расходного материала])),MAX($Q$1:Q26)+1,0)</f>
        <v>26</v>
      </c>
      <c r="R27" s="144" t="str">
        <f>IFERROR(INDEX(Расходка[Наименование расходного материала],MATCH(Расходка[№],Поиск_расходки[Индекс1],0)),"")</f>
        <v/>
      </c>
      <c r="S27" s="144" t="str">
        <f>IFERROR(INDEX(Расходка[Наименование расходного материала],MATCH(Расходка[№],Поиск_расходки[Индекс2],0)),"")</f>
        <v/>
      </c>
      <c r="T27" s="144" t="str">
        <f>IFERROR(INDEX(Расходка[Наименование расходного материала],MATCH(Расходка[№],Поиск_расходки[Индекс3],0)),"")</f>
        <v/>
      </c>
      <c r="U27" s="144" t="str">
        <f>IFERROR(INDEX(Расходка[Наименование расходного материала],MATCH(Расходка[№],Поиск_расходки[Индекс4],0)),"")</f>
        <v/>
      </c>
      <c r="V27" s="144" t="str">
        <f>IFERROR(INDEX(Расходка[Наименование расходного материала],MATCH(Расходка[№],Поиск_расходки[Индекс5],0)),"")</f>
        <v/>
      </c>
      <c r="W27" s="144" t="str">
        <f>IFERROR(INDEX(Расходка[Наименование расходного материала],MATCH(Расходка[№],Поиск_расходки[Индекс6],0)),"")</f>
        <v/>
      </c>
      <c r="X27" s="144" t="str">
        <f>IFERROR(INDEX(Расходка[Наименование расходного материала],MATCH(Расходка[№],Поиск_расходки[Индекс7],0)),"")</f>
        <v/>
      </c>
      <c r="Y27" s="144" t="str">
        <f>IFERROR(INDEX(Расходка[Наименование расходного материала],MATCH(Расходка[№],Поиск_расходки[Индекс8],0)),"")</f>
        <v>Launcher 6F EBU 4.0</v>
      </c>
      <c r="Z27" s="144" t="str">
        <f>IFERROR(INDEX(Расходка[Наименование расходного материала],MATCH(Расходка[№],Поиск_расходки[Индекс9],0)),"")</f>
        <v>Launcher 6F EBU 4.0</v>
      </c>
      <c r="AA27" s="144" t="str">
        <f>IFERROR(INDEX(Расходка[Наименование расходного материала],MATCH(Расходка[№],Поиск_расходки[Индекс10],0)),"")</f>
        <v>Launcher 6F EBU 4.0</v>
      </c>
      <c r="AB27" s="144" t="str">
        <f>IFERROR(INDEX(Расходка[Наименование расходного материала],MATCH(Расходка[№],Поиск_расходки[Индекс11],0)),"")</f>
        <v>Launcher 6F EBU 4.0</v>
      </c>
      <c r="AC27" s="144" t="str">
        <f>IFERROR(INDEX(Расходка[Наименование расходного материала],MATCH(Расходка[№],Поиск_расходки[Индекс12],0)),"")</f>
        <v>Launcher 6F EBU 4.0</v>
      </c>
      <c r="AD27" s="144" t="str">
        <f>IFERROR(INDEX(Расходка[Наименование расходного материала],MATCH(Расходка[№],Поиск_расходки[Индекс13],0)),"")</f>
        <v>Launcher 6F EBU 4.0</v>
      </c>
      <c r="AF27" s="4" t="s">
        <v>5</v>
      </c>
      <c r="AG27" s="4" t="s">
        <v>376</v>
      </c>
    </row>
    <row r="28" spans="1:33">
      <c r="A28">
        <v>27</v>
      </c>
      <c r="B28" t="s">
        <v>4</v>
      </c>
      <c r="C28" t="s">
        <v>406</v>
      </c>
      <c r="E28" s="142">
        <f>IF(ISNUMBER(SEARCH('Карта учёта'!$B$13,Расходка[[#This Row],[Наименование расходного материала]])),MAX($E$1:E27)+1,0)</f>
        <v>0</v>
      </c>
      <c r="F28" s="142">
        <f>IF(ISNUMBER(SEARCH('Карта учёта'!$B$14,Расходка[[#This Row],[Наименование расходного материала]])),MAX($F$1:F27)+1,0)</f>
        <v>0</v>
      </c>
      <c r="G28" s="142">
        <f>IF(ISNUMBER(SEARCH('Карта учёта'!$B$15,Расходка[Наименование расходного материала])),MAX($G$1:G27)+1,0)</f>
        <v>0</v>
      </c>
      <c r="H28" s="142">
        <f>IF(ISNUMBER(SEARCH('Карта учёта'!$B$16,Расходка[Наименование расходного материала])),MAX($H$1:H27)+1,0)</f>
        <v>0</v>
      </c>
      <c r="I28" s="142">
        <f>IF(ISNUMBER(SEARCH('Карта учёта'!$B$17,Расходка[Наименование расходного материала])),MAX($I$1:I27)+1,0)</f>
        <v>0</v>
      </c>
      <c r="J28" s="142">
        <f>IF(ISNUMBER(SEARCH('Карта учёта'!$B$18,Расходка[Наименование расходного материала])),MAX($J$1:J27)+1,0)</f>
        <v>0</v>
      </c>
      <c r="K28" s="142">
        <f>IF(ISNUMBER(SEARCH('Карта учёта'!$B$19,Расходка[Наименование расходного материала])),MAX($K$1:K27)+1,0)</f>
        <v>0</v>
      </c>
      <c r="L28" s="142">
        <f>IF(ISNUMBER(SEARCH('Карта учёта'!$B$20,Расходка[Наименование расходного материала])),MAX($L$1:L27)+1,0)</f>
        <v>27</v>
      </c>
      <c r="M28" s="142">
        <f>IF(ISNUMBER(SEARCH('Карта учёта'!$B$21,Расходка[Наименование расходного материала])),MAX($M$1:M27)+1,0)</f>
        <v>27</v>
      </c>
      <c r="N28" s="142">
        <f>IF(ISNUMBER(SEARCH('Карта учёта'!$B$22,Расходка[Наименование расходного материала])),MAX($N$1:N27)+1,0)</f>
        <v>27</v>
      </c>
      <c r="O28" s="142">
        <f>IF(ISNUMBER(SEARCH('Карта учёта'!$B$23,Расходка[Наименование расходного материала])),MAX($O$1:O27)+1,0)</f>
        <v>27</v>
      </c>
      <c r="P28" s="142">
        <f>IF(ISNUMBER(SEARCH('Карта учёта'!$B$24,Расходка[Наименование расходного материала])),MAX($P$1:P27)+1,0)</f>
        <v>27</v>
      </c>
      <c r="Q28" s="142">
        <f>IF(ISNUMBER(SEARCH('Карта учёта'!$B$25,Расходка[Наименование расходного материала])),MAX($Q$1:Q27)+1,0)</f>
        <v>27</v>
      </c>
      <c r="R28" s="144" t="str">
        <f>IFERROR(INDEX(Расходка[Наименование расходного материала],MATCH(Расходка[№],Поиск_расходки[Индекс1],0)),"")</f>
        <v/>
      </c>
      <c r="S28" s="144" t="str">
        <f>IFERROR(INDEX(Расходка[Наименование расходного материала],MATCH(Расходка[№],Поиск_расходки[Индекс2],0)),"")</f>
        <v/>
      </c>
      <c r="T28" s="144" t="str">
        <f>IFERROR(INDEX(Расходка[Наименование расходного материала],MATCH(Расходка[№],Поиск_расходки[Индекс3],0)),"")</f>
        <v/>
      </c>
      <c r="U28" s="144" t="str">
        <f>IFERROR(INDEX(Расходка[Наименование расходного материала],MATCH(Расходка[№],Поиск_расходки[Индекс4],0)),"")</f>
        <v/>
      </c>
      <c r="V28" s="144" t="str">
        <f>IFERROR(INDEX(Расходка[Наименование расходного материала],MATCH(Расходка[№],Поиск_расходки[Индекс5],0)),"")</f>
        <v/>
      </c>
      <c r="W28" s="144" t="str">
        <f>IFERROR(INDEX(Расходка[Наименование расходного материала],MATCH(Расходка[№],Поиск_расходки[Индекс6],0)),"")</f>
        <v/>
      </c>
      <c r="X28" s="144" t="str">
        <f>IFERROR(INDEX(Расходка[Наименование расходного материала],MATCH(Расходка[№],Поиск_расходки[Индекс7],0)),"")</f>
        <v/>
      </c>
      <c r="Y28" s="144" t="str">
        <f>IFERROR(INDEX(Расходка[Наименование расходного материала],MATCH(Расходка[№],Поиск_расходки[Индекс8],0)),"")</f>
        <v>Launcher 6F JL 3.5</v>
      </c>
      <c r="Z28" s="144" t="str">
        <f>IFERROR(INDEX(Расходка[Наименование расходного материала],MATCH(Расходка[№],Поиск_расходки[Индекс9],0)),"")</f>
        <v>Launcher 6F JL 3.5</v>
      </c>
      <c r="AA28" s="144" t="str">
        <f>IFERROR(INDEX(Расходка[Наименование расходного материала],MATCH(Расходка[№],Поиск_расходки[Индекс10],0)),"")</f>
        <v>Launcher 6F JL 3.5</v>
      </c>
      <c r="AB28" s="144" t="str">
        <f>IFERROR(INDEX(Расходка[Наименование расходного материала],MATCH(Расходка[№],Поиск_расходки[Индекс11],0)),"")</f>
        <v>Launcher 6F JL 3.5</v>
      </c>
      <c r="AC28" s="144" t="str">
        <f>IFERROR(INDEX(Расходка[Наименование расходного материала],MATCH(Расходка[№],Поиск_расходки[Индекс12],0)),"")</f>
        <v>Launcher 6F JL 3.5</v>
      </c>
      <c r="AD28" s="144" t="str">
        <f>IFERROR(INDEX(Расходка[Наименование расходного материала],MATCH(Расходка[№],Поиск_расходки[Индекс13],0)),"")</f>
        <v>Launcher 6F JL 3.5</v>
      </c>
      <c r="AF28" s="4" t="s">
        <v>6</v>
      </c>
      <c r="AG28" s="4" t="s">
        <v>161</v>
      </c>
    </row>
    <row r="29" spans="1:33">
      <c r="A29">
        <v>28</v>
      </c>
      <c r="B29" t="s">
        <v>4</v>
      </c>
      <c r="C29" t="s">
        <v>407</v>
      </c>
      <c r="E29" s="142">
        <f>IF(ISNUMBER(SEARCH('Карта учёта'!$B$13,Расходка[[#This Row],[Наименование расходного материала]])),MAX($E$1:E28)+1,0)</f>
        <v>0</v>
      </c>
      <c r="F29" s="142">
        <f>IF(ISNUMBER(SEARCH('Карта учёта'!$B$14,Расходка[[#This Row],[Наименование расходного материала]])),MAX($F$1:F28)+1,0)</f>
        <v>0</v>
      </c>
      <c r="G29" s="142">
        <f>IF(ISNUMBER(SEARCH('Карта учёта'!$B$15,Расходка[Наименование расходного материала])),MAX($G$1:G28)+1,0)</f>
        <v>0</v>
      </c>
      <c r="H29" s="142">
        <f>IF(ISNUMBER(SEARCH('Карта учёта'!$B$16,Расходка[Наименование расходного материала])),MAX($H$1:H28)+1,0)</f>
        <v>0</v>
      </c>
      <c r="I29" s="142">
        <f>IF(ISNUMBER(SEARCH('Карта учёта'!$B$17,Расходка[Наименование расходного материала])),MAX($I$1:I28)+1,0)</f>
        <v>0</v>
      </c>
      <c r="J29" s="142">
        <f>IF(ISNUMBER(SEARCH('Карта учёта'!$B$18,Расходка[Наименование расходного материала])),MAX($J$1:J28)+1,0)</f>
        <v>0</v>
      </c>
      <c r="K29" s="142">
        <f>IF(ISNUMBER(SEARCH('Карта учёта'!$B$19,Расходка[Наименование расходного материала])),MAX($K$1:K28)+1,0)</f>
        <v>0</v>
      </c>
      <c r="L29" s="142">
        <f>IF(ISNUMBER(SEARCH('Карта учёта'!$B$20,Расходка[Наименование расходного материала])),MAX($L$1:L28)+1,0)</f>
        <v>28</v>
      </c>
      <c r="M29" s="142">
        <f>IF(ISNUMBER(SEARCH('Карта учёта'!$B$21,Расходка[Наименование расходного материала])),MAX($M$1:M28)+1,0)</f>
        <v>28</v>
      </c>
      <c r="N29" s="142">
        <f>IF(ISNUMBER(SEARCH('Карта учёта'!$B$22,Расходка[Наименование расходного материала])),MAX($N$1:N28)+1,0)</f>
        <v>28</v>
      </c>
      <c r="O29" s="142">
        <f>IF(ISNUMBER(SEARCH('Карта учёта'!$B$23,Расходка[Наименование расходного материала])),MAX($O$1:O28)+1,0)</f>
        <v>28</v>
      </c>
      <c r="P29" s="142">
        <f>IF(ISNUMBER(SEARCH('Карта учёта'!$B$24,Расходка[Наименование расходного материала])),MAX($P$1:P28)+1,0)</f>
        <v>28</v>
      </c>
      <c r="Q29" s="142">
        <f>IF(ISNUMBER(SEARCH('Карта учёта'!$B$25,Расходка[Наименование расходного материала])),MAX($Q$1:Q28)+1,0)</f>
        <v>28</v>
      </c>
      <c r="R29" s="144" t="str">
        <f>IFERROR(INDEX(Расходка[Наименование расходного материала],MATCH(Расходка[№],Поиск_расходки[Индекс1],0)),"")</f>
        <v/>
      </c>
      <c r="S29" s="144" t="str">
        <f>IFERROR(INDEX(Расходка[Наименование расходного материала],MATCH(Расходка[№],Поиск_расходки[Индекс2],0)),"")</f>
        <v/>
      </c>
      <c r="T29" s="144" t="str">
        <f>IFERROR(INDEX(Расходка[Наименование расходного материала],MATCH(Расходка[№],Поиск_расходки[Индекс3],0)),"")</f>
        <v/>
      </c>
      <c r="U29" s="144" t="str">
        <f>IFERROR(INDEX(Расходка[Наименование расходного материала],MATCH(Расходка[№],Поиск_расходки[Индекс4],0)),"")</f>
        <v/>
      </c>
      <c r="V29" s="144" t="str">
        <f>IFERROR(INDEX(Расходка[Наименование расходного материала],MATCH(Расходка[№],Поиск_расходки[Индекс5],0)),"")</f>
        <v/>
      </c>
      <c r="W29" s="144" t="str">
        <f>IFERROR(INDEX(Расходка[Наименование расходного материала],MATCH(Расходка[№],Поиск_расходки[Индекс6],0)),"")</f>
        <v/>
      </c>
      <c r="X29" s="144" t="str">
        <f>IFERROR(INDEX(Расходка[Наименование расходного материала],MATCH(Расходка[№],Поиск_расходки[Индекс7],0)),"")</f>
        <v/>
      </c>
      <c r="Y29" s="144" t="str">
        <f>IFERROR(INDEX(Расходка[Наименование расходного материала],MATCH(Расходка[№],Поиск_расходки[Индекс8],0)),"")</f>
        <v>Launcher 6F JL 4.0</v>
      </c>
      <c r="Z29" s="144" t="str">
        <f>IFERROR(INDEX(Расходка[Наименование расходного материала],MATCH(Расходка[№],Поиск_расходки[Индекс9],0)),"")</f>
        <v>Launcher 6F JL 4.0</v>
      </c>
      <c r="AA29" s="144" t="str">
        <f>IFERROR(INDEX(Расходка[Наименование расходного материала],MATCH(Расходка[№],Поиск_расходки[Индекс10],0)),"")</f>
        <v>Launcher 6F JL 4.0</v>
      </c>
      <c r="AB29" s="144" t="str">
        <f>IFERROR(INDEX(Расходка[Наименование расходного материала],MATCH(Расходка[№],Поиск_расходки[Индекс11],0)),"")</f>
        <v>Launcher 6F JL 4.0</v>
      </c>
      <c r="AC29" s="144" t="str">
        <f>IFERROR(INDEX(Расходка[Наименование расходного материала],MATCH(Расходка[№],Поиск_расходки[Индекс12],0)),"")</f>
        <v>Launcher 6F JL 4.0</v>
      </c>
      <c r="AD29" s="144" t="str">
        <f>IFERROR(INDEX(Расходка[Наименование расходного материала],MATCH(Расходка[№],Поиск_расходки[Индекс13],0)),"")</f>
        <v>Launcher 6F JL 4.0</v>
      </c>
      <c r="AF29" s="4" t="s">
        <v>6</v>
      </c>
      <c r="AG29" s="4" t="s">
        <v>422</v>
      </c>
    </row>
    <row r="30" spans="1:33">
      <c r="A30">
        <v>29</v>
      </c>
      <c r="B30" t="s">
        <v>4</v>
      </c>
      <c r="C30" t="s">
        <v>413</v>
      </c>
      <c r="E30" s="142">
        <f>IF(ISNUMBER(SEARCH('Карта учёта'!$B$13,Расходка[[#This Row],[Наименование расходного материала]])),MAX($E$1:E29)+1,0)</f>
        <v>0</v>
      </c>
      <c r="F30" s="142">
        <f>IF(ISNUMBER(SEARCH('Карта учёта'!$B$14,Расходка[[#This Row],[Наименование расходного материала]])),MAX($F$1:F29)+1,0)</f>
        <v>0</v>
      </c>
      <c r="G30" s="142">
        <f>IF(ISNUMBER(SEARCH('Карта учёта'!$B$15,Расходка[Наименование расходного материала])),MAX($G$1:G29)+1,0)</f>
        <v>0</v>
      </c>
      <c r="H30" s="142">
        <f>IF(ISNUMBER(SEARCH('Карта учёта'!$B$16,Расходка[Наименование расходного материала])),MAX($H$1:H29)+1,0)</f>
        <v>0</v>
      </c>
      <c r="I30" s="142">
        <f>IF(ISNUMBER(SEARCH('Карта учёта'!$B$17,Расходка[Наименование расходного материала])),MAX($I$1:I29)+1,0)</f>
        <v>0</v>
      </c>
      <c r="J30" s="142">
        <f>IF(ISNUMBER(SEARCH('Карта учёта'!$B$18,Расходка[Наименование расходного материала])),MAX($J$1:J29)+1,0)</f>
        <v>0</v>
      </c>
      <c r="K30" s="142">
        <f>IF(ISNUMBER(SEARCH('Карта учёта'!$B$19,Расходка[Наименование расходного материала])),MAX($K$1:K29)+1,0)</f>
        <v>0</v>
      </c>
      <c r="L30" s="142">
        <f>IF(ISNUMBER(SEARCH('Карта учёта'!$B$20,Расходка[Наименование расходного материала])),MAX($L$1:L29)+1,0)</f>
        <v>29</v>
      </c>
      <c r="M30" s="142">
        <f>IF(ISNUMBER(SEARCH('Карта учёта'!$B$21,Расходка[Наименование расходного материала])),MAX($M$1:M29)+1,0)</f>
        <v>29</v>
      </c>
      <c r="N30" s="142">
        <f>IF(ISNUMBER(SEARCH('Карта учёта'!$B$22,Расходка[Наименование расходного материала])),MAX($N$1:N29)+1,0)</f>
        <v>29</v>
      </c>
      <c r="O30" s="142">
        <f>IF(ISNUMBER(SEARCH('Карта учёта'!$B$23,Расходка[Наименование расходного материала])),MAX($O$1:O29)+1,0)</f>
        <v>29</v>
      </c>
      <c r="P30" s="142">
        <f>IF(ISNUMBER(SEARCH('Карта учёта'!$B$24,Расходка[Наименование расходного материала])),MAX($P$1:P29)+1,0)</f>
        <v>29</v>
      </c>
      <c r="Q30" s="142">
        <f>IF(ISNUMBER(SEARCH('Карта учёта'!$B$25,Расходка[Наименование расходного материала])),MAX($Q$1:Q29)+1,0)</f>
        <v>29</v>
      </c>
      <c r="R30" s="144" t="str">
        <f>IFERROR(INDEX(Расходка[Наименование расходного материала],MATCH(Расходка[№],Поиск_расходки[Индекс1],0)),"")</f>
        <v/>
      </c>
      <c r="S30" s="144" t="str">
        <f>IFERROR(INDEX(Расходка[Наименование расходного материала],MATCH(Расходка[№],Поиск_расходки[Индекс2],0)),"")</f>
        <v/>
      </c>
      <c r="T30" s="144" t="str">
        <f>IFERROR(INDEX(Расходка[Наименование расходного материала],MATCH(Расходка[№],Поиск_расходки[Индекс3],0)),"")</f>
        <v/>
      </c>
      <c r="U30" s="144" t="str">
        <f>IFERROR(INDEX(Расходка[Наименование расходного материала],MATCH(Расходка[№],Поиск_расходки[Индекс4],0)),"")</f>
        <v/>
      </c>
      <c r="V30" s="144" t="str">
        <f>IFERROR(INDEX(Расходка[Наименование расходного материала],MATCH(Расходка[№],Поиск_расходки[Индекс5],0)),"")</f>
        <v/>
      </c>
      <c r="W30" s="144" t="str">
        <f>IFERROR(INDEX(Расходка[Наименование расходного материала],MATCH(Расходка[№],Поиск_расходки[Индекс6],0)),"")</f>
        <v/>
      </c>
      <c r="X30" s="144" t="str">
        <f>IFERROR(INDEX(Расходка[Наименование расходного материала],MATCH(Расходка[№],Поиск_расходки[Индекс7],0)),"")</f>
        <v/>
      </c>
      <c r="Y30" s="144" t="str">
        <f>IFERROR(INDEX(Расходка[Наименование расходного материала],MATCH(Расходка[№],Поиск_расходки[Индекс8],0)),"")</f>
        <v>Launcher 6F JL 4.5</v>
      </c>
      <c r="Z30" s="144" t="str">
        <f>IFERROR(INDEX(Расходка[Наименование расходного материала],MATCH(Расходка[№],Поиск_расходки[Индекс9],0)),"")</f>
        <v>Launcher 6F JL 4.5</v>
      </c>
      <c r="AA30" s="144" t="str">
        <f>IFERROR(INDEX(Расходка[Наименование расходного материала],MATCH(Расходка[№],Поиск_расходки[Индекс10],0)),"")</f>
        <v>Launcher 6F JL 4.5</v>
      </c>
      <c r="AB30" s="144" t="str">
        <f>IFERROR(INDEX(Расходка[Наименование расходного материала],MATCH(Расходка[№],Поиск_расходки[Индекс11],0)),"")</f>
        <v>Launcher 6F JL 4.5</v>
      </c>
      <c r="AC30" s="144" t="str">
        <f>IFERROR(INDEX(Расходка[Наименование расходного материала],MATCH(Расходка[№],Поиск_расходки[Индекс12],0)),"")</f>
        <v>Launcher 6F JL 4.5</v>
      </c>
      <c r="AD30" s="144" t="str">
        <f>IFERROR(INDEX(Расходка[Наименование расходного материала],MATCH(Расходка[№],Поиск_расходки[Индекс13],0)),"")</f>
        <v>Launcher 6F JL 4.5</v>
      </c>
      <c r="AF30" s="4" t="s">
        <v>6</v>
      </c>
      <c r="AG30" s="4" t="s">
        <v>433</v>
      </c>
    </row>
    <row r="31" spans="1:33">
      <c r="A31">
        <v>30</v>
      </c>
      <c r="B31" t="s">
        <v>4</v>
      </c>
      <c r="C31" t="s">
        <v>408</v>
      </c>
      <c r="E31" s="142">
        <f>IF(ISNUMBER(SEARCH('Карта учёта'!$B$13,Расходка[[#This Row],[Наименование расходного материала]])),MAX($E$1:E30)+1,0)</f>
        <v>0</v>
      </c>
      <c r="F31" s="142">
        <f>IF(ISNUMBER(SEARCH('Карта учёта'!$B$14,Расходка[[#This Row],[Наименование расходного материала]])),MAX($F$1:F30)+1,0)</f>
        <v>0</v>
      </c>
      <c r="G31" s="142">
        <f>IF(ISNUMBER(SEARCH('Карта учёта'!$B$15,Расходка[Наименование расходного материала])),MAX($G$1:G30)+1,0)</f>
        <v>0</v>
      </c>
      <c r="H31" s="142">
        <f>IF(ISNUMBER(SEARCH('Карта учёта'!$B$16,Расходка[Наименование расходного материала])),MAX($H$1:H30)+1,0)</f>
        <v>0</v>
      </c>
      <c r="I31" s="142">
        <f>IF(ISNUMBER(SEARCH('Карта учёта'!$B$17,Расходка[Наименование расходного материала])),MAX($I$1:I30)+1,0)</f>
        <v>0</v>
      </c>
      <c r="J31" s="142">
        <f>IF(ISNUMBER(SEARCH('Карта учёта'!$B$18,Расходка[Наименование расходного материала])),MAX($J$1:J30)+1,0)</f>
        <v>0</v>
      </c>
      <c r="K31" s="142">
        <f>IF(ISNUMBER(SEARCH('Карта учёта'!$B$19,Расходка[Наименование расходного материала])),MAX($K$1:K30)+1,0)</f>
        <v>0</v>
      </c>
      <c r="L31" s="142">
        <f>IF(ISNUMBER(SEARCH('Карта учёта'!$B$20,Расходка[Наименование расходного материала])),MAX($L$1:L30)+1,0)</f>
        <v>30</v>
      </c>
      <c r="M31" s="142">
        <f>IF(ISNUMBER(SEARCH('Карта учёта'!$B$21,Расходка[Наименование расходного материала])),MAX($M$1:M30)+1,0)</f>
        <v>30</v>
      </c>
      <c r="N31" s="142">
        <f>IF(ISNUMBER(SEARCH('Карта учёта'!$B$22,Расходка[Наименование расходного материала])),MAX($N$1:N30)+1,0)</f>
        <v>30</v>
      </c>
      <c r="O31" s="142">
        <f>IF(ISNUMBER(SEARCH('Карта учёта'!$B$23,Расходка[Наименование расходного материала])),MAX($O$1:O30)+1,0)</f>
        <v>30</v>
      </c>
      <c r="P31" s="142">
        <f>IF(ISNUMBER(SEARCH('Карта учёта'!$B$24,Расходка[Наименование расходного материала])),MAX($P$1:P30)+1,0)</f>
        <v>30</v>
      </c>
      <c r="Q31" s="142">
        <f>IF(ISNUMBER(SEARCH('Карта учёта'!$B$25,Расходка[Наименование расходного материала])),MAX($Q$1:Q30)+1,0)</f>
        <v>30</v>
      </c>
      <c r="R31" s="144" t="str">
        <f>IFERROR(INDEX(Расходка[Наименование расходного материала],MATCH(Расходка[№],Поиск_расходки[Индекс1],0)),"")</f>
        <v/>
      </c>
      <c r="S31" s="144" t="str">
        <f>IFERROR(INDEX(Расходка[Наименование расходного материала],MATCH(Расходка[№],Поиск_расходки[Индекс2],0)),"")</f>
        <v/>
      </c>
      <c r="T31" s="144" t="str">
        <f>IFERROR(INDEX(Расходка[Наименование расходного материала],MATCH(Расходка[№],Поиск_расходки[Индекс3],0)),"")</f>
        <v/>
      </c>
      <c r="U31" s="144" t="str">
        <f>IFERROR(INDEX(Расходка[Наименование расходного материала],MATCH(Расходка[№],Поиск_расходки[Индекс4],0)),"")</f>
        <v/>
      </c>
      <c r="V31" s="144" t="str">
        <f>IFERROR(INDEX(Расходка[Наименование расходного материала],MATCH(Расходка[№],Поиск_расходки[Индекс5],0)),"")</f>
        <v/>
      </c>
      <c r="W31" s="144" t="str">
        <f>IFERROR(INDEX(Расходка[Наименование расходного материала],MATCH(Расходка[№],Поиск_расходки[Индекс6],0)),"")</f>
        <v/>
      </c>
      <c r="X31" s="144" t="str">
        <f>IFERROR(INDEX(Расходка[Наименование расходного материала],MATCH(Расходка[№],Поиск_расходки[Индекс7],0)),"")</f>
        <v/>
      </c>
      <c r="Y31" s="144" t="str">
        <f>IFERROR(INDEX(Расходка[Наименование расходного материала],MATCH(Расходка[№],Поиск_расходки[Индекс8],0)),"")</f>
        <v>Launcher 6F JR 3.5</v>
      </c>
      <c r="Z31" s="144" t="str">
        <f>IFERROR(INDEX(Расходка[Наименование расходного материала],MATCH(Расходка[№],Поиск_расходки[Индекс9],0)),"")</f>
        <v>Launcher 6F JR 3.5</v>
      </c>
      <c r="AA31" s="144" t="str">
        <f>IFERROR(INDEX(Расходка[Наименование расходного материала],MATCH(Расходка[№],Поиск_расходки[Индекс10],0)),"")</f>
        <v>Launcher 6F JR 3.5</v>
      </c>
      <c r="AB31" s="144" t="str">
        <f>IFERROR(INDEX(Расходка[Наименование расходного материала],MATCH(Расходка[№],Поиск_расходки[Индекс11],0)),"")</f>
        <v>Launcher 6F JR 3.5</v>
      </c>
      <c r="AC31" s="144" t="str">
        <f>IFERROR(INDEX(Расходка[Наименование расходного материала],MATCH(Расходка[№],Поиск_расходки[Индекс12],0)),"")</f>
        <v>Launcher 6F JR 3.5</v>
      </c>
      <c r="AD31" s="144" t="str">
        <f>IFERROR(INDEX(Расходка[Наименование расходного материала],MATCH(Расходка[№],Поиск_расходки[Индекс13],0)),"")</f>
        <v>Launcher 6F JR 3.5</v>
      </c>
      <c r="AF31" s="4" t="s">
        <v>6</v>
      </c>
      <c r="AG31" s="4" t="s">
        <v>105</v>
      </c>
    </row>
    <row r="32" spans="1:33">
      <c r="A32">
        <v>31</v>
      </c>
      <c r="B32" t="s">
        <v>4</v>
      </c>
      <c r="C32" t="s">
        <v>409</v>
      </c>
      <c r="E32" s="142">
        <f>IF(ISNUMBER(SEARCH('Карта учёта'!$B$13,Расходка[[#This Row],[Наименование расходного материала]])),MAX($E$1:E31)+1,0)</f>
        <v>0</v>
      </c>
      <c r="F32" s="142">
        <f>IF(ISNUMBER(SEARCH('Карта учёта'!$B$14,Расходка[[#This Row],[Наименование расходного материала]])),MAX($F$1:F31)+1,0)</f>
        <v>0</v>
      </c>
      <c r="G32" s="142">
        <f>IF(ISNUMBER(SEARCH('Карта учёта'!$B$15,Расходка[Наименование расходного материала])),MAX($G$1:G31)+1,0)</f>
        <v>0</v>
      </c>
      <c r="H32" s="142">
        <f>IF(ISNUMBER(SEARCH('Карта учёта'!$B$16,Расходка[Наименование расходного материала])),MAX($H$1:H31)+1,0)</f>
        <v>0</v>
      </c>
      <c r="I32" s="142">
        <f>IF(ISNUMBER(SEARCH('Карта учёта'!$B$17,Расходка[Наименование расходного материала])),MAX($I$1:I31)+1,0)</f>
        <v>0</v>
      </c>
      <c r="J32" s="142">
        <f>IF(ISNUMBER(SEARCH('Карта учёта'!$B$18,Расходка[Наименование расходного материала])),MAX($J$1:J31)+1,0)</f>
        <v>0</v>
      </c>
      <c r="K32" s="142">
        <f>IF(ISNUMBER(SEARCH('Карта учёта'!$B$19,Расходка[Наименование расходного материала])),MAX($K$1:K31)+1,0)</f>
        <v>0</v>
      </c>
      <c r="L32" s="142">
        <f>IF(ISNUMBER(SEARCH('Карта учёта'!$B$20,Расходка[Наименование расходного материала])),MAX($L$1:L31)+1,0)</f>
        <v>31</v>
      </c>
      <c r="M32" s="142">
        <f>IF(ISNUMBER(SEARCH('Карта учёта'!$B$21,Расходка[Наименование расходного материала])),MAX($M$1:M31)+1,0)</f>
        <v>31</v>
      </c>
      <c r="N32" s="142">
        <f>IF(ISNUMBER(SEARCH('Карта учёта'!$B$22,Расходка[Наименование расходного материала])),MAX($N$1:N31)+1,0)</f>
        <v>31</v>
      </c>
      <c r="O32" s="142">
        <f>IF(ISNUMBER(SEARCH('Карта учёта'!$B$23,Расходка[Наименование расходного материала])),MAX($O$1:O31)+1,0)</f>
        <v>31</v>
      </c>
      <c r="P32" s="142">
        <f>IF(ISNUMBER(SEARCH('Карта учёта'!$B$24,Расходка[Наименование расходного материала])),MAX($P$1:P31)+1,0)</f>
        <v>31</v>
      </c>
      <c r="Q32" s="142">
        <f>IF(ISNUMBER(SEARCH('Карта учёта'!$B$25,Расходка[Наименование расходного материала])),MAX($Q$1:Q31)+1,0)</f>
        <v>31</v>
      </c>
      <c r="R32" s="144" t="str">
        <f>IFERROR(INDEX(Расходка[Наименование расходного материала],MATCH(Расходка[№],Поиск_расходки[Индекс1],0)),"")</f>
        <v/>
      </c>
      <c r="S32" s="144" t="str">
        <f>IFERROR(INDEX(Расходка[Наименование расходного материала],MATCH(Расходка[№],Поиск_расходки[Индекс2],0)),"")</f>
        <v/>
      </c>
      <c r="T32" s="144" t="str">
        <f>IFERROR(INDEX(Расходка[Наименование расходного материала],MATCH(Расходка[№],Поиск_расходки[Индекс3],0)),"")</f>
        <v/>
      </c>
      <c r="U32" s="144" t="str">
        <f>IFERROR(INDEX(Расходка[Наименование расходного материала],MATCH(Расходка[№],Поиск_расходки[Индекс4],0)),"")</f>
        <v/>
      </c>
      <c r="V32" s="144" t="str">
        <f>IFERROR(INDEX(Расходка[Наименование расходного материала],MATCH(Расходка[№],Поиск_расходки[Индекс5],0)),"")</f>
        <v/>
      </c>
      <c r="W32" s="144" t="str">
        <f>IFERROR(INDEX(Расходка[Наименование расходного материала],MATCH(Расходка[№],Поиск_расходки[Индекс6],0)),"")</f>
        <v/>
      </c>
      <c r="X32" s="144" t="str">
        <f>IFERROR(INDEX(Расходка[Наименование расходного материала],MATCH(Расходка[№],Поиск_расходки[Индекс7],0)),"")</f>
        <v/>
      </c>
      <c r="Y32" s="144" t="str">
        <f>IFERROR(INDEX(Расходка[Наименование расходного материала],MATCH(Расходка[№],Поиск_расходки[Индекс8],0)),"")</f>
        <v>Launcher 6F JR 4.0</v>
      </c>
      <c r="Z32" s="144" t="str">
        <f>IFERROR(INDEX(Расходка[Наименование расходного материала],MATCH(Расходка[№],Поиск_расходки[Индекс9],0)),"")</f>
        <v>Launcher 6F JR 4.0</v>
      </c>
      <c r="AA32" s="144" t="str">
        <f>IFERROR(INDEX(Расходка[Наименование расходного материала],MATCH(Расходка[№],Поиск_расходки[Индекс10],0)),"")</f>
        <v>Launcher 6F JR 4.0</v>
      </c>
      <c r="AB32" s="144" t="str">
        <f>IFERROR(INDEX(Расходка[Наименование расходного материала],MATCH(Расходка[№],Поиск_расходки[Индекс11],0)),"")</f>
        <v>Launcher 6F JR 4.0</v>
      </c>
      <c r="AC32" s="144" t="str">
        <f>IFERROR(INDEX(Расходка[Наименование расходного материала],MATCH(Расходка[№],Поиск_расходки[Индекс12],0)),"")</f>
        <v>Launcher 6F JR 4.0</v>
      </c>
      <c r="AD32" s="144" t="str">
        <f>IFERROR(INDEX(Расходка[Наименование расходного материала],MATCH(Расходка[№],Поиск_расходки[Индекс13],0)),"")</f>
        <v>Launcher 6F JR 4.0</v>
      </c>
      <c r="AF32" s="4" t="s">
        <v>6</v>
      </c>
      <c r="AG32" s="4" t="s">
        <v>162</v>
      </c>
    </row>
    <row r="33" spans="1:33">
      <c r="A33">
        <v>32</v>
      </c>
      <c r="B33" t="s">
        <v>4</v>
      </c>
      <c r="C33" t="s">
        <v>420</v>
      </c>
      <c r="E33" s="142">
        <f>IF(ISNUMBER(SEARCH('Карта учёта'!$B$13,Расходка[[#This Row],[Наименование расходного материала]])),MAX($E$1:E32)+1,0)</f>
        <v>0</v>
      </c>
      <c r="F33" s="142">
        <f>IF(ISNUMBER(SEARCH('Карта учёта'!$B$14,Расходка[[#This Row],[Наименование расходного материала]])),MAX($F$1:F32)+1,0)</f>
        <v>0</v>
      </c>
      <c r="G33" s="142">
        <f>IF(ISNUMBER(SEARCH('Карта учёта'!$B$15,Расходка[Наименование расходного материала])),MAX($G$1:G32)+1,0)</f>
        <v>0</v>
      </c>
      <c r="H33" s="142">
        <f>IF(ISNUMBER(SEARCH('Карта учёта'!$B$16,Расходка[Наименование расходного материала])),MAX($H$1:H32)+1,0)</f>
        <v>0</v>
      </c>
      <c r="I33" s="142">
        <f>IF(ISNUMBER(SEARCH('Карта учёта'!$B$17,Расходка[Наименование расходного материала])),MAX($I$1:I32)+1,0)</f>
        <v>0</v>
      </c>
      <c r="J33" s="142">
        <f>IF(ISNUMBER(SEARCH('Карта учёта'!$B$18,Расходка[Наименование расходного материала])),MAX($J$1:J32)+1,0)</f>
        <v>0</v>
      </c>
      <c r="K33" s="142">
        <f>IF(ISNUMBER(SEARCH('Карта учёта'!$B$19,Расходка[Наименование расходного материала])),MAX($K$1:K32)+1,0)</f>
        <v>0</v>
      </c>
      <c r="L33" s="142">
        <f>IF(ISNUMBER(SEARCH('Карта учёта'!$B$20,Расходка[Наименование расходного материала])),MAX($L$1:L32)+1,0)</f>
        <v>32</v>
      </c>
      <c r="M33" s="142">
        <f>IF(ISNUMBER(SEARCH('Карта учёта'!$B$21,Расходка[Наименование расходного материала])),MAX($M$1:M32)+1,0)</f>
        <v>32</v>
      </c>
      <c r="N33" s="142">
        <f>IF(ISNUMBER(SEARCH('Карта учёта'!$B$22,Расходка[Наименование расходного материала])),MAX($N$1:N32)+1,0)</f>
        <v>32</v>
      </c>
      <c r="O33" s="142">
        <f>IF(ISNUMBER(SEARCH('Карта учёта'!$B$23,Расходка[Наименование расходного материала])),MAX($O$1:O32)+1,0)</f>
        <v>32</v>
      </c>
      <c r="P33" s="142">
        <f>IF(ISNUMBER(SEARCH('Карта учёта'!$B$24,Расходка[Наименование расходного материала])),MAX($P$1:P32)+1,0)</f>
        <v>32</v>
      </c>
      <c r="Q33" s="142">
        <f>IF(ISNUMBER(SEARCH('Карта учёта'!$B$25,Расходка[Наименование расходного материала])),MAX($Q$1:Q32)+1,0)</f>
        <v>32</v>
      </c>
      <c r="R33" s="144" t="str">
        <f>IFERROR(INDEX(Расходка[Наименование расходного материала],MATCH(Расходка[№],Поиск_расходки[Индекс1],0)),"")</f>
        <v/>
      </c>
      <c r="S33" s="144" t="str">
        <f>IFERROR(INDEX(Расходка[Наименование расходного материала],MATCH(Расходка[№],Поиск_расходки[Индекс2],0)),"")</f>
        <v/>
      </c>
      <c r="T33" s="144" t="str">
        <f>IFERROR(INDEX(Расходка[Наименование расходного материала],MATCH(Расходка[№],Поиск_расходки[Индекс3],0)),"")</f>
        <v/>
      </c>
      <c r="U33" s="144" t="str">
        <f>IFERROR(INDEX(Расходка[Наименование расходного материала],MATCH(Расходка[№],Поиск_расходки[Индекс4],0)),"")</f>
        <v/>
      </c>
      <c r="V33" s="144" t="str">
        <f>IFERROR(INDEX(Расходка[Наименование расходного материала],MATCH(Расходка[№],Поиск_расходки[Индекс5],0)),"")</f>
        <v/>
      </c>
      <c r="W33" s="144" t="str">
        <f>IFERROR(INDEX(Расходка[Наименование расходного материала],MATCH(Расходка[№],Поиск_расходки[Индекс6],0)),"")</f>
        <v/>
      </c>
      <c r="X33" s="144" t="str">
        <f>IFERROR(INDEX(Расходка[Наименование расходного материала],MATCH(Расходка[№],Поиск_расходки[Индекс7],0)),"")</f>
        <v/>
      </c>
      <c r="Y33" s="144" t="str">
        <f>IFERROR(INDEX(Расходка[Наименование расходного материала],MATCH(Расходка[№],Поиск_расходки[Индекс8],0)),"")</f>
        <v>Launcher 7F JL 3.5</v>
      </c>
      <c r="Z33" s="144" t="str">
        <f>IFERROR(INDEX(Расходка[Наименование расходного материала],MATCH(Расходка[№],Поиск_расходки[Индекс9],0)),"")</f>
        <v>Launcher 7F JL 3.5</v>
      </c>
      <c r="AA33" s="144" t="str">
        <f>IFERROR(INDEX(Расходка[Наименование расходного материала],MATCH(Расходка[№],Поиск_расходки[Индекс10],0)),"")</f>
        <v>Launcher 7F JL 3.5</v>
      </c>
      <c r="AB33" s="144" t="str">
        <f>IFERROR(INDEX(Расходка[Наименование расходного материала],MATCH(Расходка[№],Поиск_расходки[Индекс11],0)),"")</f>
        <v>Launcher 7F JL 3.5</v>
      </c>
      <c r="AC33" s="144" t="str">
        <f>IFERROR(INDEX(Расходка[Наименование расходного материала],MATCH(Расходка[№],Поиск_расходки[Индекс12],0)),"")</f>
        <v>Launcher 7F JL 3.5</v>
      </c>
      <c r="AD33" s="144" t="str">
        <f>IFERROR(INDEX(Расходка[Наименование расходного материала],MATCH(Расходка[№],Поиск_расходки[Индекс13],0)),"")</f>
        <v>Launcher 7F JL 3.5</v>
      </c>
      <c r="AF33" s="4" t="s">
        <v>6</v>
      </c>
      <c r="AG33" s="4" t="s">
        <v>165</v>
      </c>
    </row>
    <row r="34" spans="1:33">
      <c r="A34">
        <v>33</v>
      </c>
      <c r="B34" t="s">
        <v>4</v>
      </c>
      <c r="C34" t="s">
        <v>419</v>
      </c>
      <c r="E34" s="142">
        <f>IF(ISNUMBER(SEARCH('Карта учёта'!$B$13,Расходка[[#This Row],[Наименование расходного материала]])),MAX($E$1:E33)+1,0)</f>
        <v>0</v>
      </c>
      <c r="F34" s="142">
        <f>IF(ISNUMBER(SEARCH('Карта учёта'!$B$14,Расходка[[#This Row],[Наименование расходного материала]])),MAX($F$1:F33)+1,0)</f>
        <v>0</v>
      </c>
      <c r="G34" s="142">
        <f>IF(ISNUMBER(SEARCH('Карта учёта'!$B$15,Расходка[Наименование расходного материала])),MAX($G$1:G33)+1,0)</f>
        <v>0</v>
      </c>
      <c r="H34" s="142">
        <f>IF(ISNUMBER(SEARCH('Карта учёта'!$B$16,Расходка[Наименование расходного материала])),MAX($H$1:H33)+1,0)</f>
        <v>0</v>
      </c>
      <c r="I34" s="142">
        <f>IF(ISNUMBER(SEARCH('Карта учёта'!$B$17,Расходка[Наименование расходного материала])),MAX($I$1:I33)+1,0)</f>
        <v>0</v>
      </c>
      <c r="J34" s="142">
        <f>IF(ISNUMBER(SEARCH('Карта учёта'!$B$18,Расходка[Наименование расходного материала])),MAX($J$1:J33)+1,0)</f>
        <v>0</v>
      </c>
      <c r="K34" s="142">
        <f>IF(ISNUMBER(SEARCH('Карта учёта'!$B$19,Расходка[Наименование расходного материала])),MAX($K$1:K33)+1,0)</f>
        <v>0</v>
      </c>
      <c r="L34" s="142">
        <f>IF(ISNUMBER(SEARCH('Карта учёта'!$B$20,Расходка[Наименование расходного материала])),MAX($L$1:L33)+1,0)</f>
        <v>33</v>
      </c>
      <c r="M34" s="142">
        <f>IF(ISNUMBER(SEARCH('Карта учёта'!$B$21,Расходка[Наименование расходного материала])),MAX($M$1:M33)+1,0)</f>
        <v>33</v>
      </c>
      <c r="N34" s="142">
        <f>IF(ISNUMBER(SEARCH('Карта учёта'!$B$22,Расходка[Наименование расходного материала])),MAX($N$1:N33)+1,0)</f>
        <v>33</v>
      </c>
      <c r="O34" s="142">
        <f>IF(ISNUMBER(SEARCH('Карта учёта'!$B$23,Расходка[Наименование расходного материала])),MAX($O$1:O33)+1,0)</f>
        <v>33</v>
      </c>
      <c r="P34" s="142">
        <f>IF(ISNUMBER(SEARCH('Карта учёта'!$B$24,Расходка[Наименование расходного материала])),MAX($P$1:P33)+1,0)</f>
        <v>33</v>
      </c>
      <c r="Q34" s="142">
        <f>IF(ISNUMBER(SEARCH('Карта учёта'!$B$25,Расходка[Наименование расходного материала])),MAX($Q$1:Q33)+1,0)</f>
        <v>33</v>
      </c>
      <c r="R34" s="144" t="str">
        <f>IFERROR(INDEX(Расходка[Наименование расходного материала],MATCH(Расходка[№],Поиск_расходки[Индекс1],0)),"")</f>
        <v/>
      </c>
      <c r="S34" s="144" t="str">
        <f>IFERROR(INDEX(Расходка[Наименование расходного материала],MATCH(Расходка[№],Поиск_расходки[Индекс2],0)),"")</f>
        <v/>
      </c>
      <c r="T34" s="144" t="str">
        <f>IFERROR(INDEX(Расходка[Наименование расходного материала],MATCH(Расходка[№],Поиск_расходки[Индекс3],0)),"")</f>
        <v/>
      </c>
      <c r="U34" s="144" t="str">
        <f>IFERROR(INDEX(Расходка[Наименование расходного материала],MATCH(Расходка[№],Поиск_расходки[Индекс4],0)),"")</f>
        <v/>
      </c>
      <c r="V34" s="144" t="str">
        <f>IFERROR(INDEX(Расходка[Наименование расходного материала],MATCH(Расходка[№],Поиск_расходки[Индекс5],0)),"")</f>
        <v/>
      </c>
      <c r="W34" s="144" t="str">
        <f>IFERROR(INDEX(Расходка[Наименование расходного материала],MATCH(Расходка[№],Поиск_расходки[Индекс6],0)),"")</f>
        <v/>
      </c>
      <c r="X34" s="144" t="str">
        <f>IFERROR(INDEX(Расходка[Наименование расходного материала],MATCH(Расходка[№],Поиск_расходки[Индекс7],0)),"")</f>
        <v/>
      </c>
      <c r="Y34" s="144" t="str">
        <f>IFERROR(INDEX(Расходка[Наименование расходного материала],MATCH(Расходка[№],Поиск_расходки[Индекс8],0)),"")</f>
        <v>Launcher 7F JL 4.0</v>
      </c>
      <c r="Z34" s="144" t="str">
        <f>IFERROR(INDEX(Расходка[Наименование расходного материала],MATCH(Расходка[№],Поиск_расходки[Индекс9],0)),"")</f>
        <v>Launcher 7F JL 4.0</v>
      </c>
      <c r="AA34" s="144" t="str">
        <f>IFERROR(INDEX(Расходка[Наименование расходного материала],MATCH(Расходка[№],Поиск_расходки[Индекс10],0)),"")</f>
        <v>Launcher 7F JL 4.0</v>
      </c>
      <c r="AB34" s="144" t="str">
        <f>IFERROR(INDEX(Расходка[Наименование расходного материала],MATCH(Расходка[№],Поиск_расходки[Индекс11],0)),"")</f>
        <v>Launcher 7F JL 4.0</v>
      </c>
      <c r="AC34" s="144" t="str">
        <f>IFERROR(INDEX(Расходка[Наименование расходного материала],MATCH(Расходка[№],Поиск_расходки[Индекс12],0)),"")</f>
        <v>Launcher 7F JL 4.0</v>
      </c>
      <c r="AD34" s="144" t="str">
        <f>IFERROR(INDEX(Расходка[Наименование расходного материала],MATCH(Расходка[№],Поиск_расходки[Индекс13],0)),"")</f>
        <v>Launcher 7F JL 4.0</v>
      </c>
      <c r="AF34" s="4" t="s">
        <v>6</v>
      </c>
      <c r="AG34" s="4" t="s">
        <v>167</v>
      </c>
    </row>
    <row r="35" spans="1:33">
      <c r="A35">
        <v>34</v>
      </c>
      <c r="B35" t="s">
        <v>369</v>
      </c>
      <c r="C35" s="1" t="s">
        <v>410</v>
      </c>
      <c r="E35" s="142">
        <f>IF(ISNUMBER(SEARCH('Карта учёта'!$B$13,Расходка[[#This Row],[Наименование расходного материала]])),MAX($E$1:E34)+1,0)</f>
        <v>0</v>
      </c>
      <c r="F35" s="142">
        <f>IF(ISNUMBER(SEARCH('Карта учёта'!$B$14,Расходка[[#This Row],[Наименование расходного материала]])),MAX($F$1:F34)+1,0)</f>
        <v>0</v>
      </c>
      <c r="G35" s="142">
        <f>IF(ISNUMBER(SEARCH('Карта учёта'!$B$15,Расходка[Наименование расходного материала])),MAX($G$1:G34)+1,0)</f>
        <v>0</v>
      </c>
      <c r="H35" s="142">
        <f>IF(ISNUMBER(SEARCH('Карта учёта'!$B$16,Расходка[Наименование расходного материала])),MAX($H$1:H34)+1,0)</f>
        <v>0</v>
      </c>
      <c r="I35" s="142">
        <f>IF(ISNUMBER(SEARCH('Карта учёта'!$B$17,Расходка[Наименование расходного материала])),MAX($I$1:I34)+1,0)</f>
        <v>0</v>
      </c>
      <c r="J35" s="142">
        <f>IF(ISNUMBER(SEARCH('Карта учёта'!$B$18,Расходка[Наименование расходного материала])),MAX($J$1:J34)+1,0)</f>
        <v>0</v>
      </c>
      <c r="K35" s="142">
        <f>IF(ISNUMBER(SEARCH('Карта учёта'!$B$19,Расходка[Наименование расходного материала])),MAX($K$1:K34)+1,0)</f>
        <v>0</v>
      </c>
      <c r="L35" s="142">
        <f>IF(ISNUMBER(SEARCH('Карта учёта'!$B$20,Расходка[Наименование расходного материала])),MAX($L$1:L34)+1,0)</f>
        <v>34</v>
      </c>
      <c r="M35" s="142">
        <f>IF(ISNUMBER(SEARCH('Карта учёта'!$B$21,Расходка[Наименование расходного материала])),MAX($M$1:M34)+1,0)</f>
        <v>34</v>
      </c>
      <c r="N35" s="142">
        <f>IF(ISNUMBER(SEARCH('Карта учёта'!$B$22,Расходка[Наименование расходного материала])),MAX($N$1:N34)+1,0)</f>
        <v>34</v>
      </c>
      <c r="O35" s="142">
        <f>IF(ISNUMBER(SEARCH('Карта учёта'!$B$23,Расходка[Наименование расходного материала])),MAX($O$1:O34)+1,0)</f>
        <v>34</v>
      </c>
      <c r="P35" s="142">
        <f>IF(ISNUMBER(SEARCH('Карта учёта'!$B$24,Расходка[Наименование расходного материала])),MAX($P$1:P34)+1,0)</f>
        <v>34</v>
      </c>
      <c r="Q35" s="142">
        <f>IF(ISNUMBER(SEARCH('Карта учёта'!$B$25,Расходка[Наименование расходного материала])),MAX($Q$1:Q34)+1,0)</f>
        <v>34</v>
      </c>
      <c r="R35" s="144" t="str">
        <f>IFERROR(INDEX(Расходка[Наименование расходного материала],MATCH(Расходка[№],Поиск_расходки[Индекс1],0)),"")</f>
        <v/>
      </c>
      <c r="S35" s="144" t="str">
        <f>IFERROR(INDEX(Расходка[Наименование расходного материала],MATCH(Расходка[№],Поиск_расходки[Индекс2],0)),"")</f>
        <v/>
      </c>
      <c r="T35" s="144" t="str">
        <f>IFERROR(INDEX(Расходка[Наименование расходного материала],MATCH(Расходка[№],Поиск_расходки[Индекс3],0)),"")</f>
        <v/>
      </c>
      <c r="U35" s="144" t="str">
        <f>IFERROR(INDEX(Расходка[Наименование расходного материала],MATCH(Расходка[№],Поиск_расходки[Индекс4],0)),"")</f>
        <v/>
      </c>
      <c r="V35" s="144" t="str">
        <f>IFERROR(INDEX(Расходка[Наименование расходного материала],MATCH(Расходка[№],Поиск_расходки[Индекс5],0)),"")</f>
        <v/>
      </c>
      <c r="W35" s="144" t="str">
        <f>IFERROR(INDEX(Расходка[Наименование расходного материала],MATCH(Расходка[№],Поиск_расходки[Индекс6],0)),"")</f>
        <v/>
      </c>
      <c r="X35" s="144" t="str">
        <f>IFERROR(INDEX(Расходка[Наименование расходного материала],MATCH(Расходка[№],Поиск_расходки[Индекс7],0)),"")</f>
        <v/>
      </c>
      <c r="Y35" s="144" t="str">
        <f>IFERROR(INDEX(Расходка[Наименование расходного материала],MATCH(Расходка[№],Поиск_расходки[Индекс8],0)),"")</f>
        <v>Angio-Seal™ VIP</v>
      </c>
      <c r="Z35" s="144" t="str">
        <f>IFERROR(INDEX(Расходка[Наименование расходного материала],MATCH(Расходка[№],Поиск_расходки[Индекс9],0)),"")</f>
        <v>Angio-Seal™ VIP</v>
      </c>
      <c r="AA35" s="144" t="str">
        <f>IFERROR(INDEX(Расходка[Наименование расходного материала],MATCH(Расходка[№],Поиск_расходки[Индекс10],0)),"")</f>
        <v>Angio-Seal™ VIP</v>
      </c>
      <c r="AB35" s="144" t="str">
        <f>IFERROR(INDEX(Расходка[Наименование расходного материала],MATCH(Расходка[№],Поиск_расходки[Индекс11],0)),"")</f>
        <v>Angio-Seal™ VIP</v>
      </c>
      <c r="AC35" s="144" t="str">
        <f>IFERROR(INDEX(Расходка[Наименование расходного материала],MATCH(Расходка[№],Поиск_расходки[Индекс12],0)),"")</f>
        <v>Angio-Seal™ VIP</v>
      </c>
      <c r="AD35" s="144" t="str">
        <f>IFERROR(INDEX(Расходка[Наименование расходного материала],MATCH(Расходка[№],Поиск_расходки[Индекс13],0)),"")</f>
        <v>Angio-Seal™ VIP</v>
      </c>
      <c r="AF35" s="4" t="s">
        <v>6</v>
      </c>
      <c r="AG35" s="4" t="s">
        <v>436</v>
      </c>
    </row>
    <row r="36" spans="1:33">
      <c r="A36">
        <v>35</v>
      </c>
      <c r="B36" t="s">
        <v>379</v>
      </c>
      <c r="C36" t="s">
        <v>411</v>
      </c>
      <c r="E36" s="142">
        <f>IF(ISNUMBER(SEARCH('Карта учёта'!$B$13,Расходка[[#This Row],[Наименование расходного материала]])),MAX($E$1:E35)+1,0)</f>
        <v>1</v>
      </c>
      <c r="F36" s="142">
        <f>IF(ISNUMBER(SEARCH('Карта учёта'!$B$14,Расходка[[#This Row],[Наименование расходного материала]])),MAX($F$1:F35)+1,0)</f>
        <v>0</v>
      </c>
      <c r="G36" s="142">
        <f>IF(ISNUMBER(SEARCH('Карта учёта'!$B$15,Расходка[Наименование расходного материала])),MAX($G$1:G35)+1,0)</f>
        <v>0</v>
      </c>
      <c r="H36" s="142">
        <f>IF(ISNUMBER(SEARCH('Карта учёта'!$B$16,Расходка[Наименование расходного материала])),MAX($H$1:H35)+1,0)</f>
        <v>0</v>
      </c>
      <c r="I36" s="142">
        <f>IF(ISNUMBER(SEARCH('Карта учёта'!$B$17,Расходка[Наименование расходного материала])),MAX($I$1:I35)+1,0)</f>
        <v>0</v>
      </c>
      <c r="J36" s="142">
        <f>IF(ISNUMBER(SEARCH('Карта учёта'!$B$18,Расходка[Наименование расходного материала])),MAX($J$1:J35)+1,0)</f>
        <v>0</v>
      </c>
      <c r="K36" s="142">
        <f>IF(ISNUMBER(SEARCH('Карта учёта'!$B$19,Расходка[Наименование расходного материала])),MAX($K$1:K35)+1,0)</f>
        <v>0</v>
      </c>
      <c r="L36" s="142">
        <f>IF(ISNUMBER(SEARCH('Карта учёта'!$B$20,Расходка[Наименование расходного материала])),MAX($L$1:L35)+1,0)</f>
        <v>35</v>
      </c>
      <c r="M36" s="142">
        <f>IF(ISNUMBER(SEARCH('Карта учёта'!$B$21,Расходка[Наименование расходного материала])),MAX($M$1:M35)+1,0)</f>
        <v>35</v>
      </c>
      <c r="N36" s="142">
        <f>IF(ISNUMBER(SEARCH('Карта учёта'!$B$22,Расходка[Наименование расходного материала])),MAX($N$1:N35)+1,0)</f>
        <v>35</v>
      </c>
      <c r="O36" s="142">
        <f>IF(ISNUMBER(SEARCH('Карта учёта'!$B$23,Расходка[Наименование расходного материала])),MAX($O$1:O35)+1,0)</f>
        <v>35</v>
      </c>
      <c r="P36" s="142">
        <f>IF(ISNUMBER(SEARCH('Карта учёта'!$B$24,Расходка[Наименование расходного материала])),MAX($P$1:P35)+1,0)</f>
        <v>35</v>
      </c>
      <c r="Q36" s="142">
        <f>IF(ISNUMBER(SEARCH('Карта учёта'!$B$25,Расходка[Наименование расходного материала])),MAX($Q$1:Q35)+1,0)</f>
        <v>35</v>
      </c>
      <c r="R36" s="144" t="str">
        <f>IFERROR(INDEX(Расходка[Наименование расходного материала],MATCH(Расходка[№],Поиск_расходки[Индекс1],0)),"")</f>
        <v/>
      </c>
      <c r="S36" s="144" t="str">
        <f>IFERROR(INDEX(Расходка[Наименование расходного материала],MATCH(Расходка[№],Поиск_расходки[Индекс2],0)),"")</f>
        <v/>
      </c>
      <c r="T36" s="144" t="str">
        <f>IFERROR(INDEX(Расходка[Наименование расходного материала],MATCH(Расходка[№],Поиск_расходки[Индекс3],0)),"")</f>
        <v/>
      </c>
      <c r="U36" s="144" t="str">
        <f>IFERROR(INDEX(Расходка[Наименование расходного материала],MATCH(Расходка[№],Поиск_расходки[Индекс4],0)),"")</f>
        <v/>
      </c>
      <c r="V36" s="144" t="str">
        <f>IFERROR(INDEX(Расходка[Наименование расходного материала],MATCH(Расходка[№],Поиск_расходки[Индекс5],0)),"")</f>
        <v/>
      </c>
      <c r="W36" s="144" t="str">
        <f>IFERROR(INDEX(Расходка[Наименование расходного материала],MATCH(Расходка[№],Поиск_расходки[Индекс6],0)),"")</f>
        <v/>
      </c>
      <c r="X36" s="144" t="str">
        <f>IFERROR(INDEX(Расходка[Наименование расходного материала],MATCH(Расходка[№],Поиск_расходки[Индекс7],0)),"")</f>
        <v/>
      </c>
      <c r="Y36" s="144" t="str">
        <f>IFERROR(INDEX(Расходка[Наименование расходного материала],MATCH(Расходка[№],Поиск_расходки[Индекс8],0)),"")</f>
        <v>BasixCOMPAK</v>
      </c>
      <c r="Z36" s="144" t="str">
        <f>IFERROR(INDEX(Расходка[Наименование расходного материала],MATCH(Расходка[№],Поиск_расходки[Индекс9],0)),"")</f>
        <v>BasixCOMPAK</v>
      </c>
      <c r="AA36" s="144" t="str">
        <f>IFERROR(INDEX(Расходка[Наименование расходного материала],MATCH(Расходка[№],Поиск_расходки[Индекс10],0)),"")</f>
        <v>BasixCOMPAK</v>
      </c>
      <c r="AB36" s="144" t="str">
        <f>IFERROR(INDEX(Расходка[Наименование расходного материала],MATCH(Расходка[№],Поиск_расходки[Индекс11],0)),"")</f>
        <v>BasixCOMPAK</v>
      </c>
      <c r="AC36" s="144" t="str">
        <f>IFERROR(INDEX(Расходка[Наименование расходного материала],MATCH(Расходка[№],Поиск_расходки[Индекс12],0)),"")</f>
        <v>BasixCOMPAK</v>
      </c>
      <c r="AD36" s="144" t="str">
        <f>IFERROR(INDEX(Расходка[Наименование расходного материала],MATCH(Расходка[№],Поиск_расходки[Индекс13],0)),"")</f>
        <v>BasixCOMPAK</v>
      </c>
      <c r="AF36" s="4" t="s">
        <v>6</v>
      </c>
      <c r="AG36" s="4" t="s">
        <v>166</v>
      </c>
    </row>
    <row r="37" spans="1:33">
      <c r="A37">
        <v>36</v>
      </c>
      <c r="B37" t="s">
        <v>381</v>
      </c>
      <c r="C37" s="1" t="s">
        <v>412</v>
      </c>
      <c r="E37" s="142">
        <f>IF(ISNUMBER(SEARCH('Карта учёта'!$B$13,Расходка[[#This Row],[Наименование расходного материала]])),MAX($E$1:E36)+1,0)</f>
        <v>0</v>
      </c>
      <c r="F37" s="142">
        <f>IF(ISNUMBER(SEARCH('Карта учёта'!$B$14,Расходка[[#This Row],[Наименование расходного материала]])),MAX($F$1:F36)+1,0)</f>
        <v>0</v>
      </c>
      <c r="G37" s="142">
        <f>IF(ISNUMBER(SEARCH('Карта учёта'!$B$15,Расходка[Наименование расходного материала])),MAX($G$1:G36)+1,0)</f>
        <v>0</v>
      </c>
      <c r="H37" s="142">
        <f>IF(ISNUMBER(SEARCH('Карта учёта'!$B$16,Расходка[Наименование расходного материала])),MAX($H$1:H36)+1,0)</f>
        <v>0</v>
      </c>
      <c r="I37" s="142">
        <f>IF(ISNUMBER(SEARCH('Карта учёта'!$B$17,Расходка[Наименование расходного материала])),MAX($I$1:I36)+1,0)</f>
        <v>0</v>
      </c>
      <c r="J37" s="142">
        <f>IF(ISNUMBER(SEARCH('Карта учёта'!$B$18,Расходка[Наименование расходного материала])),MAX($J$1:J36)+1,0)</f>
        <v>0</v>
      </c>
      <c r="K37" s="142">
        <f>IF(ISNUMBER(SEARCH('Карта учёта'!$B$19,Расходка[Наименование расходного материала])),MAX($K$1:K36)+1,0)</f>
        <v>0</v>
      </c>
      <c r="L37" s="142">
        <f>IF(ISNUMBER(SEARCH('Карта учёта'!$B$20,Расходка[Наименование расходного материала])),MAX($L$1:L36)+1,0)</f>
        <v>36</v>
      </c>
      <c r="M37" s="142">
        <f>IF(ISNUMBER(SEARCH('Карта учёта'!$B$21,Расходка[Наименование расходного материала])),MAX($M$1:M36)+1,0)</f>
        <v>36</v>
      </c>
      <c r="N37" s="142">
        <f>IF(ISNUMBER(SEARCH('Карта учёта'!$B$22,Расходка[Наименование расходного материала])),MAX($N$1:N36)+1,0)</f>
        <v>36</v>
      </c>
      <c r="O37" s="142">
        <f>IF(ISNUMBER(SEARCH('Карта учёта'!$B$23,Расходка[Наименование расходного материала])),MAX($O$1:O36)+1,0)</f>
        <v>36</v>
      </c>
      <c r="P37" s="142">
        <f>IF(ISNUMBER(SEARCH('Карта учёта'!$B$24,Расходка[Наименование расходного материала])),MAX($P$1:P36)+1,0)</f>
        <v>36</v>
      </c>
      <c r="Q37" s="142">
        <f>IF(ISNUMBER(SEARCH('Карта учёта'!$B$25,Расходка[Наименование расходного материала])),MAX($Q$1:Q36)+1,0)</f>
        <v>36</v>
      </c>
      <c r="R37" s="144" t="str">
        <f>IFERROR(INDEX(Расходка[Наименование расходного материала],MATCH(Расходка[№],Поиск_расходки[Индекс1],0)),"")</f>
        <v/>
      </c>
      <c r="S37" s="144" t="str">
        <f>IFERROR(INDEX(Расходка[Наименование расходного материала],MATCH(Расходка[№],Поиск_расходки[Индекс2],0)),"")</f>
        <v/>
      </c>
      <c r="T37" s="144" t="str">
        <f>IFERROR(INDEX(Расходка[Наименование расходного материала],MATCH(Расходка[№],Поиск_расходки[Индекс3],0)),"")</f>
        <v/>
      </c>
      <c r="U37" s="144" t="str">
        <f>IFERROR(INDEX(Расходка[Наименование расходного материала],MATCH(Расходка[№],Поиск_расходки[Индекс4],0)),"")</f>
        <v/>
      </c>
      <c r="V37" s="144" t="str">
        <f>IFERROR(INDEX(Расходка[Наименование расходного материала],MATCH(Расходка[№],Поиск_расходки[Индекс5],0)),"")</f>
        <v/>
      </c>
      <c r="W37" s="144" t="str">
        <f>IFERROR(INDEX(Расходка[Наименование расходного материала],MATCH(Расходка[№],Поиск_расходки[Индекс6],0)),"")</f>
        <v/>
      </c>
      <c r="X37" s="144" t="str">
        <f>IFERROR(INDEX(Расходка[Наименование расходного материала],MATCH(Расходка[№],Поиск_расходки[Индекс7],0)),"")</f>
        <v/>
      </c>
      <c r="Y37" s="144" t="str">
        <f>IFERROR(INDEX(Расходка[Наименование расходного материала],MATCH(Расходка[№],Поиск_расходки[Индекс8],0)),"")</f>
        <v>Nitrex 260</v>
      </c>
      <c r="Z37" s="144" t="str">
        <f>IFERROR(INDEX(Расходка[Наименование расходного материала],MATCH(Расходка[№],Поиск_расходки[Индекс9],0)),"")</f>
        <v>Nitrex 260</v>
      </c>
      <c r="AA37" s="144" t="str">
        <f>IFERROR(INDEX(Расходка[Наименование расходного материала],MATCH(Расходка[№],Поиск_расходки[Индекс10],0)),"")</f>
        <v>Nitrex 260</v>
      </c>
      <c r="AB37" s="144" t="str">
        <f>IFERROR(INDEX(Расходка[Наименование расходного материала],MATCH(Расходка[№],Поиск_расходки[Индекс11],0)),"")</f>
        <v>Nitrex 260</v>
      </c>
      <c r="AC37" s="144" t="str">
        <f>IFERROR(INDEX(Расходка[Наименование расходного материала],MATCH(Расходка[№],Поиск_расходки[Индекс12],0)),"")</f>
        <v>Nitrex 260</v>
      </c>
      <c r="AD37" s="144" t="str">
        <f>IFERROR(INDEX(Расходка[Наименование расходного материала],MATCH(Расходка[№],Поиск_расходки[Индекс13],0)),"")</f>
        <v>Nitrex 260</v>
      </c>
      <c r="AF37" s="4" t="s">
        <v>6</v>
      </c>
      <c r="AG37" s="4" t="s">
        <v>437</v>
      </c>
    </row>
    <row r="38" spans="1:33">
      <c r="A38">
        <v>37</v>
      </c>
      <c r="B38" t="s">
        <v>271</v>
      </c>
      <c r="C38" s="1" t="s">
        <v>417</v>
      </c>
      <c r="E38" s="142">
        <f>IF(ISNUMBER(SEARCH('Карта учёта'!$B$13,Расходка[[#This Row],[Наименование расходного материала]])),MAX($E$1:E37)+1,0)</f>
        <v>0</v>
      </c>
      <c r="F38" s="142">
        <f>IF(ISNUMBER(SEARCH('Карта учёта'!$B$14,Расходка[[#This Row],[Наименование расходного материала]])),MAX($F$1:F37)+1,0)</f>
        <v>0</v>
      </c>
      <c r="G38" s="142">
        <f>IF(ISNUMBER(SEARCH('Карта учёта'!$B$15,Расходка[Наименование расходного материала])),MAX($G$1:G37)+1,0)</f>
        <v>0</v>
      </c>
      <c r="H38" s="142">
        <f>IF(ISNUMBER(SEARCH('Карта учёта'!$B$16,Расходка[Наименование расходного материала])),MAX($H$1:H37)+1,0)</f>
        <v>0</v>
      </c>
      <c r="I38" s="142">
        <f>IF(ISNUMBER(SEARCH('Карта учёта'!$B$17,Расходка[Наименование расходного материала])),MAX($I$1:I37)+1,0)</f>
        <v>0</v>
      </c>
      <c r="J38" s="142">
        <f>IF(ISNUMBER(SEARCH('Карта учёта'!$B$18,Расходка[Наименование расходного материала])),MAX($J$1:J37)+1,0)</f>
        <v>0</v>
      </c>
      <c r="K38" s="142">
        <f>IF(ISNUMBER(SEARCH('Карта учёта'!$B$19,Расходка[Наименование расходного материала])),MAX($K$1:K37)+1,0)</f>
        <v>0</v>
      </c>
      <c r="L38" s="142">
        <f>IF(ISNUMBER(SEARCH('Карта учёта'!$B$20,Расходка[Наименование расходного материала])),MAX($L$1:L37)+1,0)</f>
        <v>37</v>
      </c>
      <c r="M38" s="142">
        <f>IF(ISNUMBER(SEARCH('Карта учёта'!$B$21,Расходка[Наименование расходного материала])),MAX($M$1:M37)+1,0)</f>
        <v>37</v>
      </c>
      <c r="N38" s="142">
        <f>IF(ISNUMBER(SEARCH('Карта учёта'!$B$22,Расходка[Наименование расходного материала])),MAX($N$1:N37)+1,0)</f>
        <v>37</v>
      </c>
      <c r="O38" s="142">
        <f>IF(ISNUMBER(SEARCH('Карта учёта'!$B$23,Расходка[Наименование расходного материала])),MAX($O$1:O37)+1,0)</f>
        <v>37</v>
      </c>
      <c r="P38" s="142">
        <f>IF(ISNUMBER(SEARCH('Карта учёта'!$B$24,Расходка[Наименование расходного материала])),MAX($P$1:P37)+1,0)</f>
        <v>37</v>
      </c>
      <c r="Q38" s="142">
        <f>IF(ISNUMBER(SEARCH('Карта учёта'!$B$25,Расходка[Наименование расходного материала])),MAX($Q$1:Q37)+1,0)</f>
        <v>37</v>
      </c>
      <c r="R38" s="144" t="str">
        <f>IFERROR(INDEX(Расходка[Наименование расходного материала],MATCH(Расходка[№],Поиск_расходки[Индекс1],0)),"")</f>
        <v/>
      </c>
      <c r="S38" s="144" t="str">
        <f>IFERROR(INDEX(Расходка[Наименование расходного материала],MATCH(Расходка[№],Поиск_расходки[Индекс2],0)),"")</f>
        <v/>
      </c>
      <c r="T38" s="144" t="str">
        <f>IFERROR(INDEX(Расходка[Наименование расходного материала],MATCH(Расходка[№],Поиск_расходки[Индекс3],0)),"")</f>
        <v/>
      </c>
      <c r="U38" s="144" t="str">
        <f>IFERROR(INDEX(Расходка[Наименование расходного материала],MATCH(Расходка[№],Поиск_расходки[Индекс4],0)),"")</f>
        <v/>
      </c>
      <c r="V38" s="144" t="str">
        <f>IFERROR(INDEX(Расходка[Наименование расходного материала],MATCH(Расходка[№],Поиск_расходки[Индекс5],0)),"")</f>
        <v/>
      </c>
      <c r="W38" s="144" t="str">
        <f>IFERROR(INDEX(Расходка[Наименование расходного материала],MATCH(Расходка[№],Поиск_расходки[Индекс6],0)),"")</f>
        <v/>
      </c>
      <c r="X38" s="144" t="str">
        <f>IFERROR(INDEX(Расходка[Наименование расходного материала],MATCH(Расходка[№],Поиск_расходки[Индекс7],0)),"")</f>
        <v/>
      </c>
      <c r="Y38" s="144" t="str">
        <f>IFERROR(INDEX(Расходка[Наименование расходного материала],MATCH(Расходка[№],Поиск_расходки[Индекс8],0)),"")</f>
        <v>Oscor 7F</v>
      </c>
      <c r="Z38" s="144" t="str">
        <f>IFERROR(INDEX(Расходка[Наименование расходного материала],MATCH(Расходка[№],Поиск_расходки[Индекс9],0)),"")</f>
        <v>Oscor 7F</v>
      </c>
      <c r="AA38" s="144" t="str">
        <f>IFERROR(INDEX(Расходка[Наименование расходного материала],MATCH(Расходка[№],Поиск_расходки[Индекс10],0)),"")</f>
        <v>Oscor 7F</v>
      </c>
      <c r="AB38" s="144" t="str">
        <f>IFERROR(INDEX(Расходка[Наименование расходного материала],MATCH(Расходка[№],Поиск_расходки[Индекс11],0)),"")</f>
        <v>Oscor 7F</v>
      </c>
      <c r="AC38" s="144" t="str">
        <f>IFERROR(INDEX(Расходка[Наименование расходного материала],MATCH(Расходка[№],Поиск_расходки[Индекс12],0)),"")</f>
        <v>Oscor 7F</v>
      </c>
      <c r="AD38" s="144" t="str">
        <f>IFERROR(INDEX(Расходка[Наименование расходного материала],MATCH(Расходка[№],Поиск_расходки[Индекс13],0)),"")</f>
        <v>Oscor 7F</v>
      </c>
      <c r="AF38" s="4" t="s">
        <v>6</v>
      </c>
      <c r="AG38" s="4" t="s">
        <v>169</v>
      </c>
    </row>
    <row r="39" spans="1:33">
      <c r="C39" s="1"/>
      <c r="AF39" s="4" t="s">
        <v>6</v>
      </c>
      <c r="AG39" s="4" t="s">
        <v>170</v>
      </c>
    </row>
    <row r="40" spans="1:33">
      <c r="AF40" s="4" t="s">
        <v>6</v>
      </c>
      <c r="AG40" s="4" t="s">
        <v>423</v>
      </c>
    </row>
    <row r="41" spans="1:33">
      <c r="AF41" s="4" t="s">
        <v>6</v>
      </c>
      <c r="AG41" s="4" t="s">
        <v>424</v>
      </c>
    </row>
    <row r="42" spans="1:33">
      <c r="AF42" s="4" t="s">
        <v>6</v>
      </c>
      <c r="AG42" s="4" t="s">
        <v>425</v>
      </c>
    </row>
    <row r="43" spans="1:33">
      <c r="AF43" s="4" t="s">
        <v>6</v>
      </c>
      <c r="AG43" s="4" t="s">
        <v>439</v>
      </c>
    </row>
    <row r="44" spans="1:33">
      <c r="AF44" s="4" t="s">
        <v>6</v>
      </c>
      <c r="AG44" s="4" t="s">
        <v>426</v>
      </c>
    </row>
    <row r="45" spans="1:33">
      <c r="AF45" s="4" t="s">
        <v>6</v>
      </c>
      <c r="AG45" s="4" t="s">
        <v>440</v>
      </c>
    </row>
    <row r="46" spans="1:33">
      <c r="AF46" s="4" t="s">
        <v>6</v>
      </c>
      <c r="AG46" s="4" t="s">
        <v>177</v>
      </c>
    </row>
    <row r="47" spans="1:33">
      <c r="AF47" s="4" t="s">
        <v>6</v>
      </c>
      <c r="AG47" s="4" t="s">
        <v>171</v>
      </c>
    </row>
    <row r="48" spans="1:33">
      <c r="C48" s="1"/>
      <c r="AF48" s="4" t="s">
        <v>6</v>
      </c>
      <c r="AG48" s="4" t="s">
        <v>172</v>
      </c>
    </row>
    <row r="49" spans="32:33">
      <c r="AF49" s="4" t="s">
        <v>6</v>
      </c>
      <c r="AG49" s="4" t="s">
        <v>173</v>
      </c>
    </row>
    <row r="50" spans="32:33">
      <c r="AF50" s="4" t="s">
        <v>6</v>
      </c>
      <c r="AG50" s="4" t="s">
        <v>174</v>
      </c>
    </row>
    <row r="51" spans="32:33">
      <c r="AF51" s="4" t="s">
        <v>6</v>
      </c>
      <c r="AG51" s="4" t="s">
        <v>434</v>
      </c>
    </row>
    <row r="52" spans="32:33">
      <c r="AF52" s="4" t="s">
        <v>6</v>
      </c>
      <c r="AG52" s="4" t="s">
        <v>175</v>
      </c>
    </row>
    <row r="53" spans="32:33">
      <c r="AF53" s="4" t="s">
        <v>6</v>
      </c>
      <c r="AG53" s="4" t="s">
        <v>176</v>
      </c>
    </row>
    <row r="54" spans="32:33">
      <c r="AF54" s="4" t="s">
        <v>6</v>
      </c>
      <c r="AG54" s="4" t="s">
        <v>189</v>
      </c>
    </row>
    <row r="55" spans="32:33">
      <c r="AF55" s="4" t="s">
        <v>6</v>
      </c>
      <c r="AG55" s="4" t="s">
        <v>111</v>
      </c>
    </row>
    <row r="56" spans="32:33">
      <c r="AF56" s="4" t="s">
        <v>6</v>
      </c>
      <c r="AG56" s="4" t="s">
        <v>112</v>
      </c>
    </row>
    <row r="57" spans="32:33">
      <c r="AF57" s="4" t="s">
        <v>6</v>
      </c>
      <c r="AG57" s="4" t="s">
        <v>163</v>
      </c>
    </row>
    <row r="58" spans="32:33">
      <c r="AF58" s="4" t="s">
        <v>6</v>
      </c>
      <c r="AG58" s="4" t="s">
        <v>178</v>
      </c>
    </row>
    <row r="59" spans="32:33">
      <c r="AF59" s="4" t="s">
        <v>6</v>
      </c>
      <c r="AG59" s="4" t="s">
        <v>168</v>
      </c>
    </row>
    <row r="60" spans="32:33">
      <c r="AF60" s="4" t="s">
        <v>6</v>
      </c>
      <c r="AG60" s="4" t="s">
        <v>430</v>
      </c>
    </row>
    <row r="61" spans="32:33">
      <c r="AF61" s="4" t="s">
        <v>6</v>
      </c>
      <c r="AG61" s="4" t="s">
        <v>179</v>
      </c>
    </row>
    <row r="62" spans="32:33">
      <c r="AF62" s="4" t="s">
        <v>6</v>
      </c>
      <c r="AG62" s="4" t="s">
        <v>435</v>
      </c>
    </row>
    <row r="63" spans="32:33">
      <c r="AF63" s="4" t="s">
        <v>6</v>
      </c>
      <c r="AG63" s="4" t="s">
        <v>180</v>
      </c>
    </row>
    <row r="64" spans="32:33">
      <c r="AF64" s="4" t="s">
        <v>6</v>
      </c>
      <c r="AG64" s="4" t="s">
        <v>181</v>
      </c>
    </row>
    <row r="65" spans="32:33">
      <c r="AF65" s="4" t="s">
        <v>6</v>
      </c>
      <c r="AG65" s="4" t="s">
        <v>188</v>
      </c>
    </row>
    <row r="66" spans="32:33">
      <c r="AF66" s="4" t="s">
        <v>6</v>
      </c>
      <c r="AG66" s="4" t="s">
        <v>116</v>
      </c>
    </row>
    <row r="67" spans="32:33">
      <c r="AF67" s="4" t="s">
        <v>6</v>
      </c>
      <c r="AG67" s="4" t="s">
        <v>117</v>
      </c>
    </row>
    <row r="68" spans="32:33">
      <c r="AF68" s="4" t="s">
        <v>6</v>
      </c>
      <c r="AG68" s="4" t="s">
        <v>182</v>
      </c>
    </row>
    <row r="69" spans="32:33">
      <c r="AF69" s="4" t="s">
        <v>6</v>
      </c>
      <c r="AG69" s="4" t="s">
        <v>183</v>
      </c>
    </row>
    <row r="70" spans="32:33">
      <c r="AF70" s="4" t="s">
        <v>6</v>
      </c>
      <c r="AG70" s="4" t="s">
        <v>184</v>
      </c>
    </row>
    <row r="71" spans="32:33">
      <c r="AF71" s="4" t="s">
        <v>6</v>
      </c>
      <c r="AG71" s="4" t="s">
        <v>185</v>
      </c>
    </row>
    <row r="72" spans="32:33">
      <c r="AF72" s="4" t="s">
        <v>6</v>
      </c>
      <c r="AG72" s="4" t="s">
        <v>186</v>
      </c>
    </row>
    <row r="73" spans="32:33">
      <c r="AF73" s="4" t="s">
        <v>6</v>
      </c>
      <c r="AG73" s="4" t="s">
        <v>187</v>
      </c>
    </row>
    <row r="74" spans="32:33">
      <c r="AF74" s="4" t="s">
        <v>6</v>
      </c>
      <c r="AG74" s="4" t="s">
        <v>374</v>
      </c>
    </row>
    <row r="75" spans="32:33">
      <c r="AF75" s="4" t="s">
        <v>6</v>
      </c>
      <c r="AG75" s="4" t="s">
        <v>120</v>
      </c>
    </row>
    <row r="76" spans="32:33">
      <c r="AF76" s="4" t="s">
        <v>6</v>
      </c>
      <c r="AG76" s="4" t="s">
        <v>121</v>
      </c>
    </row>
    <row r="77" spans="32:33">
      <c r="AF77" s="4" t="s">
        <v>6</v>
      </c>
      <c r="AG77" s="4" t="s">
        <v>164</v>
      </c>
    </row>
    <row r="78" spans="32:33">
      <c r="AF78" s="4" t="s">
        <v>6</v>
      </c>
      <c r="AG78" s="4" t="s">
        <v>441</v>
      </c>
    </row>
  </sheetData>
  <sheetProtection sheet="1" objects="1" scenarios="1" formatCells="0" formatColumns="0"/>
  <phoneticPr fontId="13" type="noConversion"/>
  <pageMargins left="0.7" right="0.7" top="0.75" bottom="0.75" header="0.3" footer="0.3"/>
  <pageSetup paperSize="9" orientation="portrait" r:id="rId1"/>
  <tableParts count="4">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2"/>
  <sheetViews>
    <sheetView zoomScale="90" zoomScaleNormal="90" workbookViewId="0">
      <selection activeCell="E20" sqref="E20"/>
    </sheetView>
  </sheetViews>
  <sheetFormatPr defaultRowHeight="1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c r="A1" t="s">
        <v>140</v>
      </c>
      <c r="B1" t="s">
        <v>139</v>
      </c>
      <c r="C1" t="s">
        <v>141</v>
      </c>
      <c r="E1" t="s">
        <v>239</v>
      </c>
    </row>
    <row r="2" spans="1:5">
      <c r="A2" t="s">
        <v>198</v>
      </c>
      <c r="B2" t="s">
        <v>135</v>
      </c>
      <c r="C2" t="str">
        <f t="shared" ref="C2:C15" si="0">CONCATENATE(A2,B2)</f>
        <v xml:space="preserve">Заведующий отделения: Д.В. Карчевский </v>
      </c>
      <c r="E2" t="s">
        <v>236</v>
      </c>
    </row>
    <row r="3" spans="1:5">
      <c r="A3" t="s">
        <v>153</v>
      </c>
      <c r="B3" t="s">
        <v>137</v>
      </c>
      <c r="C3" t="str">
        <f t="shared" si="0"/>
        <v xml:space="preserve">И/О заведующего отделения: В.Л. Мартынко </v>
      </c>
      <c r="E3" t="s">
        <v>243</v>
      </c>
    </row>
    <row r="4" spans="1:5">
      <c r="A4" t="s">
        <v>136</v>
      </c>
      <c r="B4" t="s">
        <v>146</v>
      </c>
      <c r="C4" t="str">
        <f t="shared" si="0"/>
        <v>Оператор: В.В. Анохин</v>
      </c>
      <c r="E4" t="s">
        <v>237</v>
      </c>
    </row>
    <row r="5" spans="1:5">
      <c r="A5" t="s">
        <v>136</v>
      </c>
      <c r="B5" t="s">
        <v>144</v>
      </c>
      <c r="C5" t="str">
        <f t="shared" si="0"/>
        <v xml:space="preserve">Оператор: А.В. Воронков </v>
      </c>
      <c r="E5" t="s">
        <v>234</v>
      </c>
    </row>
    <row r="6" spans="1:5">
      <c r="A6" t="s">
        <v>136</v>
      </c>
      <c r="B6" t="s">
        <v>147</v>
      </c>
      <c r="C6" t="str">
        <f t="shared" si="0"/>
        <v>Оператор: И.Н. Зимин</v>
      </c>
      <c r="E6" t="s">
        <v>372</v>
      </c>
    </row>
    <row r="7" spans="1:5">
      <c r="A7" t="s">
        <v>136</v>
      </c>
      <c r="B7" t="s">
        <v>135</v>
      </c>
      <c r="C7" t="str">
        <f t="shared" si="0"/>
        <v xml:space="preserve">Оператор: Д.В. Карчевский </v>
      </c>
      <c r="E7" t="s">
        <v>244</v>
      </c>
    </row>
    <row r="8" spans="1:5">
      <c r="A8" t="s">
        <v>136</v>
      </c>
      <c r="B8" t="s">
        <v>137</v>
      </c>
      <c r="C8" t="str">
        <f t="shared" si="0"/>
        <v xml:space="preserve">Оператор: В.Л. Мартынко </v>
      </c>
      <c r="E8" t="s">
        <v>245</v>
      </c>
    </row>
    <row r="9" spans="1:5">
      <c r="A9" t="s">
        <v>136</v>
      </c>
      <c r="B9" t="s">
        <v>142</v>
      </c>
      <c r="C9" t="str">
        <f t="shared" si="0"/>
        <v xml:space="preserve">Оператор: А.С. Меренков </v>
      </c>
      <c r="E9" t="s">
        <v>246</v>
      </c>
    </row>
    <row r="10" spans="1:5">
      <c r="A10" t="s">
        <v>136</v>
      </c>
      <c r="B10" t="s">
        <v>145</v>
      </c>
      <c r="C10" t="str">
        <f t="shared" si="0"/>
        <v xml:space="preserve">Оператор: О.В. Мещеряков </v>
      </c>
      <c r="E10" t="s">
        <v>247</v>
      </c>
    </row>
    <row r="11" spans="1:5">
      <c r="A11" t="s">
        <v>136</v>
      </c>
      <c r="B11" t="s">
        <v>143</v>
      </c>
      <c r="C11" t="str">
        <f t="shared" si="0"/>
        <v xml:space="preserve">Оператор: И.А. Московский </v>
      </c>
      <c r="E11" t="s">
        <v>248</v>
      </c>
    </row>
    <row r="12" spans="1:5">
      <c r="A12" t="s">
        <v>136</v>
      </c>
      <c r="B12" t="s">
        <v>150</v>
      </c>
      <c r="C12" s="14" t="str">
        <f>CONCATENATE(A12,B12)</f>
        <v>Оператор: А.Ф. Паращенко</v>
      </c>
    </row>
    <row r="13" spans="1:5">
      <c r="A13" t="s">
        <v>136</v>
      </c>
      <c r="B13" t="s">
        <v>138</v>
      </c>
      <c r="C13" t="str">
        <f t="shared" si="0"/>
        <v xml:space="preserve">Оператор: А.С. Щербаков </v>
      </c>
    </row>
    <row r="14" spans="1:5">
      <c r="A14" t="s">
        <v>149</v>
      </c>
      <c r="B14" t="s">
        <v>151</v>
      </c>
      <c r="C14" t="str">
        <f t="shared" si="0"/>
        <v>Старшая мед.сетра: О.Н. Черткова</v>
      </c>
    </row>
    <row r="15" spans="1:5">
      <c r="A15" t="s">
        <v>152</v>
      </c>
      <c r="B15" t="s">
        <v>148</v>
      </c>
      <c r="C15" t="str">
        <f t="shared" si="0"/>
        <v xml:space="preserve">И/О старшей мед.сетры: А. Нефёдова </v>
      </c>
    </row>
    <row r="16" spans="1:5">
      <c r="A16" t="s">
        <v>152</v>
      </c>
      <c r="B16" t="s">
        <v>447</v>
      </c>
      <c r="C16" s="14" t="str">
        <f>CONCATENATE(A16,B16)</f>
        <v>И/О старшей мед.сетры: А.М. Казанцева</v>
      </c>
    </row>
    <row r="19" spans="1:2">
      <c r="A19" t="s">
        <v>239</v>
      </c>
      <c r="B19" t="s">
        <v>238</v>
      </c>
    </row>
    <row r="20" spans="1:2">
      <c r="A20" t="s">
        <v>234</v>
      </c>
      <c r="B20" t="s">
        <v>332</v>
      </c>
    </row>
    <row r="21" spans="1:2">
      <c r="A21" t="s">
        <v>234</v>
      </c>
      <c r="B21" t="s">
        <v>240</v>
      </c>
    </row>
    <row r="22" spans="1:2">
      <c r="A22" t="s">
        <v>234</v>
      </c>
      <c r="B22" t="s">
        <v>373</v>
      </c>
    </row>
    <row r="23" spans="1:2">
      <c r="A23" t="s">
        <v>234</v>
      </c>
      <c r="B23" t="s">
        <v>315</v>
      </c>
    </row>
    <row r="24" spans="1:2">
      <c r="A24" t="s">
        <v>234</v>
      </c>
      <c r="B24" t="s">
        <v>329</v>
      </c>
    </row>
    <row r="25" spans="1:2">
      <c r="A25" t="s">
        <v>234</v>
      </c>
      <c r="B25" t="s">
        <v>333</v>
      </c>
    </row>
    <row r="26" spans="1:2">
      <c r="A26" t="s">
        <v>234</v>
      </c>
      <c r="B26" t="s">
        <v>321</v>
      </c>
    </row>
    <row r="27" spans="1:2">
      <c r="A27" t="s">
        <v>234</v>
      </c>
      <c r="B27" t="s">
        <v>320</v>
      </c>
    </row>
    <row r="28" spans="1:2">
      <c r="A28" t="s">
        <v>234</v>
      </c>
      <c r="B28" t="s">
        <v>371</v>
      </c>
    </row>
    <row r="29" spans="1:2">
      <c r="A29" t="s">
        <v>234</v>
      </c>
      <c r="B29" t="s">
        <v>319</v>
      </c>
    </row>
    <row r="30" spans="1:2">
      <c r="A30" t="s">
        <v>234</v>
      </c>
      <c r="B30" t="s">
        <v>335</v>
      </c>
    </row>
    <row r="31" spans="1:2">
      <c r="A31" t="s">
        <v>234</v>
      </c>
      <c r="B31" t="s">
        <v>445</v>
      </c>
    </row>
    <row r="32" spans="1:2">
      <c r="A32" t="s">
        <v>234</v>
      </c>
      <c r="B32" t="s">
        <v>328</v>
      </c>
    </row>
    <row r="33" spans="1:2">
      <c r="A33" t="s">
        <v>234</v>
      </c>
      <c r="B33" t="s">
        <v>314</v>
      </c>
    </row>
    <row r="34" spans="1:2">
      <c r="A34" t="s">
        <v>234</v>
      </c>
      <c r="B34" t="s">
        <v>318</v>
      </c>
    </row>
    <row r="35" spans="1:2">
      <c r="A35" t="s">
        <v>234</v>
      </c>
      <c r="B35" t="s">
        <v>313</v>
      </c>
    </row>
    <row r="36" spans="1:2">
      <c r="A36" t="s">
        <v>234</v>
      </c>
      <c r="B36" t="s">
        <v>331</v>
      </c>
    </row>
    <row r="37" spans="1:2">
      <c r="A37" t="s">
        <v>234</v>
      </c>
      <c r="B37" t="s">
        <v>330</v>
      </c>
    </row>
    <row r="38" spans="1:2">
      <c r="A38" t="s">
        <v>234</v>
      </c>
      <c r="B38" t="s">
        <v>322</v>
      </c>
    </row>
    <row r="39" spans="1:2">
      <c r="A39" t="s">
        <v>234</v>
      </c>
      <c r="B39" t="s">
        <v>316</v>
      </c>
    </row>
    <row r="40" spans="1:2">
      <c r="A40" t="s">
        <v>234</v>
      </c>
      <c r="B40" t="s">
        <v>317</v>
      </c>
    </row>
    <row r="41" spans="1:2">
      <c r="A41" t="s">
        <v>372</v>
      </c>
      <c r="B41" t="s">
        <v>325</v>
      </c>
    </row>
    <row r="42" spans="1:2">
      <c r="A42" t="s">
        <v>372</v>
      </c>
      <c r="B42" t="s">
        <v>326</v>
      </c>
    </row>
    <row r="43" spans="1:2">
      <c r="A43" t="s">
        <v>372</v>
      </c>
      <c r="B43" t="s">
        <v>327</v>
      </c>
    </row>
    <row r="44" spans="1:2">
      <c r="A44" t="s">
        <v>372</v>
      </c>
      <c r="B44" t="s">
        <v>242</v>
      </c>
    </row>
    <row r="45" spans="1:2">
      <c r="A45" t="s">
        <v>372</v>
      </c>
      <c r="B45" t="s">
        <v>323</v>
      </c>
    </row>
    <row r="46" spans="1:2">
      <c r="A46" t="s">
        <v>372</v>
      </c>
      <c r="B46" t="s">
        <v>334</v>
      </c>
    </row>
    <row r="47" spans="1:2">
      <c r="A47" t="s">
        <v>372</v>
      </c>
      <c r="B47" t="s">
        <v>241</v>
      </c>
    </row>
    <row r="48" spans="1:2">
      <c r="A48" t="s">
        <v>372</v>
      </c>
      <c r="B48" t="s">
        <v>324</v>
      </c>
    </row>
    <row r="49" spans="1:2">
      <c r="A49" t="s">
        <v>235</v>
      </c>
      <c r="B49" t="s">
        <v>208</v>
      </c>
    </row>
    <row r="50" spans="1:2">
      <c r="A50" t="s">
        <v>235</v>
      </c>
      <c r="B50" t="s">
        <v>211</v>
      </c>
    </row>
    <row r="51" spans="1:2">
      <c r="A51" t="s">
        <v>235</v>
      </c>
      <c r="B51" t="s">
        <v>214</v>
      </c>
    </row>
    <row r="52" spans="1:2">
      <c r="A52" t="s">
        <v>235</v>
      </c>
      <c r="B52" t="s">
        <v>217</v>
      </c>
    </row>
    <row r="53" spans="1:2">
      <c r="A53" t="s">
        <v>235</v>
      </c>
      <c r="B53" t="s">
        <v>220</v>
      </c>
    </row>
    <row r="54" spans="1:2">
      <c r="A54" t="s">
        <v>235</v>
      </c>
      <c r="B54" t="s">
        <v>223</v>
      </c>
    </row>
    <row r="55" spans="1:2">
      <c r="A55" t="s">
        <v>235</v>
      </c>
      <c r="B55" t="s">
        <v>228</v>
      </c>
    </row>
    <row r="56" spans="1:2">
      <c r="A56" t="s">
        <v>235</v>
      </c>
      <c r="B56" t="s">
        <v>342</v>
      </c>
    </row>
    <row r="57" spans="1:2">
      <c r="A57" t="s">
        <v>235</v>
      </c>
      <c r="B57" t="s">
        <v>230</v>
      </c>
    </row>
    <row r="58" spans="1:2">
      <c r="A58" t="s">
        <v>235</v>
      </c>
      <c r="B58" t="s">
        <v>231</v>
      </c>
    </row>
    <row r="59" spans="1:2">
      <c r="A59" t="s">
        <v>235</v>
      </c>
      <c r="B59" t="s">
        <v>232</v>
      </c>
    </row>
    <row r="60" spans="1:2">
      <c r="A60" t="s">
        <v>235</v>
      </c>
      <c r="B60" t="s">
        <v>233</v>
      </c>
    </row>
    <row r="61" spans="1:2">
      <c r="A61" t="s">
        <v>235</v>
      </c>
      <c r="B61" t="s">
        <v>205</v>
      </c>
    </row>
    <row r="62" spans="1:2">
      <c r="A62" t="s">
        <v>235</v>
      </c>
      <c r="B62" t="s">
        <v>249</v>
      </c>
    </row>
    <row r="63" spans="1:2">
      <c r="A63" t="s">
        <v>236</v>
      </c>
      <c r="B63" t="s">
        <v>427</v>
      </c>
    </row>
    <row r="64" spans="1:2">
      <c r="A64" t="s">
        <v>236</v>
      </c>
      <c r="B64" t="s">
        <v>207</v>
      </c>
    </row>
    <row r="65" spans="1:2">
      <c r="A65" t="s">
        <v>236</v>
      </c>
      <c r="B65" t="s">
        <v>210</v>
      </c>
    </row>
    <row r="66" spans="1:2">
      <c r="A66" t="s">
        <v>236</v>
      </c>
      <c r="B66" t="s">
        <v>204</v>
      </c>
    </row>
    <row r="67" spans="1:2">
      <c r="A67" t="s">
        <v>236</v>
      </c>
      <c r="B67" t="s">
        <v>213</v>
      </c>
    </row>
    <row r="68" spans="1:2">
      <c r="A68" t="s">
        <v>236</v>
      </c>
      <c r="B68" t="s">
        <v>216</v>
      </c>
    </row>
    <row r="69" spans="1:2">
      <c r="A69" t="s">
        <v>236</v>
      </c>
      <c r="B69" t="s">
        <v>219</v>
      </c>
    </row>
    <row r="70" spans="1:2">
      <c r="A70" t="s">
        <v>236</v>
      </c>
      <c r="B70" t="s">
        <v>222</v>
      </c>
    </row>
    <row r="71" spans="1:2">
      <c r="A71" t="s">
        <v>236</v>
      </c>
      <c r="B71" t="s">
        <v>225</v>
      </c>
    </row>
    <row r="72" spans="1:2">
      <c r="A72" t="s">
        <v>236</v>
      </c>
      <c r="B72" t="s">
        <v>227</v>
      </c>
    </row>
    <row r="73" spans="1:2">
      <c r="A73" t="s">
        <v>248</v>
      </c>
      <c r="B73" t="s">
        <v>206</v>
      </c>
    </row>
    <row r="74" spans="1:2">
      <c r="A74" t="s">
        <v>248</v>
      </c>
      <c r="B74" t="s">
        <v>341</v>
      </c>
    </row>
    <row r="75" spans="1:2">
      <c r="A75" t="s">
        <v>248</v>
      </c>
      <c r="B75" t="s">
        <v>209</v>
      </c>
    </row>
    <row r="76" spans="1:2">
      <c r="A76" t="s">
        <v>248</v>
      </c>
      <c r="B76" t="s">
        <v>212</v>
      </c>
    </row>
    <row r="77" spans="1:2">
      <c r="A77" t="s">
        <v>248</v>
      </c>
      <c r="B77" t="s">
        <v>215</v>
      </c>
    </row>
    <row r="78" spans="1:2">
      <c r="A78" t="s">
        <v>248</v>
      </c>
      <c r="B78" t="s">
        <v>218</v>
      </c>
    </row>
    <row r="79" spans="1:2">
      <c r="A79" t="s">
        <v>248</v>
      </c>
      <c r="B79" t="s">
        <v>224</v>
      </c>
    </row>
    <row r="80" spans="1:2">
      <c r="A80" t="s">
        <v>248</v>
      </c>
      <c r="B80" t="s">
        <v>221</v>
      </c>
    </row>
    <row r="81" spans="1:2">
      <c r="A81" t="s">
        <v>248</v>
      </c>
      <c r="B81" t="s">
        <v>226</v>
      </c>
    </row>
    <row r="82" spans="1:2">
      <c r="A82" t="s">
        <v>248</v>
      </c>
      <c r="B82" t="s">
        <v>229</v>
      </c>
    </row>
  </sheetData>
  <sheetProtection sheet="1" objects="1" scenarios="1"/>
  <phoneticPr fontId="13" type="noConversion"/>
  <dataValidations count="1">
    <dataValidation type="list" allowBlank="1" showInputMessage="1" showErrorMessage="1" sqref="A20:A82">
      <formula1>INDIRECT("Должность[Должность]")</formula1>
    </dataValidation>
  </dataValidations>
  <pageMargins left="0.7" right="0.7" top="0.75" bottom="0.75"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6</vt:i4>
      </vt:variant>
      <vt:variant>
        <vt:lpstr>Именованные диапазоны</vt:lpstr>
      </vt:variant>
      <vt:variant>
        <vt:i4>3</vt:i4>
      </vt:variant>
    </vt:vector>
  </HeadingPairs>
  <TitlesOfParts>
    <vt:vector size="9" baseType="lpstr">
      <vt:lpstr>КАГ</vt:lpstr>
      <vt:lpstr>ЧКВ</vt:lpstr>
      <vt:lpstr>Карта учёта</vt:lpstr>
      <vt:lpstr>Вмешательства</vt:lpstr>
      <vt:lpstr>Расходный материал</vt:lpstr>
      <vt:lpstr>Сотрудники</vt:lpstr>
      <vt:lpstr>КАГ!Область_печати</vt:lpstr>
      <vt:lpstr>'Карта учёта'!Область_печати</vt:lpstr>
      <vt:lpstr>ЧКВ!Область_печати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Ангиограф Экстренный</cp:lastModifiedBy>
  <cp:lastPrinted>2022-05-25T07:41:48Z</cp:lastPrinted>
  <dcterms:created xsi:type="dcterms:W3CDTF">2015-06-05T18:19:34Z</dcterms:created>
  <dcterms:modified xsi:type="dcterms:W3CDTF">2022-05-25T07:47:28Z</dcterms:modified>
</cp:coreProperties>
</file>