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6\20\"/>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_xlnm.Print_Area" localSheetId="1">ЧКВ!$A$1:$H$54</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3" l="1"/>
  <c r="O39" i="1" l="1"/>
  <c r="O40" i="1" s="1"/>
  <c r="P39" i="1"/>
  <c r="P40" i="1"/>
  <c r="P41" i="1"/>
  <c r="Q39" i="1"/>
  <c r="Q40" i="1" s="1"/>
  <c r="AB39" i="1"/>
  <c r="AC39" i="1"/>
  <c r="AC40" i="1"/>
  <c r="AC41" i="1"/>
  <c r="AD39" i="1"/>
  <c r="Q41" i="1" l="1"/>
  <c r="AD40" i="1"/>
  <c r="AD41" i="1"/>
  <c r="O41" i="1"/>
  <c r="AB40" i="1"/>
  <c r="AB41" i="1"/>
  <c r="C16" i="5"/>
  <c r="C2" i="3" l="1"/>
  <c r="A10" i="9"/>
  <c r="A16" i="3" l="1"/>
  <c r="B5" i="3" l="1"/>
  <c r="B15" i="9" l="1"/>
  <c r="H20" i="9" l="1"/>
  <c r="G20" i="9"/>
  <c r="G17" i="9" l="1"/>
  <c r="Q2" i="1"/>
  <c r="P2" i="1"/>
  <c r="O2" i="1"/>
  <c r="N2" i="1"/>
  <c r="M2" i="1"/>
  <c r="L2" i="1"/>
  <c r="K2" i="1"/>
  <c r="I2" i="1"/>
  <c r="J2" i="1"/>
  <c r="A9" i="3"/>
  <c r="G2" i="1"/>
  <c r="H2" i="1"/>
  <c r="F2" i="1"/>
  <c r="E2" i="1"/>
  <c r="A5"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E8" i="1" s="1"/>
  <c r="I7" i="1"/>
  <c r="I8" i="1" s="1"/>
  <c r="I9" i="1" s="1"/>
  <c r="F7" i="1"/>
  <c r="J9" i="1"/>
  <c r="M7" i="1"/>
  <c r="M8" i="1" s="1"/>
  <c r="M9" i="1" s="1"/>
  <c r="O8" i="1"/>
  <c r="O9" i="1" s="1"/>
  <c r="O10" i="1" s="1"/>
  <c r="H8" i="1"/>
  <c r="E9" i="1"/>
  <c r="P12" i="1"/>
  <c r="Q9" i="1"/>
  <c r="L9" i="1"/>
  <c r="K8" i="1"/>
  <c r="N10" i="1" l="1"/>
  <c r="Q10" i="1"/>
  <c r="J10" i="1"/>
  <c r="J11" i="1" s="1"/>
  <c r="G9" i="1"/>
  <c r="G10" i="1" s="1"/>
  <c r="H9" i="1"/>
  <c r="I10" i="1"/>
  <c r="I11" i="1" s="1"/>
  <c r="I12" i="1" s="1"/>
  <c r="F8" i="1"/>
  <c r="E10" i="1"/>
  <c r="M10" i="1"/>
  <c r="M11" i="1" s="1"/>
  <c r="M12" i="1" s="1"/>
  <c r="K9" i="1"/>
  <c r="K10" i="1" s="1"/>
  <c r="P13" i="1"/>
  <c r="Q11" i="1"/>
  <c r="Q12" i="1" s="1"/>
  <c r="Q13" i="1" s="1"/>
  <c r="O11" i="1"/>
  <c r="O12" i="1" s="1"/>
  <c r="L10" i="1"/>
  <c r="F9" i="1" l="1"/>
  <c r="N11" i="1"/>
  <c r="N12" i="1"/>
  <c r="P14" i="1"/>
  <c r="P15" i="1" s="1"/>
  <c r="J12" i="1"/>
  <c r="H10" i="1"/>
  <c r="H11" i="1" s="1"/>
  <c r="H12" i="1" s="1"/>
  <c r="H13" i="1" s="1"/>
  <c r="N13" i="1"/>
  <c r="AA2" i="1" s="1"/>
  <c r="E11" i="1"/>
  <c r="G11" i="1"/>
  <c r="I13" i="1"/>
  <c r="I14" i="1" s="1"/>
  <c r="O13" i="1"/>
  <c r="O14" i="1" s="1"/>
  <c r="L11" i="1"/>
  <c r="Q14" i="1"/>
  <c r="M13" i="1"/>
  <c r="M14" i="1" s="1"/>
  <c r="K11" i="1"/>
  <c r="F10" i="1" l="1"/>
  <c r="F11" i="1" s="1"/>
  <c r="F12" i="1" s="1"/>
  <c r="F13" i="1"/>
  <c r="L12" i="1"/>
  <c r="L13" i="1" s="1"/>
  <c r="L14" i="1" s="1"/>
  <c r="L15" i="1" s="1"/>
  <c r="G12" i="1"/>
  <c r="G13" i="1" s="1"/>
  <c r="J13" i="1"/>
  <c r="J14" i="1" s="1"/>
  <c r="J15" i="1" s="1"/>
  <c r="J16" i="1" s="1"/>
  <c r="N14" i="1"/>
  <c r="N15" i="1" s="1"/>
  <c r="E12" i="1"/>
  <c r="H14" i="1"/>
  <c r="H15" i="1" s="1"/>
  <c r="I15" i="1"/>
  <c r="M15" i="1"/>
  <c r="O15" i="1"/>
  <c r="P16" i="1"/>
  <c r="Q15" i="1"/>
  <c r="K12" i="1"/>
  <c r="F14" i="1" l="1"/>
  <c r="F15" i="1" s="1"/>
  <c r="J17" i="1"/>
  <c r="J18" i="1" s="1"/>
  <c r="N16" i="1"/>
  <c r="N17" i="1" s="1"/>
  <c r="H16" i="1"/>
  <c r="H17" i="1" s="1"/>
  <c r="E13" i="1"/>
  <c r="I16" i="1"/>
  <c r="I17" i="1" s="1"/>
  <c r="M16" i="1"/>
  <c r="M17" i="1" s="1"/>
  <c r="O16" i="1"/>
  <c r="O17" i="1" s="1"/>
  <c r="K13" i="1"/>
  <c r="K14" i="1" s="1"/>
  <c r="P17" i="1"/>
  <c r="Q16" i="1"/>
  <c r="L16" i="1"/>
  <c r="G14" i="1"/>
  <c r="F16" i="1" l="1"/>
  <c r="F17"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F18" i="1" l="1"/>
  <c r="F19" i="1" s="1"/>
  <c r="H23" i="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l="1"/>
  <c r="F21" i="1" s="1"/>
  <c r="Q25" i="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G24" i="1"/>
  <c r="P25" i="1"/>
  <c r="N24" i="1"/>
  <c r="AA9" i="1"/>
  <c r="O23" i="1"/>
  <c r="O24" i="1" s="1"/>
  <c r="AA18" i="1"/>
  <c r="F23" i="1"/>
  <c r="F24" i="1" s="1"/>
  <c r="W39" i="1" l="1"/>
  <c r="W41" i="1"/>
  <c r="W40" i="1"/>
  <c r="H30" i="1"/>
  <c r="H31"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H32" i="1" l="1"/>
  <c r="E21" i="1"/>
  <c r="Q32" i="1"/>
  <c r="Q33" i="1" s="1"/>
  <c r="AD17" i="1" s="1"/>
  <c r="G27" i="1"/>
  <c r="G28" i="1" s="1"/>
  <c r="H33" i="1"/>
  <c r="H34" i="1" s="1"/>
  <c r="H35" i="1" s="1"/>
  <c r="H36" i="1" s="1"/>
  <c r="H37" i="1" s="1"/>
  <c r="H38" i="1" s="1"/>
  <c r="H39" i="1" s="1"/>
  <c r="H40" i="1" s="1"/>
  <c r="H41" i="1" s="1"/>
  <c r="I31" i="1"/>
  <c r="I32" i="1" s="1"/>
  <c r="I33" i="1" s="1"/>
  <c r="I34" i="1" s="1"/>
  <c r="I35" i="1" s="1"/>
  <c r="I36" i="1" s="1"/>
  <c r="I37" i="1" s="1"/>
  <c r="I38" i="1" s="1"/>
  <c r="I39" i="1" s="1"/>
  <c r="I40" i="1" s="1"/>
  <c r="I41" i="1" s="1"/>
  <c r="K32" i="1"/>
  <c r="K33" i="1" s="1"/>
  <c r="K34" i="1" s="1"/>
  <c r="K35" i="1" s="1"/>
  <c r="K36" i="1" s="1"/>
  <c r="K37" i="1" s="1"/>
  <c r="K38" i="1" s="1"/>
  <c r="K39" i="1" s="1"/>
  <c r="K40" i="1" s="1"/>
  <c r="K41" i="1" s="1"/>
  <c r="X2" i="1"/>
  <c r="AD31" i="1"/>
  <c r="AD29" i="1"/>
  <c r="AD28" i="1"/>
  <c r="L28" i="1"/>
  <c r="L29" i="1" s="1"/>
  <c r="M27" i="1"/>
  <c r="AB26" i="1"/>
  <c r="O27" i="1"/>
  <c r="AC26" i="1"/>
  <c r="P27" i="1"/>
  <c r="T2" i="1"/>
  <c r="F26" i="1"/>
  <c r="F27" i="1" s="1"/>
  <c r="N26" i="1"/>
  <c r="AB2" i="1"/>
  <c r="AB5" i="1"/>
  <c r="AB4" i="1"/>
  <c r="AB3" i="1"/>
  <c r="AB7" i="1"/>
  <c r="AB6" i="1"/>
  <c r="AB8" i="1"/>
  <c r="AB9" i="1"/>
  <c r="AB13" i="1"/>
  <c r="AB12" i="1"/>
  <c r="AB10" i="1"/>
  <c r="AB11" i="1"/>
  <c r="AB15" i="1"/>
  <c r="AB14" i="1"/>
  <c r="AB18" i="1"/>
  <c r="AB24" i="1"/>
  <c r="AB21" i="1"/>
  <c r="AB19" i="1"/>
  <c r="X40" i="1" l="1"/>
  <c r="X41" i="1"/>
  <c r="X39" i="1"/>
  <c r="V39" i="1"/>
  <c r="V40" i="1"/>
  <c r="V41" i="1"/>
  <c r="U40" i="1"/>
  <c r="U39" i="1"/>
  <c r="U41" i="1"/>
  <c r="V2" i="1"/>
  <c r="U2" i="1"/>
  <c r="E22" i="1"/>
  <c r="E23" i="1" s="1"/>
  <c r="E24" i="1" s="1"/>
  <c r="Q34" i="1"/>
  <c r="N27" i="1"/>
  <c r="M28" i="1"/>
  <c r="M29" i="1" s="1"/>
  <c r="L30" i="1"/>
  <c r="G29" i="1"/>
  <c r="G30" i="1" s="1"/>
  <c r="F28" i="1"/>
  <c r="AA27" i="1"/>
  <c r="N28" i="1"/>
  <c r="AC27" i="1"/>
  <c r="P28" i="1"/>
  <c r="AB27" i="1"/>
  <c r="O28" i="1"/>
  <c r="AA26" i="1"/>
  <c r="AA7" i="1"/>
  <c r="Q35" i="1" l="1"/>
  <c r="Q36" i="1" s="1"/>
  <c r="Q37" i="1" s="1"/>
  <c r="Q38" i="1" s="1"/>
  <c r="E25" i="1"/>
  <c r="AD16" i="1"/>
  <c r="AD35" i="1"/>
  <c r="AD34" i="1"/>
  <c r="AD20" i="1"/>
  <c r="AD23" i="1"/>
  <c r="AD22" i="1"/>
  <c r="G31" i="1"/>
  <c r="G32" i="1" s="1"/>
  <c r="G33" i="1" s="1"/>
  <c r="G34" i="1" s="1"/>
  <c r="G35" i="1" s="1"/>
  <c r="G36" i="1" s="1"/>
  <c r="G37" i="1" s="1"/>
  <c r="G38" i="1" s="1"/>
  <c r="G39" i="1" s="1"/>
  <c r="G40" i="1" s="1"/>
  <c r="G41" i="1" s="1"/>
  <c r="L31" i="1"/>
  <c r="L32" i="1" s="1"/>
  <c r="M30" i="1"/>
  <c r="F29" i="1"/>
  <c r="F30" i="1" s="1"/>
  <c r="N29" i="1"/>
  <c r="P29" i="1"/>
  <c r="O29" i="1"/>
  <c r="T40" i="1" l="1"/>
  <c r="T41" i="1"/>
  <c r="T39" i="1"/>
  <c r="AD37" i="1"/>
  <c r="AD38" i="1"/>
  <c r="AD36" i="1"/>
  <c r="E26" i="1"/>
  <c r="F31" i="1"/>
  <c r="F32" i="1" s="1"/>
  <c r="F33" i="1" s="1"/>
  <c r="F34" i="1" s="1"/>
  <c r="F35" i="1" s="1"/>
  <c r="F36" i="1" s="1"/>
  <c r="F37" i="1" s="1"/>
  <c r="F38" i="1" s="1"/>
  <c r="F39" i="1" s="1"/>
  <c r="F40" i="1" s="1"/>
  <c r="F41" i="1" s="1"/>
  <c r="L33" i="1"/>
  <c r="M31" i="1"/>
  <c r="N30" i="1"/>
  <c r="O30" i="1"/>
  <c r="P30" i="1"/>
  <c r="AC25" i="1"/>
  <c r="AB25" i="1"/>
  <c r="AA25" i="1"/>
  <c r="S40" i="1" l="1"/>
  <c r="S39" i="1"/>
  <c r="S41" i="1"/>
  <c r="AD33" i="1"/>
  <c r="AD32" i="1"/>
  <c r="E27" i="1"/>
  <c r="M32" i="1"/>
  <c r="M33" i="1" s="1"/>
  <c r="L34" i="1"/>
  <c r="S2" i="1"/>
  <c r="AC30" i="1"/>
  <c r="P31" i="1"/>
  <c r="AB30" i="1"/>
  <c r="O31" i="1"/>
  <c r="AA30" i="1"/>
  <c r="N31" i="1"/>
  <c r="E28" i="1" l="1"/>
  <c r="L35" i="1"/>
  <c r="M34" i="1"/>
  <c r="Z2" i="1"/>
  <c r="AB31" i="1"/>
  <c r="O32" i="1"/>
  <c r="O33" i="1" s="1"/>
  <c r="AA31" i="1"/>
  <c r="N32" i="1"/>
  <c r="N33" i="1" s="1"/>
  <c r="AC31" i="1"/>
  <c r="P32" i="1"/>
  <c r="P33" i="1" s="1"/>
  <c r="AA29" i="1"/>
  <c r="AB29" i="1"/>
  <c r="AC29" i="1"/>
  <c r="AC28" i="1"/>
  <c r="AA28" i="1"/>
  <c r="AB28" i="1"/>
  <c r="E29" i="1" l="1"/>
  <c r="E30" i="1" s="1"/>
  <c r="E31" i="1" s="1"/>
  <c r="L36" i="1"/>
  <c r="M35" i="1"/>
  <c r="AC17" i="1"/>
  <c r="P34" i="1"/>
  <c r="P35" i="1" s="1"/>
  <c r="P36" i="1" s="1"/>
  <c r="P37" i="1" s="1"/>
  <c r="P38" i="1" s="1"/>
  <c r="AA17" i="1"/>
  <c r="N34" i="1"/>
  <c r="N35" i="1" s="1"/>
  <c r="N36" i="1" s="1"/>
  <c r="N37" i="1" s="1"/>
  <c r="N38" i="1" s="1"/>
  <c r="N39" i="1" s="1"/>
  <c r="N40" i="1" s="1"/>
  <c r="N41" i="1" s="1"/>
  <c r="AB17" i="1"/>
  <c r="O34" i="1"/>
  <c r="O35" i="1" s="1"/>
  <c r="O36" i="1" s="1"/>
  <c r="O37" i="1" s="1"/>
  <c r="O38" i="1" s="1"/>
  <c r="AA40" i="1" l="1"/>
  <c r="AA39" i="1"/>
  <c r="AA41" i="1"/>
  <c r="AB38" i="1"/>
  <c r="AB32" i="1"/>
  <c r="AA38" i="1"/>
  <c r="AA32" i="1"/>
  <c r="AC38" i="1"/>
  <c r="AC32" i="1"/>
  <c r="E32" i="1"/>
  <c r="E33" i="1" s="1"/>
  <c r="E34" i="1" s="1"/>
  <c r="L37" i="1"/>
  <c r="AA37" i="1"/>
  <c r="AA16" i="1"/>
  <c r="AC37" i="1"/>
  <c r="AC16" i="1"/>
  <c r="AB37" i="1"/>
  <c r="AB16" i="1"/>
  <c r="Y2" i="1"/>
  <c r="M36" i="1"/>
  <c r="AB36" i="1"/>
  <c r="AB35" i="1"/>
  <c r="AA36" i="1"/>
  <c r="AA35" i="1"/>
  <c r="AC36" i="1"/>
  <c r="AC35" i="1"/>
  <c r="AB20" i="1"/>
  <c r="AB23" i="1"/>
  <c r="AA23" i="1"/>
  <c r="AA20" i="1"/>
  <c r="AC23" i="1"/>
  <c r="AC20" i="1"/>
  <c r="AB34" i="1"/>
  <c r="AB22" i="1"/>
  <c r="AA34" i="1"/>
  <c r="AA22" i="1"/>
  <c r="AC34" i="1"/>
  <c r="AC22" i="1"/>
  <c r="AA33" i="1" l="1"/>
  <c r="L38" i="1"/>
  <c r="AC33" i="1"/>
  <c r="AB33" i="1"/>
  <c r="E35" i="1"/>
  <c r="E36" i="1" s="1"/>
  <c r="M37" i="1"/>
  <c r="Y23" i="1" l="1"/>
  <c r="L39" i="1"/>
  <c r="L40" i="1" s="1"/>
  <c r="L41" i="1" s="1"/>
  <c r="Y6" i="1"/>
  <c r="Y8" i="1"/>
  <c r="Y3" i="1"/>
  <c r="Y4" i="1"/>
  <c r="Y5" i="1"/>
  <c r="Y7" i="1"/>
  <c r="Y41" i="1"/>
  <c r="Y39" i="1"/>
  <c r="Y40" i="1"/>
  <c r="Y30" i="1"/>
  <c r="Y15" i="1"/>
  <c r="Y18" i="1"/>
  <c r="Y20" i="1"/>
  <c r="Y28" i="1"/>
  <c r="Y26" i="1"/>
  <c r="Y11" i="1"/>
  <c r="Y24" i="1"/>
  <c r="Y21" i="1"/>
  <c r="Y10" i="1"/>
  <c r="Y25" i="1"/>
  <c r="Y16" i="1"/>
  <c r="Y35" i="1"/>
  <c r="Y34" i="1"/>
  <c r="Y31" i="1"/>
  <c r="Y12" i="1"/>
  <c r="Y22" i="1"/>
  <c r="Y29" i="1"/>
  <c r="Y27" i="1"/>
  <c r="Y13" i="1"/>
  <c r="Y19" i="1"/>
  <c r="Y36" i="1"/>
  <c r="Y14" i="1"/>
  <c r="Y9" i="1"/>
  <c r="Y17" i="1"/>
  <c r="Y38" i="1"/>
  <c r="Y37" i="1"/>
  <c r="E37" i="1"/>
  <c r="E38" i="1" s="1"/>
  <c r="E39" i="1" s="1"/>
  <c r="E40" i="1" s="1"/>
  <c r="E41" i="1" s="1"/>
  <c r="M38" i="1"/>
  <c r="M39" i="1" s="1"/>
  <c r="M40" i="1" s="1"/>
  <c r="M41" i="1" s="1"/>
  <c r="R39" i="1" l="1"/>
  <c r="R40" i="1"/>
  <c r="R41" i="1"/>
  <c r="Z33" i="1"/>
  <c r="Z39" i="1"/>
  <c r="Z40" i="1"/>
  <c r="Z41" i="1"/>
  <c r="Z18" i="1"/>
  <c r="Z8" i="1"/>
  <c r="Z15" i="1"/>
  <c r="Z34" i="1"/>
  <c r="Z26" i="1"/>
  <c r="Z10" i="1"/>
  <c r="Z22" i="1"/>
  <c r="Z25" i="1"/>
  <c r="Z12" i="1"/>
  <c r="Z20" i="1"/>
  <c r="Z21" i="1"/>
  <c r="Z31" i="1"/>
  <c r="Z5" i="1"/>
  <c r="Z27" i="1"/>
  <c r="Z35" i="1"/>
  <c r="Z29" i="1"/>
  <c r="Z4" i="1"/>
  <c r="Z17" i="1"/>
  <c r="Z19" i="1"/>
  <c r="Z16" i="1"/>
  <c r="Z37" i="1"/>
  <c r="Z13" i="1"/>
  <c r="Z11" i="1"/>
  <c r="Z28" i="1"/>
  <c r="Z24" i="1"/>
  <c r="Z9" i="1"/>
  <c r="Z7" i="1"/>
  <c r="Z6" i="1"/>
  <c r="Z30" i="1"/>
  <c r="Z14" i="1"/>
  <c r="Z3" i="1"/>
  <c r="Y32" i="1"/>
  <c r="Y33" i="1"/>
  <c r="Z32" i="1"/>
  <c r="Z36" i="1"/>
  <c r="R25" i="1"/>
  <c r="Z38" i="1"/>
  <c r="Z23"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X8" i="1" l="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3" i="1"/>
  <c r="S3" i="1" l="1"/>
  <c r="S5" i="1"/>
  <c r="S37" i="1"/>
  <c r="S19" i="1"/>
  <c r="S27" i="1"/>
  <c r="S23" i="1"/>
  <c r="S14" i="1"/>
  <c r="S7" i="1"/>
  <c r="S22" i="1"/>
  <c r="S38" i="1"/>
  <c r="S34" i="1"/>
  <c r="S16" i="1"/>
  <c r="S26" i="1"/>
  <c r="S9" i="1"/>
  <c r="S24" i="1"/>
  <c r="S18" i="1"/>
  <c r="S17" i="1"/>
  <c r="S33" i="1"/>
  <c r="S4" i="1"/>
  <c r="S35" i="1"/>
  <c r="S6" i="1"/>
  <c r="S11" i="1"/>
  <c r="S21" i="1"/>
  <c r="S12" i="1"/>
  <c r="S25" i="1"/>
  <c r="S31" i="1"/>
  <c r="S36" i="1"/>
  <c r="S8" i="1"/>
  <c r="S13" i="1"/>
  <c r="S29" i="1"/>
  <c r="S15" i="1"/>
  <c r="S10" i="1"/>
  <c r="S20" i="1"/>
  <c r="S30" i="1"/>
  <c r="S28" i="1"/>
  <c r="S32" i="1"/>
  <c r="T5" i="1" l="1"/>
  <c r="T4" i="1"/>
  <c r="T37" i="1"/>
  <c r="T35" i="1"/>
  <c r="T24" i="1"/>
  <c r="T11" i="1"/>
  <c r="T12" i="1"/>
  <c r="T23" i="1"/>
  <c r="T20" i="1"/>
  <c r="T33" i="1"/>
  <c r="T36" i="1"/>
  <c r="T21" i="1"/>
  <c r="T17" i="1"/>
  <c r="T7" i="1"/>
  <c r="T26" i="1"/>
  <c r="T22" i="1"/>
  <c r="T10" i="1"/>
  <c r="T29" i="1"/>
  <c r="T32" i="1"/>
  <c r="T3" i="1"/>
  <c r="T34" i="1"/>
  <c r="T15" i="1"/>
  <c r="T6" i="1"/>
  <c r="T25" i="1"/>
  <c r="T9" i="1"/>
  <c r="T16" i="1"/>
  <c r="T30" i="1"/>
  <c r="T38" i="1"/>
  <c r="T19" i="1"/>
  <c r="T14" i="1"/>
  <c r="T28" i="1"/>
  <c r="T8" i="1"/>
  <c r="T13" i="1"/>
  <c r="T18" i="1"/>
  <c r="T27" i="1"/>
  <c r="T31" i="1"/>
  <c r="U6" i="1" l="1"/>
  <c r="U7" i="1"/>
  <c r="U5" i="1"/>
  <c r="U3" i="1"/>
  <c r="U4" i="1"/>
  <c r="U8" i="1"/>
  <c r="U37" i="1"/>
  <c r="U36" i="1"/>
  <c r="U32" i="1"/>
  <c r="U12" i="1"/>
  <c r="U30" i="1"/>
  <c r="U25" i="1"/>
  <c r="U24" i="1"/>
  <c r="U9" i="1"/>
  <c r="U20" i="1"/>
  <c r="U29" i="1"/>
  <c r="U22" i="1"/>
  <c r="U13" i="1"/>
  <c r="U38" i="1"/>
  <c r="U10" i="1"/>
  <c r="U33" i="1"/>
  <c r="U34" i="1"/>
  <c r="U31" i="1"/>
  <c r="U27" i="1"/>
  <c r="U23" i="1"/>
  <c r="U21" i="1"/>
  <c r="U18" i="1"/>
  <c r="U16" i="1"/>
  <c r="U28" i="1"/>
  <c r="U19" i="1"/>
  <c r="U15" i="1"/>
  <c r="U14" i="1"/>
  <c r="U26" i="1"/>
  <c r="U35" i="1"/>
  <c r="U17" i="1"/>
  <c r="U1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<sst xmlns="http://schemas.openxmlformats.org/spreadsheetml/2006/main" count="713" uniqueCount="463">
  <si>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</si>
  <si>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</si>
  <si>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</si>
  <si>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</si>
  <si>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</si>
  <si>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</si>
  <si>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</si>
  <si>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</si>
  <si>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</si>
  <si>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</si>
  <si>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</si>
  <si>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</si>
  <si>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</si>
  <si>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</si>
  <si>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</si>
  <si>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</si>
  <si>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</si>
  <si>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</si>
  <si>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</si>
  <si>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</si>
  <si>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</si>
  <si>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</si>
  <si>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</si>
  <si>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</si>
  <si>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</si>
  <si>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</si>
  <si>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</si>
  <si>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</si>
  <si>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</si>
  <si>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</si>
  <si>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</si>
  <si>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</si>
  <si>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</si>
  <si>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</si>
  <si>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</si>
  <si>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</si>
  <si>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</si>
  <si>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</si>
  <si>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</si>
  <si>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</si>
  <si>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</si>
  <si>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</si>
  <si>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</si>
  <si>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</si>
  <si>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</si>
  <si>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</si>
  <si>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</si>
  <si>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</si>
  <si>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</si>
  <si>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</si>
  <si>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</si>
  <si>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</si>
  <si>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</si>
  <si>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</si>
  <si>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</si>
  <si>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</si>
  <si>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</si>
  <si>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</si>
  <si>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</si>
  <si>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</si>
  <si>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</si>
  <si>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</si>
  <si>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</si>
  <si>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</si>
  <si>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</si>
  <si>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</si>
  <si>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</si>
  <si>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</si>
  <si>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</si>
  <si>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</si>
  <si>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</si>
  <si>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</si>
  <si>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</si>
  <si>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</si>
  <si>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</si>
  <si>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</si>
  <si>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</si>
  <si>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</si>
  <si>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</si>
  <si>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</si>
  <si>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</si>
  <si>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</si>
  <si>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</si>
  <si>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</si>
  <si>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</si>
  <si>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</si>
  <si>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</si>
  <si>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</si>
  <si>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</si>
  <si>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</si>
  <si>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</si>
  <si>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</si>
  <si>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</si>
  <si>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</si>
  <si>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</si>
  <si>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</si>
  <si>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</si>
  <si>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</si>
  <si>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</si>
  <si>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</si>
  <si>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</si>
  <si>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</si>
  <si>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</si>
  <si>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</si>
  <si>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</si>
  <si>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</si>
  <si>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</si>
  <si>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</si>
  <si>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</si>
  <si>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</si>
  <si>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</si>
  <si>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</si>
  <si>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</si>
  <si>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</si>
  <si>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</si>
  <si>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</si>
  <si>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</si>
  <si>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</si>
  <si>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</si>
  <si>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</si>
  <si>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</si>
  <si>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</si>
  <si>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</si>
  <si>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</si>
  <si>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</si>
  <si>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</si>
  <si>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</si>
  <si>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</si>
  <si>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</si>
  <si>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</si>
  <si>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</si>
  <si>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</si>
  <si>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</si>
  <si>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</si>
  <si>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</si>
  <si>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</si>
  <si>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</si>
  <si>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</si>
  <si>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</si>
  <si>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</si>
  <si>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</si>
  <si>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</si>
  <si>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</si>
  <si>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</si>
  <si>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</si>
  <si>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</si>
  <si>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</si>
  <si>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</si>
  <si>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</si>
  <si>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</si>
  <si>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</si>
  <si>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</si>
  <si>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</si>
  <si>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</si>
  <si>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</si>
  <si>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</si>
  <si>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Коронарный проводник</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</si>
  <si>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</si>
  <si>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</si>
  <si>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</si>
  <si>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</si>
  <si>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</si>
  <si>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</si>
  <si>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</si>
  <si>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</si>
  <si>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</si>
  <si>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</si>
  <si>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</si>
  <si>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</si>
  <si>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</si>
  <si>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</si>
  <si>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</si>
  <si>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</si>
  <si>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</si>
  <si>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</si>
  <si>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</si>
  <si>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</si>
  <si>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</si>
  <si>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</si>
  <si>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</si>
  <si>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</si>
  <si>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</si>
  <si>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</si>
  <si>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</si>
  <si>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</si>
  <si>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</si>
  <si>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</si>
  <si>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</si>
  <si>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</si>
  <si>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</si>
  <si>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</si>
  <si>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</si>
  <si>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</si>
  <si>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</si>
  <si>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</si>
  <si>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</si>
  <si>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</si>
  <si>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</si>
  <si>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</si>
  <si>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</si>
  <si>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</si>
  <si>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</si>
  <si>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</si>
  <si>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</si>
  <si>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</si>
  <si>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</si>
  <si>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</si>
  <si>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</si>
  <si>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</si>
  <si>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</si>
  <si>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</si>
  <si>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</si>
  <si>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</si>
  <si>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</si>
  <si>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</si>
  <si>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</si>
  <si>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</si>
  <si>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</si>
  <si>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</si>
  <si>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</si>
  <si>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</si>
  <si>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</si>
  <si>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</si>
  <si>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</si>
  <si>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</si>
  <si>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</si>
  <si>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</si>
  <si>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</si>
  <si>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</si>
  <si>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</si>
  <si>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</si>
  <si>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</si>
  <si>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</si>
  <si>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</si>
  <si>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</si>
  <si>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</si>
  <si>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</si>
  <si>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</si>
  <si>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</si>
  <si>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</si>
  <si>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</si>
  <si>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</si>
  <si>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</si>
  <si>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</si>
  <si>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</si>
  <si>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</si>
  <si>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</si>
  <si>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</si>
  <si>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</si>
  <si>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</si>
  <si>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</si>
  <si>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</si>
  <si>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</si>
  <si>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</si>
  <si>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</si>
  <si>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</si>
  <si>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</si>
  <si>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</si>
  <si>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</si>
  <si>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</si>
  <si>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</si>
  <si>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</si>
  <si>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</si>
  <si>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</si>
  <si>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</si>
  <si>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</si>
  <si>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</si>
  <si>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</si>
  <si>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</si>
  <si>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</si>
  <si>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</si>
  <si>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</si>
  <si>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</si>
  <si>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</si>
  <si>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</si>
  <si>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</si>
  <si>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</si>
  <si>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</si>
  <si>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</si>
  <si>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</si>
  <si>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</si>
  <si>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</si>
  <si>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</si>
  <si>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</si>
  <si>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</si>
  <si>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</si>
  <si>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</si>
  <si>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</si>
  <si>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</si>
  <si>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</si>
  <si>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</si>
  <si>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</si>
  <si>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</si>
  <si>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</si>
  <si>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</si>
  <si>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</si>
  <si>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</si>
  <si>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</si>
  <si>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</si>
  <si>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</si>
  <si>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</si>
  <si>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</si>
  <si>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</si>
  <si>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</si>
  <si>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</si>
  <si>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</si>
  <si>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</si>
  <si>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</si>
  <si>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</si>
  <si>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</si>
  <si>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</si>
  <si>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</si>
  <si>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</si>
  <si>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</si>
  <si>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</si>
  <si>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</si>
  <si>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</si>
  <si>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</si>
  <si>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</si>
  <si>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</si>
  <si>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</si>
  <si>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</si>
  <si>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</si>
  <si>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</si>
  <si>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</si>
  <si>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</si>
  <si>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</si>
  <si>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</si>
  <si>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</si>
  <si>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</si>
  <si>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</si>
  <si>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</si>
  <si>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</si>
  <si>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</si>
  <si>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</si>
  <si>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</si>
  <si>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</si>
  <si>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</si>
  <si>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</si>
  <si>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</si>
  <si>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</si>
  <si>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</si>
  <si>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</si>
  <si>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</si>
  <si>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</si>
  <si>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</si>
  <si>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</si>
  <si>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</si>
  <si>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</si>
  <si>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</si>
  <si>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</si>
  <si>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</si>
  <si>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</si>
  <si>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</si>
  <si>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</si>
  <si>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</si>
  <si>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</si>
  <si>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</si>
  <si>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</si>
  <si>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</si>
  <si>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</si>
  <si>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</si>
  <si>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</si>
  <si>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</si>
  <si>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</si>
  <si>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</si>
  <si>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</si>
  <si>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</si>
  <si>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</si>
  <si>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</si>
  <si>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</si>
  <si>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</si>
  <si>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</si>
  <si>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</si>
  <si>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</si>
  <si>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</si>
  <si>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</si>
  <si>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</si>
  <si>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</si>
  <si>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</si>
  <si>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</si>
  <si>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</si>
  <si>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</si>
  <si>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</si>
  <si>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</si>
  <si>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</si>
  <si>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</si>
  <si>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</si>
  <si>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</si>
  <si>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</si>
  <si>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</si>
  <si>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</si>
  <si>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</si>
  <si>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</si>
  <si>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</si>
  <si>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</si>
  <si>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</si>
  <si>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</si>
  <si>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</si>
  <si>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</si>
  <si>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</si>
  <si>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</si>
  <si>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</si>
  <si>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</si>
  <si>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</si>
  <si>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</si>
  <si>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</si>
  <si>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</si>
  <si>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</si>
  <si>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</si>
  <si>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</si>
  <si>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</si>
  <si>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</si>
  <si>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</si>
  <si>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</si>
  <si>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</si>
  <si>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</si>
  <si>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</si>
  <si>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</si>
  <si>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</si>
  <si>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</si>
  <si>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</si>
  <si>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</si>
  <si>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</si>
  <si>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</si>
  <si>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</si>
  <si>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</si>
  <si>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</si>
  <si>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</si>
  <si>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</si>
  <si>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</si>
  <si>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</si>
  <si>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</si>
  <si>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</si>
  <si>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</si>
  <si>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</si>
  <si>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</si>
  <si>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</si>
  <si>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</si>
  <si>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</si>
  <si>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</si>
  <si>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</si>
  <si>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</si>
  <si>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</si>
  <si>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</si>
  <si>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</si>
  <si>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</si>
  <si>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</si>
  <si>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 xml:space="preserve">И/О заведующего отделения: В.Л. Мартынко </t>
  </si>
  <si>
    <t>Нистратов А.В.</t>
  </si>
  <si>
    <t>500 ml</t>
  </si>
  <si>
    <r>
      <t xml:space="preserve">1. Контроль места пункции, повязка  на руке 6ч. 2) </t>
    </r>
    <r>
      <rPr>
        <b/>
        <i/>
        <u/>
        <sz val="11"/>
        <color theme="1"/>
        <rFont val="Calibri"/>
        <family val="2"/>
        <charset val="204"/>
        <scheme val="minor"/>
      </rPr>
      <t xml:space="preserve">Для профилактики КИН режим дегидратации!. Контороль креатинина на 21.22.06.22 </t>
    </r>
    <r>
      <rPr>
        <sz val="11"/>
        <color theme="1"/>
        <rFont val="Calibri"/>
        <family val="2"/>
        <charset val="204"/>
        <scheme val="minor"/>
      </rPr>
      <t>3) Консультация кардиохирурга.</t>
    </r>
  </si>
  <si>
    <t>100 ml</t>
  </si>
  <si>
    <t>Устье ствола ЛКА катетеризировано проводниковым катетером Launcher EBU 3.5 6Fr. Коронарным проводником Intuition на БК  Sprinter Legend 2.0-15 мм. удалось пройти функциональную хроническую окклюзию и провести проводник в дистальный сегмент ПНА. Для защиты крупной СВ1 дополнительный проводник Intuition заведен в дист/3. Выполнена реканализация и последовательная баллонная ангиопластика проксимального, среднего и дистального сегментов ПНА БК Sprinter Legend 1.5-15 мм и БК Sprinter Legend 2.0-15 мм, давленмем 8-12 атм. соотвественно.  В зону среднего сегмента до устья крупной ДВ2 с покрытием 70% стеноза среднего сегмента имплантирован DES Resolute Integrity 3,0-30 mm, давлением 12 атм, в зону проксимального сегмента  имплантирован DES Resolute Integrity 3,5-30 mm, давлением 12 атм.  На контрольных съёмках устье СВ2 нескомпрометировано, кровоток прежний, крупная СВ1 скомпрометирована, не контрастируется. Предприняты множественные попытки провести проводник в септу. Попытки без успешны. Принято решение вести эптифибатид 2 флакона по схеме. На контрольных съёмках по СВ1 кровоток не восстановлен, ленейная неоклюзирующая  диссекция на протяжении среднего сегмента (на отрезке после ДВ2). С учетом малого диаметра среднего и дистального сегмента ПНА (не более 2.0 мм) имплантировать стент  на данном отрезке  не представляется возможным (минимальный размер стента 2.75).   Ангиографический результат субоптимальный, достигнут частично, признаков тромбоза по ПНА нет.  Антеградный кровоток по ПНА восстановлен  TIMI III. Пациент в стабильном состоянии переводится в ПРИТ для дальнейшего наблюдения и лечения.</t>
  </si>
  <si>
    <t>Евишкина Г.Н.</t>
  </si>
  <si>
    <t>ОКС с ↑ ST</t>
  </si>
  <si>
    <t>Правый</t>
  </si>
  <si>
    <t>31:54</t>
  </si>
  <si>
    <t>выраженный кальциноз. Истинное кальцинированное бифуркационное поражение (по Medina 1,1,1): ствол 90%.</t>
  </si>
  <si>
    <r>
      <t xml:space="preserve">выраженный кальциноз пркосимального сегмента, стеноз устья ПНА 80%, стеноз проксимального сегмента 75%, неровности контуров среднего сегмента и прокс/3 ДВ.  Антеградный кровоток </t>
    </r>
    <r>
      <rPr>
        <u/>
        <sz val="10"/>
        <color theme="1"/>
        <rFont val="Calibri"/>
        <family val="2"/>
        <charset val="204"/>
        <scheme val="minor"/>
      </rPr>
      <t>TIMI III.</t>
    </r>
  </si>
  <si>
    <r>
      <t xml:space="preserve">выраженный кальциноз проксимального сегмента с устьевым стенозом 90%, стеноз проксимального сегмента 70%. Антеградный кровоток </t>
    </r>
    <r>
      <rPr>
        <u/>
        <sz val="10"/>
        <color theme="1"/>
        <rFont val="Calibri"/>
        <family val="2"/>
        <charset val="204"/>
        <scheme val="minor"/>
      </rPr>
      <t>TIMI III.</t>
    </r>
    <r>
      <rPr>
        <sz val="10"/>
        <color theme="1"/>
        <rFont val="Calibri"/>
        <family val="2"/>
        <charset val="204"/>
        <scheme val="minor"/>
      </rPr>
      <t xml:space="preserve"> </t>
    </r>
  </si>
  <si>
    <t>выраженный кальциноз пркосимального и среднего сегмента со стенозами пркосимального сегмента 50%, стенозы среднего сегмента 60%, стенозы дистального сегмента 60%, стеноз устья ЗМЖВ 70%, стенозы ЗБВ на протяжении до 40%..  Антеградный кровоток TIMI III.</t>
  </si>
  <si>
    <t xml:space="preserve">С учётом тяжёлого кальцинированного истинного бифуркационного поражения ствола ЛКА и проксимальных сегментов ПНА, ОА совместно с деж.кардиологом Дубровской Я.А.; кардиохирурга Максименко М.И.  принято решение в пользу консервативной тактики введения  т.к риск интраоперационного летального исхода при проведении ЧКВ на стволе ЛКА крайне высок. Т.О от ЧКВ на момент проведения КАГ решено воздержаться. При дестабилизации состояния  расмотреть вопрос о проведении ЧКВ по жизненным показаниям.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</si>
</sst>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b/>
      <i/>
      <u/>
      <sz val="11"/>
      <color theme="1"/>
      <name val="Calibri"/>
      <family val="2"/>
      <charset val="204"/>
      <scheme val="minor"/>
    </font>
    <font>
      <u/>
      <sz val="10"/>
      <color theme="1"/>
      <name val="Calibri"/>
      <family val="2"/>
      <charset val="204"/>
      <scheme val="minor"/>
    </font>
    <font>
      <sz val="9"/>
      <color theme="1"/>
      <name val="Calibri"/>
      <family val="2"/>
      <charset val="204"/>
      <scheme val="minor"/>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4"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8" fillId="9" borderId="21" applyNumberFormat="0" applyAlignment="0" applyProtection="0"/>
  </cellStyleXfs>
  <cellXfs count="23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2"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Border="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pplyProtection="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Border="1" applyAlignment="1" applyProtection="1">
      <alignment vertical="center"/>
      <protection locked="0"/>
    </xf>
    <xf numFmtId="0" fontId="16"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Border="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Border="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Border="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5" fillId="0" borderId="12" xfId="0" applyFont="1" applyBorder="1"/>
    <xf numFmtId="0" fontId="0" fillId="0" borderId="0" xfId="0" applyBorder="1" applyProtection="1">
      <protection locked="0"/>
    </xf>
    <xf numFmtId="165" fontId="16" fillId="0" borderId="7" xfId="0" applyNumberFormat="1" applyFont="1" applyBorder="1" applyAlignment="1" applyProtection="1">
      <alignment horizontal="left" vertical="center"/>
    </xf>
    <xf numFmtId="0" fontId="29" fillId="0" borderId="6" xfId="0" applyFont="1" applyBorder="1" applyAlignment="1" applyProtection="1">
      <alignment vertical="center"/>
    </xf>
    <xf numFmtId="0" fontId="30" fillId="0" borderId="7" xfId="0" applyNumberFormat="1" applyFont="1" applyBorder="1" applyAlignment="1" applyProtection="1">
      <alignment horizontal="left" vertical="center"/>
    </xf>
    <xf numFmtId="0" fontId="16" fillId="0" borderId="7" xfId="0" applyNumberFormat="1" applyFont="1" applyBorder="1" applyAlignment="1" applyProtection="1">
      <alignment horizontal="left" vertical="center"/>
    </xf>
    <xf numFmtId="0" fontId="35" fillId="0" borderId="12" xfId="0" applyFont="1" applyBorder="1" applyProtection="1"/>
    <xf numFmtId="0" fontId="28" fillId="0" borderId="0" xfId="0" applyFont="1" applyBorder="1" applyAlignment="1">
      <alignment horizontal="centerContinuous" vertical="top" wrapText="1"/>
    </xf>
    <xf numFmtId="0" fontId="16" fillId="0" borderId="12" xfId="0" applyFont="1" applyBorder="1" applyAlignment="1" applyProtection="1">
      <alignment vertical="top" wrapText="1"/>
      <protection locked="0"/>
    </xf>
    <xf numFmtId="0" fontId="16" fillId="0" borderId="0" xfId="0" applyFont="1" applyBorder="1" applyAlignment="1" applyProtection="1">
      <alignment vertical="top" wrapText="1"/>
      <protection locked="0"/>
    </xf>
    <xf numFmtId="0" fontId="35" fillId="0" borderId="3" xfId="0" applyNumberFormat="1" applyFont="1" applyBorder="1" applyAlignment="1" applyProtection="1">
      <alignment horizontal="center" vertical="center"/>
      <protection locked="0"/>
    </xf>
    <xf numFmtId="0" fontId="16" fillId="0" borderId="0" xfId="0" applyFont="1" applyBorder="1" applyAlignment="1" applyProtection="1">
      <alignment horizontal="centerContinuous" vertical="top" wrapText="1"/>
      <protection locked="0"/>
    </xf>
    <xf numFmtId="20" fontId="30" fillId="0" borderId="13" xfId="0" applyNumberFormat="1" applyFont="1" applyBorder="1" applyAlignment="1">
      <alignment horizontal="left" vertical="center" wrapText="1"/>
    </xf>
    <xf numFmtId="0" fontId="19" fillId="0" borderId="0" xfId="0" applyFont="1" applyBorder="1" applyAlignment="1">
      <alignment horizontal="centerContinuous" vertical="center"/>
    </xf>
    <xf numFmtId="0" fontId="33" fillId="0" borderId="0" xfId="0" applyFont="1" applyBorder="1" applyAlignment="1">
      <alignment vertical="top"/>
    </xf>
    <xf numFmtId="0" fontId="33" fillId="0" borderId="13" xfId="0" applyFont="1" applyBorder="1" applyAlignment="1">
      <alignment vertical="top"/>
    </xf>
    <xf numFmtId="0" fontId="23" fillId="0" borderId="0" xfId="0" applyFont="1" applyBorder="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5" fillId="0" borderId="0" xfId="0" applyFont="1" applyAlignment="1">
      <alignment horizontal="left" vertical="center"/>
    </xf>
    <xf numFmtId="0" fontId="16" fillId="0" borderId="3" xfId="0" applyFont="1" applyBorder="1" applyAlignment="1" applyProtection="1">
      <alignment vertical="center"/>
    </xf>
    <xf numFmtId="0" fontId="16" fillId="0" borderId="4" xfId="0" applyFont="1" applyBorder="1" applyAlignment="1" applyProtection="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Border="1" applyAlignment="1">
      <alignment horizontal="left" vertical="center"/>
    </xf>
    <xf numFmtId="0" fontId="36" fillId="0" borderId="13" xfId="0" applyFont="1" applyBorder="1" applyAlignment="1" applyProtection="1">
      <alignment horizontal="left"/>
      <protection locked="0"/>
    </xf>
    <xf numFmtId="0" fontId="23" fillId="0" borderId="19" xfId="0" applyFont="1" applyBorder="1" applyAlignment="1" applyProtection="1">
      <alignment horizontal="center" vertical="center"/>
      <protection locked="0"/>
    </xf>
    <xf numFmtId="0" fontId="36" fillId="0" borderId="0" xfId="0" applyFont="1" applyBorder="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37" fillId="8" borderId="18" xfId="6" applyFont="1" applyBorder="1" applyAlignment="1" applyProtection="1">
      <alignment horizontal="left" vertical="center"/>
      <protection locked="0"/>
    </xf>
    <xf numFmtId="0" fontId="16" fillId="0" borderId="9" xfId="0" applyFont="1" applyBorder="1" applyAlignment="1" applyProtection="1">
      <alignment vertical="center"/>
    </xf>
    <xf numFmtId="0" fontId="16" fillId="0" borderId="7" xfId="0" applyFont="1" applyBorder="1" applyAlignment="1" applyProtection="1">
      <alignment vertical="center"/>
    </xf>
    <xf numFmtId="0" fontId="23" fillId="0" borderId="20" xfId="0" applyFont="1" applyBorder="1" applyAlignment="1" applyProtection="1">
      <alignment horizontal="center" vertical="center"/>
      <protection locked="0"/>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46" fillId="0" borderId="19" xfId="0" applyFont="1" applyBorder="1" applyAlignment="1" applyProtection="1">
      <alignment horizontal="center" vertical="center"/>
      <protection locked="0"/>
    </xf>
    <xf numFmtId="0" fontId="46" fillId="0" borderId="20" xfId="0" applyFont="1" applyBorder="1" applyAlignment="1" applyProtection="1">
      <alignment horizontal="center"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47" fillId="0" borderId="20" xfId="0" applyNumberFormat="1"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Border="1" applyAlignment="1">
      <alignment horizontal="centerContinuous"/>
    </xf>
    <xf numFmtId="0" fontId="50" fillId="9" borderId="21" xfId="7" applyFont="1" applyBorder="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23" fillId="0" borderId="12" xfId="0" applyFont="1" applyBorder="1" applyAlignment="1">
      <alignment horizontal="left"/>
    </xf>
    <xf numFmtId="0" fontId="17" fillId="0" borderId="0" xfId="0" applyFont="1" applyBorder="1" applyAlignment="1">
      <alignment horizontal="center"/>
    </xf>
    <xf numFmtId="0" fontId="50" fillId="9" borderId="21" xfId="7" applyFont="1" applyBorder="1" applyAlignment="1" applyProtection="1">
      <alignment horizontal="left" vertical="center"/>
    </xf>
    <xf numFmtId="0" fontId="24" fillId="0" borderId="12" xfId="0" applyNumberFormat="1" applyFont="1" applyFill="1" applyBorder="1" applyAlignment="1">
      <alignment horizontal="justify" vertical="center" wrapText="1"/>
    </xf>
    <xf numFmtId="0" fontId="25" fillId="0" borderId="13" xfId="0" applyFont="1" applyFill="1" applyBorder="1" applyAlignment="1" applyProtection="1">
      <alignment horizontal="center" vertical="center"/>
      <protection locked="0"/>
    </xf>
    <xf numFmtId="0" fontId="25" fillId="0" borderId="0" xfId="0" applyFont="1" applyFill="1" applyBorder="1" applyAlignment="1" applyProtection="1">
      <alignment horizontal="justify" vertical="center" wrapText="1"/>
      <protection locked="0"/>
    </xf>
    <xf numFmtId="0" fontId="25" fillId="0" borderId="0" xfId="0" applyFont="1" applyFill="1" applyBorder="1" applyAlignment="1" applyProtection="1">
      <alignment vertical="center"/>
      <protection locked="0"/>
    </xf>
    <xf numFmtId="0" fontId="23" fillId="0" borderId="0" xfId="0" applyFont="1" applyFill="1" applyBorder="1" applyAlignment="1" applyProtection="1">
      <alignment horizontal="left" vertical="top" wrapText="1"/>
      <protection locked="0"/>
    </xf>
    <xf numFmtId="0" fontId="23"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3" fillId="0" borderId="0" xfId="0" applyFont="1" applyFill="1" applyBorder="1" applyAlignment="1" applyProtection="1">
      <alignment horizontal="left" vertical="center" wrapText="1"/>
    </xf>
    <xf numFmtId="0" fontId="0" fillId="0" borderId="0" xfId="0" applyNumberFormat="1" applyAlignment="1">
      <alignment shrinkToFit="1"/>
    </xf>
    <xf numFmtId="20" fontId="17"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2" fillId="0" borderId="0" xfId="0" applyFont="1" applyBorder="1" applyAlignment="1" applyProtection="1">
      <alignment vertical="top" wrapText="1"/>
      <protection locked="0"/>
    </xf>
    <xf numFmtId="0" fontId="54" fillId="0" borderId="0" xfId="0" applyFont="1" applyBorder="1" applyAlignment="1">
      <alignment vertical="top"/>
    </xf>
    <xf numFmtId="0" fontId="55"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9" fillId="0" borderId="0" xfId="0" applyFont="1" applyBorder="1" applyAlignment="1">
      <alignment horizontal="centerContinuous" vertical="center"/>
    </xf>
    <xf numFmtId="0" fontId="51" fillId="0" borderId="0" xfId="0" applyFont="1" applyBorder="1" applyAlignment="1" applyProtection="1">
      <alignment vertical="top" wrapText="1"/>
      <protection locked="0"/>
    </xf>
    <xf numFmtId="0" fontId="51" fillId="0" borderId="3" xfId="0" applyFont="1" applyBorder="1" applyAlignment="1" applyProtection="1">
      <alignment vertical="top" wrapText="1"/>
      <protection locked="0"/>
    </xf>
    <xf numFmtId="0" fontId="55" fillId="0" borderId="0" xfId="0" applyFont="1" applyBorder="1" applyAlignment="1">
      <alignment horizontal="centerContinuous" vertical="center" wrapText="1"/>
    </xf>
    <xf numFmtId="0" fontId="16" fillId="0" borderId="13" xfId="0" applyFont="1" applyBorder="1" applyAlignment="1" applyProtection="1">
      <alignment vertical="top" wrapText="1"/>
      <protection locked="0"/>
    </xf>
    <xf numFmtId="49" fontId="47" fillId="0" borderId="19" xfId="0" applyNumberFormat="1" applyFont="1" applyBorder="1" applyAlignment="1" applyProtection="1">
      <alignment horizontal="center" vertical="center" wrapText="1"/>
      <protection locked="0"/>
    </xf>
    <xf numFmtId="49" fontId="7"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5"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7" fillId="0" borderId="25" xfId="0" applyFont="1" applyFill="1" applyBorder="1" applyAlignment="1" applyProtection="1">
      <alignment horizontal="center" vertical="center"/>
      <protection locked="0"/>
    </xf>
    <xf numFmtId="0" fontId="57" fillId="0" borderId="26"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57" fillId="0" borderId="33" xfId="0" applyFont="1" applyFill="1" applyBorder="1" applyAlignment="1" applyProtection="1">
      <alignment horizontal="center" vertical="center"/>
      <protection locked="0"/>
    </xf>
    <xf numFmtId="0" fontId="12" fillId="0" borderId="32" xfId="0" applyNumberFormat="1" applyFont="1" applyFill="1" applyBorder="1" applyAlignment="1">
      <alignment horizontal="justify" vertical="center" wrapText="1"/>
    </xf>
    <xf numFmtId="0" fontId="24" fillId="0" borderId="32" xfId="0" applyNumberFormat="1" applyFont="1" applyFill="1" applyBorder="1" applyAlignment="1">
      <alignment horizontal="justify" vertical="center" wrapText="1"/>
    </xf>
    <xf numFmtId="0" fontId="24" fillId="0" borderId="34" xfId="0" applyNumberFormat="1" applyFont="1" applyFill="1" applyBorder="1" applyAlignment="1">
      <alignment horizontal="justify" vertical="center" wrapText="1"/>
    </xf>
    <xf numFmtId="0" fontId="57" fillId="0" borderId="35" xfId="0" applyFont="1" applyFill="1" applyBorder="1" applyAlignment="1" applyProtection="1">
      <alignment horizontal="center" vertical="center"/>
      <protection locked="0"/>
    </xf>
    <xf numFmtId="0" fontId="57" fillId="0" borderId="36" xfId="0" applyFont="1" applyFill="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0" fontId="37" fillId="8" borderId="16" xfId="6" applyFont="1" applyBorder="1" applyAlignment="1" applyProtection="1">
      <alignment horizontal="left" vertical="center"/>
      <protection locked="0"/>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pplyProtection="1">
      <alignment horizontal="center"/>
    </xf>
    <xf numFmtId="0" fontId="37" fillId="8" borderId="18" xfId="6" applyFont="1" applyBorder="1" applyAlignment="1" applyProtection="1">
      <alignment horizontal="left" vertic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25" xfId="0" applyFont="1" applyFill="1" applyBorder="1" applyAlignment="1" applyProtection="1">
      <alignment horizontal="justify" vertical="center" wrapText="1"/>
      <protection locked="0"/>
    </xf>
    <xf numFmtId="0" fontId="57" fillId="0" borderId="35" xfId="0" applyFont="1" applyFill="1" applyBorder="1" applyAlignment="1" applyProtection="1">
      <alignment horizontal="justify" vertical="center" wrapText="1"/>
      <protection locked="0"/>
    </xf>
    <xf numFmtId="0" fontId="4" fillId="0" borderId="0" xfId="0" applyFont="1"/>
    <xf numFmtId="0" fontId="59" fillId="0" borderId="40" xfId="0" applyFont="1" applyBorder="1" applyProtection="1">
      <protection locked="0"/>
    </xf>
    <xf numFmtId="0" fontId="3" fillId="0" borderId="0" xfId="0" applyFont="1"/>
    <xf numFmtId="0" fontId="35" fillId="10" borderId="0" xfId="0" applyFont="1" applyFill="1" applyBorder="1" applyAlignment="1" applyProtection="1">
      <alignment horizontal="left" vertical="center"/>
      <protection locked="0"/>
    </xf>
    <xf numFmtId="0" fontId="2" fillId="0" borderId="0" xfId="0" applyFont="1" applyBorder="1" applyAlignment="1" applyProtection="1">
      <alignment horizontal="justify" vertical="top" wrapText="1"/>
      <protection locked="0"/>
    </xf>
    <xf numFmtId="0" fontId="6" fillId="0" borderId="0" xfId="0" applyFont="1" applyBorder="1" applyAlignment="1" applyProtection="1">
      <alignment horizontal="justify" vertical="top" wrapText="1"/>
      <protection locked="0"/>
    </xf>
    <xf numFmtId="0" fontId="6" fillId="0" borderId="13" xfId="0" applyFont="1" applyBorder="1" applyAlignment="1" applyProtection="1">
      <alignment horizontal="justify" vertical="top" wrapText="1"/>
      <protection locked="0"/>
    </xf>
    <xf numFmtId="0" fontId="39" fillId="0" borderId="0" xfId="0" applyFont="1" applyBorder="1" applyAlignment="1">
      <alignment horizontal="left" vertical="center" wrapText="1"/>
    </xf>
    <xf numFmtId="0" fontId="53" fillId="0" borderId="0" xfId="0" applyFont="1" applyBorder="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Border="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17" fillId="0" borderId="0" xfId="0" applyFont="1" applyBorder="1" applyAlignment="1" applyProtection="1">
      <alignment horizontal="justify" vertical="top" wrapText="1"/>
      <protection locked="0"/>
    </xf>
    <xf numFmtId="0" fontId="17" fillId="0" borderId="13" xfId="0" applyFont="1" applyBorder="1" applyAlignment="1" applyProtection="1">
      <alignment horizontal="justify" vertical="top" wrapText="1"/>
      <protection locked="0"/>
    </xf>
    <xf numFmtId="0" fontId="17" fillId="0" borderId="3" xfId="0" applyFont="1" applyBorder="1" applyAlignment="1" applyProtection="1">
      <alignment horizontal="justify" vertical="top" wrapText="1"/>
      <protection locked="0"/>
    </xf>
    <xf numFmtId="0" fontId="17" fillId="0" borderId="9" xfId="0" applyFont="1" applyBorder="1" applyAlignment="1" applyProtection="1">
      <alignment horizontal="justify" vertical="top" wrapText="1"/>
      <protection locked="0"/>
    </xf>
    <xf numFmtId="0" fontId="47" fillId="0" borderId="5" xfId="0" applyFont="1" applyBorder="1" applyAlignment="1" applyProtection="1">
      <alignment horizontal="justify" vertical="top" wrapText="1"/>
      <protection locked="0"/>
    </xf>
    <xf numFmtId="0" fontId="47" fillId="0" borderId="11" xfId="0" applyFont="1" applyBorder="1" applyAlignment="1" applyProtection="1">
      <alignment horizontal="justify" vertical="top" wrapText="1"/>
      <protection locked="0"/>
    </xf>
    <xf numFmtId="0" fontId="47" fillId="0" borderId="0" xfId="0" applyFont="1" applyBorder="1" applyAlignment="1" applyProtection="1">
      <alignment horizontal="justify" vertical="top" wrapText="1"/>
      <protection locked="0"/>
    </xf>
    <xf numFmtId="0" fontId="47" fillId="0" borderId="13" xfId="0" applyFont="1" applyBorder="1" applyAlignment="1" applyProtection="1">
      <alignment horizontal="justify" vertical="top" wrapText="1"/>
      <protection locked="0"/>
    </xf>
    <xf numFmtId="0" fontId="47" fillId="0" borderId="3" xfId="0" applyFont="1" applyBorder="1" applyAlignment="1" applyProtection="1">
      <alignment horizontal="justify" vertical="top" wrapText="1"/>
      <protection locked="0"/>
    </xf>
    <xf numFmtId="0" fontId="47" fillId="0" borderId="9" xfId="0" applyFont="1" applyBorder="1" applyAlignment="1" applyProtection="1">
      <alignment horizontal="justify" vertical="top" wrapText="1"/>
      <protection locked="0"/>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Border="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42" fillId="0" borderId="0" xfId="0" applyFont="1" applyBorder="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26" fillId="0" borderId="12" xfId="0" applyFont="1" applyBorder="1" applyAlignment="1" applyProtection="1">
      <alignment horizontal="justify" vertical="top" wrapText="1"/>
      <protection locked="0"/>
    </xf>
    <xf numFmtId="0" fontId="12" fillId="0" borderId="0" xfId="0" applyFont="1" applyBorder="1" applyAlignment="1" applyProtection="1">
      <alignment horizontal="justify" vertical="top" wrapText="1"/>
      <protection locked="0"/>
    </xf>
    <xf numFmtId="0" fontId="12" fillId="0" borderId="13" xfId="0" applyFont="1" applyBorder="1" applyAlignment="1" applyProtection="1">
      <alignment horizontal="justify" vertical="top" wrapText="1"/>
      <protection locked="0"/>
    </xf>
    <xf numFmtId="0" fontId="12" fillId="0" borderId="12" xfId="0" applyFont="1" applyBorder="1" applyAlignment="1" applyProtection="1">
      <alignment horizontal="justify" vertical="top" wrapText="1"/>
      <protection locked="0"/>
    </xf>
    <xf numFmtId="0" fontId="62"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3">
    <dxf>
      <numFmt numFmtId="0" formatCode="General"/>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2" dataDxfId="91" tableBorderDxfId="90" totalsRowBorderDxfId="89">
  <tableColumns count="5">
    <tableColumn id="1" name="Должность" headerRowDxfId="88" dataDxfId="87"/>
    <tableColumn id="5" name="Столбец2" headerRowDxfId="86" dataDxfId="85"/>
    <tableColumn id="4" name="Столбец1" headerRowDxfId="84" dataDxfId="83"/>
    <tableColumn id="2" name="Бригада_1" headerRowDxfId="82" dataDxfId="81"/>
    <tableColumn id="3" name="Бригада_2" headerRowDxfId="80" dataDxfId="79"/>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2">
  <tableColumns count="4">
    <tableColumn id="1" name="Модель"/>
    <tableColumn id="2" name="Код модели" dataDxfId="31"/>
    <tableColumn id="3" name="Метод"/>
    <tableColumn id="4" name="Код метода" dataDxfId="30"/>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41"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78" totalsRowShown="0" headerRowDxfId="29">
  <sortState ref="AF2:AG57">
    <sortCondition ref="AF2:AF57"/>
    <sortCondition ref="AG2:AG57"/>
  </sortState>
  <tableColumns count="2">
    <tableColumn id="3" name="Тип" dataDxfId="28"/>
    <tableColumn id="1" name="Размеры" dataDxfId="27"/>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41" totalsRowShown="0">
  <tableColumns count="26">
    <tableColumn id="1" name="Индекс1" dataDxfId="26">
      <calculatedColumnFormula>IF(ISNUMBER(SEARCH('Карта учёта'!$B$13,Расходка[[#This Row],[Наименование расходного материала]])),MAX($E$1:E1)+1,0)</calculatedColumnFormula>
    </tableColumn>
    <tableColumn id="2" name="Индекс2" dataDxfId="25">
      <calculatedColumnFormula>IF(ISNUMBER(SEARCH('Карта учёта'!$B$14,Расходка[[#This Row],[Наименование расходного материала]])),MAX($F$1:F1)+1,0)</calculatedColumnFormula>
    </tableColumn>
    <tableColumn id="3" name="Индекс3" dataDxfId="24">
      <calculatedColumnFormula>IF(ISNUMBER(SEARCH('Карта учёта'!$B$15,Расходка[Наименование расходного материала])),MAX($G$1:G1)+1,0)</calculatedColumnFormula>
    </tableColumn>
    <tableColumn id="4" name="Индекс4" dataDxfId="23">
      <calculatedColumnFormula>IF(ISNUMBER(SEARCH('Карта учёта'!$B$16,Расходка[Наименование расходного материала])),MAX($H$1:H1)+1,0)</calculatedColumnFormula>
    </tableColumn>
    <tableColumn id="5" name="Индекс5" dataDxfId="22">
      <calculatedColumnFormula>IF(ISNUMBER(SEARCH('Карта учёта'!$B$17,Расходка[Наименование расходного материала])),MAX($I$1:I1)+1,0)</calculatedColumnFormula>
    </tableColumn>
    <tableColumn id="6" name="Индекс6" dataDxfId="21">
      <calculatedColumnFormula>IF(ISNUMBER(SEARCH('Карта учёта'!$B$18,Расходка[Наименование расходного материала])),MAX($J$1:J1)+1,0)</calculatedColumnFormula>
    </tableColumn>
    <tableColumn id="7" name="Индекс7" dataDxfId="20">
      <calculatedColumnFormula>IF(ISNUMBER(SEARCH('Карта учёта'!$B$19,Расходка[Наименование расходного материала])),MAX($K$1:K1)+1,0)</calculatedColumnFormula>
    </tableColumn>
    <tableColumn id="8" name="Индекс8" dataDxfId="19">
      <calculatedColumnFormula>IF(ISNUMBER(SEARCH('Карта учёта'!$B$20,Расходка[Наименование расходного материала])),MAX($L$1:L1)+1,0)</calculatedColumnFormula>
    </tableColumn>
    <tableColumn id="9" name="Индекс9" dataDxfId="18">
      <calculatedColumnFormula>IF(ISNUMBER(SEARCH('Карта учёта'!$B$21,Расходка[Наименование расходного материала])),MAX($M$1:M1)+1,0)</calculatedColumnFormula>
    </tableColumn>
    <tableColumn id="10" name="Индекс10" dataDxfId="17">
      <calculatedColumnFormula>IF(ISNUMBER(SEARCH('Карта учёта'!$B$22,Расходка[Наименование расходного материала])),MAX($N$1:N1)+1,0)</calculatedColumnFormula>
    </tableColumn>
    <tableColumn id="11" name="Индекс11" dataDxfId="16">
      <calculatedColumnFormula>IF(ISNUMBER(SEARCH('Карта учёта'!$B$23,Расходка[Наименование расходного материала])),MAX($O$1:O1)+1,0)</calculatedColumnFormula>
    </tableColumn>
    <tableColumn id="12" name="Индекс12" dataDxfId="15">
      <calculatedColumnFormula>IF(ISNUMBER(SEARCH('Карта учёта'!$B$24,Расходка[Наименование расходного материала])),MAX($P$1:P1)+1,0)</calculatedColumnFormula>
    </tableColumn>
    <tableColumn id="13" name="Индекс13" dataDxfId="14">
      <calculatedColumnFormula>IF(ISNUMBER(SEARCH('Карта учёта'!$B$25,Расходка[Наименование расходного материала])),MAX($Q$1:Q1)+1,0)</calculatedColumnFormula>
    </tableColumn>
    <tableColumn id="14" name="Фильтр1" dataDxfId="13">
      <calculatedColumnFormula>IFERROR(INDEX(Расходка[Наименование расходного материала],MATCH(Расходка[№],Поиск_расходки[Индекс1],0)),"")</calculatedColumnFormula>
    </tableColumn>
    <tableColumn id="15" name="Фильтр2" dataDxfId="12">
      <calculatedColumnFormula>IFERROR(INDEX(Расходка[Наименование расходного материала],MATCH(Расходка[№],Поиск_расходки[Индекс2],0)),"")</calculatedColumnFormula>
    </tableColumn>
    <tableColumn id="16" name="Фильтр3" dataDxfId="11">
      <calculatedColumnFormula>IFERROR(INDEX(Расходка[Наименование расходного материала],MATCH(Расходка[№],Поиск_расходки[Индекс3],0)),"")</calculatedColumnFormula>
    </tableColumn>
    <tableColumn id="17" name="Фильтр4" dataDxfId="10">
      <calculatedColumnFormula>IFERROR(INDEX(Расходка[Наименование расходного материала],MATCH(Расходка[№],Поиск_расходки[Индекс4],0)),"")</calculatedColumnFormula>
    </tableColumn>
    <tableColumn id="18" name="Фильтр5" dataDxfId="9">
      <calculatedColumnFormula>IFERROR(INDEX(Расходка[Наименование расходного материала],MATCH(Расходка[№],Поиск_расходки[Индекс5],0)),"")</calculatedColumnFormula>
    </tableColumn>
    <tableColumn id="19" name="Фильтр6" dataDxfId="8">
      <calculatedColumnFormula>IFERROR(INDEX(Расходка[Наименование расходного материала],MATCH(Расходка[№],Поиск_расходки[Индекс6],0)),"")</calculatedColumnFormula>
    </tableColumn>
    <tableColumn id="20" name="Фильтр7" dataDxfId="7">
      <calculatedColumnFormula>IFERROR(INDEX(Расходка[Наименование расходного материала],MATCH(Расходка[№],Поиск_расходки[Индекс7],0)),"")</calculatedColumnFormula>
    </tableColumn>
    <tableColumn id="21" name="Фильтр8" dataDxfId="6">
      <calculatedColumnFormula>IFERROR(INDEX(Расходка[Наименование расходного материала],MATCH(Расходка[№],Поиск_расходки[Индекс8],0)),"")</calculatedColumnFormula>
    </tableColumn>
    <tableColumn id="22" name="Фильтр9" dataDxfId="5">
      <calculatedColumnFormula>IFERROR(INDEX(Расходка[Наименование расходного материала],MATCH(Расходка[№],Поиск_расходки[Индекс9],0)),"")</calculatedColumnFormula>
    </tableColumn>
    <tableColumn id="23" name="Фильтр10" dataDxfId="4">
      <calculatedColumnFormula>IFERROR(INDEX(Расходка[Наименование расходного материала],MATCH(Расходка[№],Поиск_расходки[Индекс10],0)),"")</calculatedColumnFormula>
    </tableColumn>
    <tableColumn id="24" name="Фильтр11" dataDxfId="3">
      <calculatedColumnFormula>IFERROR(INDEX(Расходка[Наименование расходного материала],MATCH(Расходка[№],Поиск_расходки[Индекс11],0)),"")</calculatedColumnFormula>
    </tableColumn>
    <tableColumn id="25" name="Фильтр12" dataDxfId="2">
      <calculatedColumnFormula>IFERROR(INDEX(Расходка[Наименование расходного материала],MATCH(Расходка[№],Поиск_расходки[Индекс12],0)),"")</calculatedColumnFormula>
    </tableColumn>
    <tableColumn id="26" name="Фильтр13" dataDxfId="1">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18.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78" dataDxfId="77">
  <tableColumns count="2">
    <tableColumn id="1" name="Столбец1" headerRowDxfId="76" dataDxfId="75"/>
    <tableColumn id="2" name="Столбец2" headerRowDxfId="74" dataDxfId="73"/>
  </tableColumns>
  <tableStyleInfo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2" dataDxfId="71" tableBorderDxfId="70" totalsRowBorderDxfId="69">
  <tableColumns count="5">
    <tableColumn id="1" name="Должность" headerRowDxfId="68" dataDxfId="67"/>
    <tableColumn id="5" name="Столбец2" headerRowDxfId="66" dataDxfId="65"/>
    <tableColumn id="4" name="Столбец1" headerRowDxfId="64" dataDxfId="63"/>
    <tableColumn id="2" name="Бригада_1" headerRowDxfId="62" dataDxfId="61"/>
    <tableColumn id="3" name="Бригада_2" headerRowDxfId="60" dataDxfId="59">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58" dataDxfId="57">
  <tableColumns count="2">
    <tableColumn id="1" name="Столбец1" headerRowDxfId="56" dataDxfId="55"/>
    <tableColumn id="2" name="Столбец2" headerRowDxfId="54" dataDxfId="53">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2" headerRowBorderDxfId="51" tableBorderDxfId="50">
  <tableColumns count="4">
    <tableColumn id="1" name="Тип материала " dataDxfId="49">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48"/>
    <tableColumn id="3" name="Размер" dataDxfId="47"/>
    <tableColumn id="4" name="Количество" dataDxfId="46"/>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5" dataDxfId="44">
  <tableColumns count="2">
    <tableColumn id="1" name="Код ЕНМУ" totalsRowFunction="custom" dataDxfId="43">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2"/>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1" tableBorderDxfId="40">
  <tableColumns count="4">
    <tableColumn id="1" name="№" dataDxfId="39"/>
    <tableColumn id="2" name="Код услуги" dataDxfId="38"/>
    <tableColumn id="3" name="Номенклатура мед.услуги" dataDxfId="37"/>
    <tableColumn id="4" name="Рентгенэндоваскулярная диагностика и лечение" dataDxfId="36"/>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5">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4">
  <tableColumns count="1">
    <tableColumn id="1" name="Диагноз"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7" zoomScaleNormal="100" zoomScaleSheetLayoutView="100" zoomScalePageLayoutView="90" workbookViewId="0">
      <selection activeCell="J42" sqref="J42"/>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c r="A6" s="207" t="s">
        <v>277</v>
      </c>
      <c r="B6" s="208"/>
      <c r="C6" s="208"/>
      <c r="D6" s="208"/>
      <c r="E6" s="208"/>
      <c r="F6" s="208"/>
      <c r="G6" s="208"/>
      <c r="H6" s="209"/>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255</v>
      </c>
      <c r="B8" s="25">
        <v>44732</v>
      </c>
      <c r="C8" s="60"/>
      <c r="D8" s="21" t="s">
        <v>249</v>
      </c>
      <c r="E8" s="34"/>
      <c r="F8" s="34"/>
      <c r="G8" s="22"/>
      <c r="H8" s="23"/>
    </row>
    <row r="9" spans="1:8" ht="15.6" customHeight="1">
      <c r="A9" s="26" t="s">
        <v>257</v>
      </c>
      <c r="B9" s="27">
        <v>0.79513888888888884</v>
      </c>
      <c r="C9" s="60"/>
      <c r="D9" s="115" t="s">
        <v>235</v>
      </c>
      <c r="E9" s="111"/>
      <c r="F9" s="111"/>
      <c r="G9" s="28" t="s">
        <v>226</v>
      </c>
      <c r="H9" s="30"/>
    </row>
    <row r="10" spans="1:8" ht="15.6" customHeight="1" thickBot="1">
      <c r="A10" s="99" t="s">
        <v>258</v>
      </c>
      <c r="B10" s="100">
        <v>0.88194444444444453</v>
      </c>
      <c r="C10" s="61"/>
      <c r="D10" s="116" t="s">
        <v>236</v>
      </c>
      <c r="E10" s="112"/>
      <c r="F10" s="112"/>
      <c r="G10" s="29" t="s">
        <v>229</v>
      </c>
      <c r="H10" s="31"/>
    </row>
    <row r="11" spans="1:8" ht="18" thickTop="1" thickBot="1">
      <c r="A11" s="106" t="s">
        <v>256</v>
      </c>
      <c r="B11" s="107" t="s">
        <v>454</v>
      </c>
      <c r="C11" s="62"/>
      <c r="D11" s="116" t="s">
        <v>233</v>
      </c>
      <c r="E11" s="112"/>
      <c r="F11" s="112"/>
      <c r="G11" s="29" t="s">
        <v>329</v>
      </c>
      <c r="H11" s="31"/>
    </row>
    <row r="12" spans="1:8" ht="16.5" thickTop="1">
      <c r="A12" s="97" t="s">
        <v>8</v>
      </c>
      <c r="B12" s="98">
        <v>11641</v>
      </c>
      <c r="C12" s="63"/>
      <c r="D12" s="116" t="s">
        <v>371</v>
      </c>
      <c r="E12" s="112"/>
      <c r="F12" s="112"/>
      <c r="G12" s="29" t="s">
        <v>325</v>
      </c>
      <c r="H12" s="31"/>
    </row>
    <row r="13" spans="1:8" ht="15.75">
      <c r="A13" s="20" t="s">
        <v>10</v>
      </c>
      <c r="B13" s="35">
        <f>DATEDIF(B12,B8,"y")</f>
        <v>90</v>
      </c>
      <c r="C13" s="63"/>
      <c r="D13" s="116"/>
      <c r="E13" s="112"/>
      <c r="F13" s="112"/>
      <c r="G13" s="29"/>
      <c r="H13" s="31"/>
    </row>
    <row r="14" spans="1:8" ht="15.75">
      <c r="A14" s="20" t="s">
        <v>12</v>
      </c>
      <c r="B14" s="24">
        <v>9578</v>
      </c>
      <c r="C14" s="63"/>
      <c r="D14" s="41"/>
      <c r="E14" s="41"/>
      <c r="F14" s="41"/>
      <c r="G14" s="42"/>
      <c r="H14" s="64"/>
    </row>
    <row r="15" spans="1:8" ht="15.75">
      <c r="A15" s="20" t="s">
        <v>196</v>
      </c>
      <c r="B15" s="24">
        <v>35</v>
      </c>
      <c r="C15" s="18"/>
      <c r="D15" s="41"/>
      <c r="E15" s="41"/>
      <c r="F15" s="41"/>
      <c r="G15" s="113" t="s">
        <v>338</v>
      </c>
      <c r="H15" s="114" t="s">
        <v>342</v>
      </c>
    </row>
    <row r="16" spans="1:8" ht="15.6" customHeight="1">
      <c r="A16" s="20" t="s">
        <v>134</v>
      </c>
      <c r="B16" s="24" t="s">
        <v>455</v>
      </c>
      <c r="C16" s="18"/>
      <c r="D16" s="41"/>
      <c r="E16" s="41"/>
      <c r="F16" s="41"/>
      <c r="G16" s="159" t="s">
        <v>457</v>
      </c>
      <c r="H16" s="117">
        <v>895</v>
      </c>
    </row>
    <row r="17" spans="1:8" ht="14.45" customHeight="1">
      <c r="A17" s="45"/>
      <c r="B17" s="36"/>
      <c r="C17" s="36"/>
      <c r="D17" s="105"/>
      <c r="E17" s="105"/>
      <c r="F17" s="105"/>
      <c r="G17" s="36"/>
      <c r="H17" s="46"/>
    </row>
    <row r="18" spans="1:8" ht="14.45" customHeight="1">
      <c r="A18" s="65" t="s">
        <v>252</v>
      </c>
      <c r="B18" s="104" t="s">
        <v>456</v>
      </c>
      <c r="C18" s="18"/>
      <c r="D18" s="33" t="s">
        <v>274</v>
      </c>
      <c r="E18" s="33"/>
      <c r="F18" s="33"/>
      <c r="G18" s="101" t="s">
        <v>253</v>
      </c>
      <c r="H18" s="102" t="s">
        <v>382</v>
      </c>
    </row>
    <row r="19" spans="1:8" ht="14.45" customHeight="1">
      <c r="A19" s="45"/>
      <c r="B19" s="36"/>
      <c r="C19" s="36"/>
      <c r="D19" s="39"/>
      <c r="E19" s="39"/>
      <c r="F19" s="39"/>
      <c r="G19" s="36"/>
      <c r="H19" s="46"/>
    </row>
    <row r="20" spans="1:8" ht="14.45" customHeight="1">
      <c r="A20" s="65" t="s">
        <v>276</v>
      </c>
      <c r="B20" s="210" t="s">
        <v>458</v>
      </c>
      <c r="C20" s="210"/>
      <c r="D20" s="210"/>
      <c r="E20" s="210"/>
      <c r="F20" s="210"/>
      <c r="G20" s="210"/>
      <c r="H20" s="211"/>
    </row>
    <row r="21" spans="1:8">
      <c r="A21" s="66"/>
      <c r="B21" s="212"/>
      <c r="C21" s="212"/>
      <c r="D21" s="212"/>
      <c r="E21" s="212"/>
      <c r="F21" s="212"/>
      <c r="G21" s="212"/>
      <c r="H21" s="213"/>
    </row>
    <row r="22" spans="1:8" ht="15.6" customHeight="1">
      <c r="A22" s="67" t="s">
        <v>335</v>
      </c>
      <c r="B22" s="214" t="s">
        <v>459</v>
      </c>
      <c r="C22" s="214"/>
      <c r="D22" s="214"/>
      <c r="E22" s="214"/>
      <c r="F22" s="214"/>
      <c r="G22" s="214"/>
      <c r="H22" s="215"/>
    </row>
    <row r="23" spans="1:8" ht="14.45" customHeight="1">
      <c r="A23" s="43"/>
      <c r="B23" s="216"/>
      <c r="C23" s="216"/>
      <c r="D23" s="216"/>
      <c r="E23" s="216"/>
      <c r="F23" s="216"/>
      <c r="G23" s="216"/>
      <c r="H23" s="217"/>
    </row>
    <row r="24" spans="1:8" ht="14.45" customHeight="1">
      <c r="A24" s="68"/>
      <c r="B24" s="216"/>
      <c r="C24" s="216"/>
      <c r="D24" s="216"/>
      <c r="E24" s="216"/>
      <c r="F24" s="216"/>
      <c r="G24" s="216"/>
      <c r="H24" s="217"/>
    </row>
    <row r="25" spans="1:8" ht="14.45" customHeight="1">
      <c r="A25" s="43"/>
      <c r="B25" s="216"/>
      <c r="C25" s="216"/>
      <c r="D25" s="216"/>
      <c r="E25" s="216"/>
      <c r="F25" s="216"/>
      <c r="G25" s="216"/>
      <c r="H25" s="217"/>
    </row>
    <row r="26" spans="1:8" ht="14.45" customHeight="1">
      <c r="A26" s="45"/>
      <c r="B26" s="218"/>
      <c r="C26" s="218"/>
      <c r="D26" s="218"/>
      <c r="E26" s="218"/>
      <c r="F26" s="218"/>
      <c r="G26" s="218"/>
      <c r="H26" s="219"/>
    </row>
    <row r="27" spans="1:8" ht="14.45" customHeight="1">
      <c r="A27" s="67" t="s">
        <v>336</v>
      </c>
      <c r="B27" s="214" t="s">
        <v>460</v>
      </c>
      <c r="C27" s="214"/>
      <c r="D27" s="214"/>
      <c r="E27" s="214"/>
      <c r="F27" s="214"/>
      <c r="G27" s="214"/>
      <c r="H27" s="215"/>
    </row>
    <row r="28" spans="1:8" ht="15.6" customHeight="1">
      <c r="A28" s="43"/>
      <c r="B28" s="216"/>
      <c r="C28" s="216"/>
      <c r="D28" s="216"/>
      <c r="E28" s="216"/>
      <c r="F28" s="216"/>
      <c r="G28" s="216"/>
      <c r="H28" s="217"/>
    </row>
    <row r="29" spans="1:8" ht="14.45" customHeight="1">
      <c r="A29" s="43"/>
      <c r="B29" s="216"/>
      <c r="C29" s="216"/>
      <c r="D29" s="216"/>
      <c r="E29" s="216"/>
      <c r="F29" s="216"/>
      <c r="G29" s="216"/>
      <c r="H29" s="217"/>
    </row>
    <row r="30" spans="1:8" ht="14.45" customHeight="1">
      <c r="A30" s="37"/>
      <c r="B30" s="216"/>
      <c r="C30" s="216"/>
      <c r="D30" s="216"/>
      <c r="E30" s="216"/>
      <c r="F30" s="216"/>
      <c r="G30" s="216"/>
      <c r="H30" s="217"/>
    </row>
    <row r="31" spans="1:8" ht="14.45" customHeight="1">
      <c r="A31" s="38"/>
      <c r="B31" s="218"/>
      <c r="C31" s="218"/>
      <c r="D31" s="218"/>
      <c r="E31" s="218"/>
      <c r="F31" s="218"/>
      <c r="G31" s="218"/>
      <c r="H31" s="219"/>
    </row>
    <row r="32" spans="1:8" ht="14.45" customHeight="1">
      <c r="A32" s="67" t="s">
        <v>337</v>
      </c>
      <c r="B32" s="214" t="s">
        <v>461</v>
      </c>
      <c r="C32" s="214"/>
      <c r="D32" s="214"/>
      <c r="E32" s="214"/>
      <c r="F32" s="214"/>
      <c r="G32" s="214"/>
      <c r="H32" s="215"/>
    </row>
    <row r="33" spans="1:8" ht="14.45" customHeight="1">
      <c r="A33" s="43"/>
      <c r="B33" s="216"/>
      <c r="C33" s="216"/>
      <c r="D33" s="216"/>
      <c r="E33" s="216"/>
      <c r="F33" s="216"/>
      <c r="G33" s="216"/>
      <c r="H33" s="217"/>
    </row>
    <row r="34" spans="1:8" ht="15.6" customHeight="1">
      <c r="A34" s="43"/>
      <c r="B34" s="216"/>
      <c r="C34" s="216"/>
      <c r="D34" s="216"/>
      <c r="E34" s="216"/>
      <c r="F34" s="216"/>
      <c r="G34" s="216"/>
      <c r="H34" s="217"/>
    </row>
    <row r="35" spans="1:8" ht="14.45" customHeight="1">
      <c r="A35" s="43"/>
      <c r="B35" s="216"/>
      <c r="C35" s="216"/>
      <c r="D35" s="216"/>
      <c r="E35" s="216"/>
      <c r="F35" s="216"/>
      <c r="G35" s="216"/>
      <c r="H35" s="217"/>
    </row>
    <row r="36" spans="1:8" ht="15.6" customHeight="1">
      <c r="A36" s="151"/>
      <c r="B36" s="216"/>
      <c r="C36" s="216"/>
      <c r="D36" s="216"/>
      <c r="E36" s="216"/>
      <c r="F36" s="216"/>
      <c r="G36" s="216"/>
      <c r="H36" s="217"/>
    </row>
    <row r="37" spans="1:8" ht="14.45" customHeight="1">
      <c r="A37" s="43"/>
      <c r="B37" s="146"/>
      <c r="C37" s="18"/>
      <c r="D37" s="204" t="str">
        <f>IF($A$6=Вмешательства!$D$3,Вмешательства!$N$2,"")</f>
        <v/>
      </c>
      <c r="E37" s="204"/>
      <c r="F37" s="147"/>
      <c r="G37" s="147"/>
      <c r="H37" s="152"/>
    </row>
    <row r="38" spans="1:8" ht="14.45" customHeight="1">
      <c r="A38" s="43"/>
      <c r="B38" s="146"/>
      <c r="C38" s="153"/>
      <c r="D38" s="205"/>
      <c r="E38" s="205"/>
      <c r="F38" s="205"/>
      <c r="G38" s="205"/>
      <c r="H38" s="206"/>
    </row>
    <row r="39" spans="1:8" ht="14.45" customHeight="1">
      <c r="A39" s="40"/>
      <c r="B39" s="147"/>
      <c r="C39" s="153"/>
      <c r="D39" s="205"/>
      <c r="E39" s="205"/>
      <c r="F39" s="205"/>
      <c r="G39" s="205"/>
      <c r="H39" s="206"/>
    </row>
    <row r="40" spans="1:8" ht="14.45" customHeight="1">
      <c r="A40" s="40"/>
      <c r="B40" s="147"/>
      <c r="C40" s="153"/>
      <c r="D40" s="205"/>
      <c r="E40" s="205"/>
      <c r="F40" s="205"/>
      <c r="G40" s="205"/>
      <c r="H40" s="206"/>
    </row>
    <row r="41" spans="1:8" ht="14.45" customHeight="1">
      <c r="A41" s="40"/>
      <c r="B41" s="147"/>
      <c r="C41" s="153"/>
      <c r="D41" s="205"/>
      <c r="E41" s="205"/>
      <c r="F41" s="205"/>
      <c r="G41" s="205"/>
      <c r="H41" s="206"/>
    </row>
    <row r="42" spans="1:8" ht="14.45" customHeight="1">
      <c r="A42" s="40"/>
      <c r="B42" s="147"/>
      <c r="C42" s="154"/>
      <c r="D42" s="157" t="s">
        <v>251</v>
      </c>
      <c r="E42" s="47"/>
      <c r="F42" s="47"/>
      <c r="G42" s="47"/>
      <c r="H42" s="69"/>
    </row>
    <row r="43" spans="1:8" ht="14.45" customHeight="1">
      <c r="A43" s="40"/>
      <c r="B43" s="147"/>
      <c r="C43" s="155"/>
      <c r="D43" s="230" t="s">
        <v>462</v>
      </c>
      <c r="E43" s="202"/>
      <c r="F43" s="202"/>
      <c r="G43" s="202"/>
      <c r="H43" s="203"/>
    </row>
    <row r="44" spans="1:8" ht="14.45" customHeight="1">
      <c r="A44" s="40"/>
      <c r="B44" s="147"/>
      <c r="C44" s="155"/>
      <c r="D44" s="202"/>
      <c r="E44" s="202"/>
      <c r="F44" s="202"/>
      <c r="G44" s="202"/>
      <c r="H44" s="203"/>
    </row>
    <row r="45" spans="1:8" ht="14.45" customHeight="1">
      <c r="A45" s="40"/>
      <c r="B45" s="147"/>
      <c r="C45" s="155"/>
      <c r="D45" s="202"/>
      <c r="E45" s="202"/>
      <c r="F45" s="202"/>
      <c r="G45" s="202"/>
      <c r="H45" s="203"/>
    </row>
    <row r="46" spans="1:8">
      <c r="A46" s="40"/>
      <c r="B46" s="147"/>
      <c r="C46" s="155"/>
      <c r="D46" s="202"/>
      <c r="E46" s="202"/>
      <c r="F46" s="202"/>
      <c r="G46" s="202"/>
      <c r="H46" s="203"/>
    </row>
    <row r="47" spans="1:8">
      <c r="A47" s="43"/>
      <c r="B47" s="18"/>
      <c r="C47" s="155"/>
      <c r="D47" s="202"/>
      <c r="E47" s="202"/>
      <c r="F47" s="202"/>
      <c r="G47" s="202"/>
      <c r="H47" s="203"/>
    </row>
    <row r="48" spans="1:8">
      <c r="A48" s="43"/>
      <c r="B48" s="18"/>
      <c r="C48" s="155"/>
      <c r="D48" s="202"/>
      <c r="E48" s="202"/>
      <c r="F48" s="202"/>
      <c r="G48" s="202"/>
      <c r="H48" s="203"/>
    </row>
    <row r="49" spans="1:13">
      <c r="A49" s="45"/>
      <c r="B49" s="36"/>
      <c r="C49" s="156"/>
      <c r="D49" s="202"/>
      <c r="E49" s="202"/>
      <c r="F49" s="202"/>
      <c r="G49" s="202"/>
      <c r="H49" s="203"/>
    </row>
    <row r="50" spans="1:13">
      <c r="A50" s="43"/>
      <c r="B50" s="18"/>
      <c r="C50" s="18"/>
      <c r="D50" s="202"/>
      <c r="E50" s="202"/>
      <c r="F50" s="202"/>
      <c r="G50" s="202"/>
      <c r="H50" s="203"/>
      <c r="M50" t="s">
        <v>275</v>
      </c>
    </row>
    <row r="51" spans="1:13">
      <c r="A51" s="70" t="s">
        <v>263</v>
      </c>
      <c r="B51" s="71" t="s">
        <v>452</v>
      </c>
      <c r="C51" s="18"/>
      <c r="D51" s="18"/>
      <c r="E51" s="18"/>
      <c r="F51" s="18"/>
      <c r="G51" s="89" t="str">
        <f>$G$9</f>
        <v>Щербаков А.С.</v>
      </c>
      <c r="H51" s="72"/>
    </row>
    <row r="52" spans="1:13">
      <c r="A52" s="43"/>
      <c r="B52" s="18"/>
      <c r="C52" s="18"/>
      <c r="D52" s="18"/>
      <c r="E52" s="18"/>
      <c r="F52" s="18"/>
      <c r="G52" s="18"/>
      <c r="H52" s="44"/>
    </row>
    <row r="53" spans="1:13">
      <c r="A53" s="73" t="s">
        <v>270</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zoomScaleNormal="100" zoomScaleSheetLayoutView="100" zoomScalePageLayoutView="90" workbookViewId="0">
      <selection activeCell="J30" sqref="J30"/>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8.4257812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ht="15.6" customHeight="1">
      <c r="A6" s="221"/>
      <c r="B6" s="222"/>
      <c r="C6" s="222"/>
      <c r="D6" s="222"/>
      <c r="E6" s="222"/>
      <c r="F6" s="222"/>
      <c r="G6" s="222"/>
      <c r="H6" s="223"/>
    </row>
    <row r="7" spans="1:8" ht="21.6" customHeight="1">
      <c r="A7" s="221"/>
      <c r="B7" s="222"/>
      <c r="C7" s="222"/>
      <c r="D7" s="222"/>
      <c r="E7" s="222"/>
      <c r="F7" s="222"/>
      <c r="G7" s="222"/>
      <c r="H7" s="223"/>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B8" s="18"/>
      <c r="C8" s="220"/>
      <c r="D8" s="220"/>
      <c r="E8" s="220"/>
      <c r="F8" s="83"/>
      <c r="G8" s="145"/>
      <c r="H8" s="198"/>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 xml:space="preserve">Код модели: </v>
      </c>
      <c r="B9" s="18"/>
      <c r="C9" s="220"/>
      <c r="D9" s="220"/>
      <c r="E9" s="220"/>
      <c r="F9" s="83"/>
      <c r="G9" s="93"/>
      <c r="H9" s="44"/>
    </row>
    <row r="10" spans="1:8">
      <c r="A10" s="57" t="str">
        <f>"Код метода:"&amp;" "&amp;IF(ISBLANK(H8),IF(SUM(F8:F10)=1,47,IF(SUM(F8:F10)=2,46,IF(SUM(F8:F10)&gt;=3,45,""))),"")</f>
        <v xml:space="preserve">Код метода: </v>
      </c>
      <c r="B10" s="18"/>
      <c r="C10" s="220"/>
      <c r="D10" s="220"/>
      <c r="E10" s="220"/>
      <c r="F10" s="83"/>
      <c r="G10" s="93"/>
      <c r="H10" s="44"/>
    </row>
    <row r="11" spans="1:8">
      <c r="A11" s="43"/>
      <c r="B11" s="18"/>
      <c r="C11" s="62"/>
      <c r="D11" s="18"/>
      <c r="E11" s="18"/>
      <c r="F11" s="18"/>
      <c r="G11" s="18"/>
      <c r="H11" s="44"/>
    </row>
    <row r="12" spans="1:8" ht="18.75">
      <c r="A12" s="90" t="s">
        <v>255</v>
      </c>
      <c r="B12" s="25">
        <f>КАГ!B8</f>
        <v>44732</v>
      </c>
      <c r="C12" s="63"/>
      <c r="D12" s="21" t="s">
        <v>249</v>
      </c>
      <c r="E12" s="34"/>
      <c r="F12" s="34"/>
      <c r="G12" s="22"/>
      <c r="H12" s="23"/>
    </row>
    <row r="13" spans="1:8" ht="15.75">
      <c r="A13" s="91" t="s">
        <v>257</v>
      </c>
      <c r="B13" s="27">
        <v>0.38194444444444442</v>
      </c>
      <c r="C13" s="63"/>
      <c r="D13" s="115" t="s">
        <v>235</v>
      </c>
      <c r="E13" s="111"/>
      <c r="F13" s="111"/>
      <c r="G13" s="95" t="str">
        <f>КАГ!G9</f>
        <v>Щербаков А.С.</v>
      </c>
      <c r="H13" s="108" t="str">
        <f>IF(ISBLANK(КАГ!H9),"",КАГ!H9)</f>
        <v/>
      </c>
    </row>
    <row r="14" spans="1:8" ht="16.5" thickBot="1">
      <c r="A14" s="91" t="s">
        <v>258</v>
      </c>
      <c r="B14" s="27">
        <v>0.45833333333333331</v>
      </c>
      <c r="C14" s="63"/>
      <c r="D14" s="116" t="s">
        <v>236</v>
      </c>
      <c r="E14" s="112"/>
      <c r="F14" s="112"/>
      <c r="G14" s="96" t="str">
        <f>КАГ!G10</f>
        <v>Стрельникова И.В.</v>
      </c>
      <c r="H14" s="109" t="str">
        <f>IF(ISBLANK(КАГ!H10),"",КАГ!H10)</f>
        <v/>
      </c>
    </row>
    <row r="15" spans="1:8" ht="18" thickTop="1" thickBot="1">
      <c r="A15" s="106" t="s">
        <v>256</v>
      </c>
      <c r="B15" s="191" t="str">
        <f>КАГ!B11</f>
        <v>Евишкина Г.Н.</v>
      </c>
      <c r="C15" s="18"/>
      <c r="D15" s="116" t="s">
        <v>233</v>
      </c>
      <c r="E15" s="112"/>
      <c r="F15" s="112"/>
      <c r="G15" s="96" t="str">
        <f>КАГ!G11</f>
        <v>Хаирова А.Р.</v>
      </c>
      <c r="H15" s="109" t="str">
        <f>IF(ISBLANK(КАГ!H11),"",КАГ!H11)</f>
        <v/>
      </c>
    </row>
    <row r="16" spans="1:8" ht="16.5" thickTop="1">
      <c r="A16" s="76" t="s">
        <v>8</v>
      </c>
      <c r="B16" s="75">
        <f>КАГ!B12</f>
        <v>11641</v>
      </c>
      <c r="C16" s="18"/>
      <c r="D16" s="116" t="s">
        <v>371</v>
      </c>
      <c r="E16" s="112"/>
      <c r="F16" s="112"/>
      <c r="G16" s="96" t="str">
        <f>КАГ!G12</f>
        <v>Билан Н.В.</v>
      </c>
      <c r="H16" s="109" t="str">
        <f>IF(ISBLANK(КАГ!H12),"",КАГ!H12)</f>
        <v/>
      </c>
    </row>
    <row r="17" spans="1:8" ht="15.75">
      <c r="A17" s="76" t="s">
        <v>10</v>
      </c>
      <c r="B17" s="77">
        <f>КАГ!B13</f>
        <v>90</v>
      </c>
      <c r="C17" s="18"/>
      <c r="D17" s="116" t="s">
        <v>247</v>
      </c>
      <c r="E17" s="112"/>
      <c r="F17" s="112"/>
      <c r="G17" s="96" t="str">
        <f>IF(ISBLANK(КАГ!G13),"",КАГ!G13)</f>
        <v/>
      </c>
      <c r="H17" s="109" t="str">
        <f>IF(ISBLANK(КАГ!H13),"",КАГ!H13)</f>
        <v/>
      </c>
    </row>
    <row r="18" spans="1:8" ht="15.75">
      <c r="A18" s="76" t="s">
        <v>12</v>
      </c>
      <c r="B18" s="78">
        <f>КАГ!B14</f>
        <v>9578</v>
      </c>
      <c r="C18" s="18"/>
      <c r="D18" s="18"/>
      <c r="E18" s="18"/>
      <c r="F18" s="18"/>
      <c r="G18" s="18"/>
      <c r="H18" s="44"/>
    </row>
    <row r="19" spans="1:8" ht="14.45" customHeight="1">
      <c r="A19" s="76" t="s">
        <v>196</v>
      </c>
      <c r="B19" s="78">
        <f>КАГ!B15</f>
        <v>35</v>
      </c>
      <c r="C19" s="80"/>
      <c r="D19" s="80"/>
      <c r="E19" s="80"/>
      <c r="F19" s="80"/>
      <c r="G19" s="103" t="s">
        <v>338</v>
      </c>
      <c r="H19" s="110" t="s">
        <v>339</v>
      </c>
    </row>
    <row r="20" spans="1:8" ht="14.45" customHeight="1">
      <c r="A20" s="76" t="s">
        <v>134</v>
      </c>
      <c r="B20" s="75" t="str">
        <f>КАГ!B16</f>
        <v>ОКС с ↑ ST</v>
      </c>
      <c r="C20" s="82"/>
      <c r="D20" s="82"/>
      <c r="E20" s="82"/>
      <c r="F20" s="82"/>
      <c r="G20" s="160" t="str">
        <f>КАГ!G16</f>
        <v>31:54</v>
      </c>
      <c r="H20" s="118">
        <f>КАГ!H16</f>
        <v>895</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IFERROR(SUM(IF($B$20=Вмешательства!F11,SUM(КАГ!$B$9+0.01),"")),"")</f>
        <v>0.80513888888888885</v>
      </c>
    </row>
    <row r="23" spans="1:8" ht="14.45" customHeight="1">
      <c r="A23" s="226" t="s">
        <v>453</v>
      </c>
      <c r="B23" s="227"/>
      <c r="C23" s="227"/>
      <c r="D23" s="227"/>
      <c r="E23" s="227"/>
      <c r="F23" s="227"/>
      <c r="G23" s="227"/>
      <c r="H23" s="228"/>
    </row>
    <row r="24" spans="1:8" ht="14.45" customHeight="1">
      <c r="A24" s="229"/>
      <c r="B24" s="227"/>
      <c r="C24" s="227"/>
      <c r="D24" s="227"/>
      <c r="E24" s="227"/>
      <c r="F24" s="227"/>
      <c r="G24" s="227"/>
      <c r="H24" s="228"/>
    </row>
    <row r="25" spans="1:8" ht="14.45" customHeight="1">
      <c r="A25" s="229"/>
      <c r="B25" s="227"/>
      <c r="C25" s="227"/>
      <c r="D25" s="227"/>
      <c r="E25" s="227"/>
      <c r="F25" s="227"/>
      <c r="G25" s="227"/>
      <c r="H25" s="228"/>
    </row>
    <row r="26" spans="1:8" ht="14.45" customHeight="1">
      <c r="A26" s="229"/>
      <c r="B26" s="227"/>
      <c r="C26" s="227"/>
      <c r="D26" s="227"/>
      <c r="E26" s="227"/>
      <c r="F26" s="227"/>
      <c r="G26" s="227"/>
      <c r="H26" s="228"/>
    </row>
    <row r="27" spans="1:8" ht="14.45" customHeight="1">
      <c r="A27" s="229"/>
      <c r="B27" s="227"/>
      <c r="C27" s="227"/>
      <c r="D27" s="227"/>
      <c r="E27" s="227"/>
      <c r="F27" s="227"/>
      <c r="G27" s="227"/>
      <c r="H27" s="228"/>
    </row>
    <row r="28" spans="1:8" ht="14.45" customHeight="1">
      <c r="A28" s="229"/>
      <c r="B28" s="227"/>
      <c r="C28" s="227"/>
      <c r="D28" s="227"/>
      <c r="E28" s="227"/>
      <c r="F28" s="227"/>
      <c r="G28" s="227"/>
      <c r="H28" s="228"/>
    </row>
    <row r="29" spans="1:8" ht="14.45" customHeight="1">
      <c r="A29" s="229"/>
      <c r="B29" s="227"/>
      <c r="C29" s="227"/>
      <c r="D29" s="227"/>
      <c r="E29" s="227"/>
      <c r="F29" s="227"/>
      <c r="G29" s="227"/>
      <c r="H29" s="228"/>
    </row>
    <row r="30" spans="1:8" ht="14.45" customHeight="1">
      <c r="A30" s="229"/>
      <c r="B30" s="227"/>
      <c r="C30" s="227"/>
      <c r="D30" s="227"/>
      <c r="E30" s="227"/>
      <c r="F30" s="227"/>
      <c r="G30" s="227"/>
      <c r="H30" s="228"/>
    </row>
    <row r="31" spans="1:8" ht="14.45" customHeight="1">
      <c r="A31" s="229"/>
      <c r="B31" s="227"/>
      <c r="C31" s="227"/>
      <c r="D31" s="227"/>
      <c r="E31" s="227"/>
      <c r="F31" s="227"/>
      <c r="G31" s="227"/>
      <c r="H31" s="228"/>
    </row>
    <row r="32" spans="1:8" ht="14.45" customHeight="1">
      <c r="A32" s="229"/>
      <c r="B32" s="227"/>
      <c r="C32" s="227"/>
      <c r="D32" s="227"/>
      <c r="E32" s="227"/>
      <c r="F32" s="227"/>
      <c r="G32" s="227"/>
      <c r="H32" s="228"/>
    </row>
    <row r="33" spans="1:8" ht="14.45" customHeight="1">
      <c r="A33" s="229"/>
      <c r="B33" s="227"/>
      <c r="C33" s="227"/>
      <c r="D33" s="227"/>
      <c r="E33" s="227"/>
      <c r="F33" s="227"/>
      <c r="G33" s="227"/>
      <c r="H33" s="228"/>
    </row>
    <row r="34" spans="1:8" ht="14.45" customHeight="1">
      <c r="A34" s="229"/>
      <c r="B34" s="227"/>
      <c r="C34" s="227"/>
      <c r="D34" s="227"/>
      <c r="E34" s="227"/>
      <c r="F34" s="227"/>
      <c r="G34" s="227"/>
      <c r="H34" s="228"/>
    </row>
    <row r="35" spans="1:8" ht="14.45" customHeight="1">
      <c r="A35" s="229"/>
      <c r="B35" s="227"/>
      <c r="C35" s="227"/>
      <c r="D35" s="227"/>
      <c r="E35" s="227"/>
      <c r="F35" s="227"/>
      <c r="G35" s="227"/>
      <c r="H35" s="228"/>
    </row>
    <row r="36" spans="1:8" ht="14.45" customHeight="1">
      <c r="A36" s="229"/>
      <c r="B36" s="227"/>
      <c r="C36" s="227"/>
      <c r="D36" s="227"/>
      <c r="E36" s="227"/>
      <c r="F36" s="227"/>
      <c r="G36" s="227"/>
      <c r="H36" s="228"/>
    </row>
    <row r="37" spans="1:8" ht="14.45" customHeight="1">
      <c r="A37" s="229"/>
      <c r="B37" s="227"/>
      <c r="C37" s="227"/>
      <c r="D37" s="227"/>
      <c r="E37" s="227"/>
      <c r="F37" s="227"/>
      <c r="G37" s="227"/>
      <c r="H37" s="228"/>
    </row>
    <row r="38" spans="1:8" ht="14.45" customHeight="1">
      <c r="A38" s="81"/>
      <c r="B38" s="82"/>
      <c r="C38" s="82"/>
      <c r="D38" s="82"/>
      <c r="E38" s="82"/>
      <c r="F38" s="82"/>
      <c r="G38" s="82"/>
      <c r="H38" s="158"/>
    </row>
    <row r="39" spans="1:8" ht="15.75">
      <c r="A39" s="37"/>
      <c r="B39" s="33"/>
      <c r="C39" s="149"/>
      <c r="D39" s="150" t="s">
        <v>251</v>
      </c>
      <c r="E39" s="87"/>
      <c r="F39" s="87"/>
      <c r="G39" s="87"/>
      <c r="H39" s="88"/>
    </row>
    <row r="40" spans="1:8" ht="14.45" customHeight="1">
      <c r="A40" s="37"/>
      <c r="B40" s="33"/>
      <c r="C40" s="148"/>
      <c r="D40" s="201" t="s">
        <v>451</v>
      </c>
      <c r="E40" s="224"/>
      <c r="F40" s="224"/>
      <c r="G40" s="224"/>
      <c r="H40" s="225"/>
    </row>
    <row r="41" spans="1:8" ht="14.45" customHeight="1">
      <c r="A41" s="37"/>
      <c r="B41" s="33"/>
      <c r="C41" s="148"/>
      <c r="D41" s="224"/>
      <c r="E41" s="224"/>
      <c r="F41" s="224"/>
      <c r="G41" s="224"/>
      <c r="H41" s="225"/>
    </row>
    <row r="42" spans="1:8" ht="14.45" customHeight="1">
      <c r="A42" s="37"/>
      <c r="B42" s="33"/>
      <c r="C42" s="148"/>
      <c r="D42" s="224"/>
      <c r="E42" s="224"/>
      <c r="F42" s="224"/>
      <c r="G42" s="224"/>
      <c r="H42" s="225"/>
    </row>
    <row r="43" spans="1:8" ht="14.45" customHeight="1">
      <c r="A43" s="37"/>
      <c r="B43" s="33"/>
      <c r="C43" s="148"/>
      <c r="D43" s="224"/>
      <c r="E43" s="224"/>
      <c r="F43" s="224"/>
      <c r="G43" s="224"/>
      <c r="H43" s="225"/>
    </row>
    <row r="44" spans="1:8" ht="14.45" customHeight="1">
      <c r="A44" s="37"/>
      <c r="B44" s="33"/>
      <c r="C44" s="148"/>
      <c r="D44" s="224"/>
      <c r="E44" s="224"/>
      <c r="F44" s="224"/>
      <c r="G44" s="224"/>
      <c r="H44" s="225"/>
    </row>
    <row r="45" spans="1:8" ht="14.45" customHeight="1">
      <c r="A45" s="37"/>
      <c r="B45" s="33"/>
      <c r="C45" s="148"/>
      <c r="D45" s="224"/>
      <c r="E45" s="224"/>
      <c r="F45" s="224"/>
      <c r="G45" s="224"/>
      <c r="H45" s="225"/>
    </row>
    <row r="46" spans="1:8" ht="14.45" customHeight="1">
      <c r="A46" s="37"/>
      <c r="B46" s="33"/>
      <c r="C46" s="148"/>
      <c r="D46" s="224"/>
      <c r="E46" s="224"/>
      <c r="F46" s="224"/>
      <c r="G46" s="224"/>
      <c r="H46" s="225"/>
    </row>
    <row r="47" spans="1:8" ht="14.45" customHeight="1">
      <c r="A47" s="43"/>
      <c r="B47" s="18"/>
      <c r="C47" s="148"/>
      <c r="D47" s="224"/>
      <c r="E47" s="224"/>
      <c r="F47" s="224"/>
      <c r="G47" s="224"/>
      <c r="H47" s="225"/>
    </row>
    <row r="48" spans="1:8" ht="14.45" customHeight="1">
      <c r="A48" s="43"/>
      <c r="B48" s="18"/>
      <c r="C48" s="148"/>
      <c r="D48" s="224"/>
      <c r="E48" s="224"/>
      <c r="F48" s="224"/>
      <c r="G48" s="224"/>
      <c r="H48" s="225"/>
    </row>
    <row r="49" spans="1:8" ht="14.45" customHeight="1">
      <c r="A49" s="43"/>
      <c r="B49" s="18"/>
      <c r="C49" s="148"/>
      <c r="D49" s="224"/>
      <c r="E49" s="224"/>
      <c r="F49" s="224"/>
      <c r="G49" s="224"/>
      <c r="H49" s="225"/>
    </row>
    <row r="50" spans="1:8">
      <c r="A50" s="43"/>
      <c r="B50" s="18"/>
      <c r="C50" s="18"/>
      <c r="D50" s="18"/>
      <c r="E50" s="18"/>
      <c r="F50" s="18"/>
      <c r="G50" s="18"/>
      <c r="H50" s="44"/>
    </row>
    <row r="51" spans="1:8">
      <c r="A51" s="70" t="s">
        <v>263</v>
      </c>
      <c r="B51" s="200" t="s">
        <v>450</v>
      </c>
      <c r="C51" s="18"/>
      <c r="D51" s="18"/>
      <c r="E51" s="18"/>
      <c r="F51" s="18"/>
      <c r="G51" s="89" t="str">
        <f>$G$13</f>
        <v>Щербаков А.С.</v>
      </c>
      <c r="H51" s="72"/>
    </row>
    <row r="52" spans="1:8">
      <c r="A52" s="43"/>
      <c r="B52" s="18"/>
      <c r="C52" s="18"/>
      <c r="D52" s="18"/>
      <c r="E52" s="18"/>
      <c r="F52" s="18"/>
      <c r="G52" s="18"/>
      <c r="H52" s="44"/>
    </row>
    <row r="53" spans="1:8">
      <c r="A53" s="79" t="s">
        <v>270</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H7" sqref="H7"/>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44732</v>
      </c>
      <c r="C2" s="190" t="str">
        <f>IF(ЧКВ!A6=Вмешательства!D4,Вмешательства!K7,IF(ЧКВ!A6=Вмешательства!D5,Вмешательства!K7,Вмешательства!K9))</f>
        <v>ОМС</v>
      </c>
      <c r="D2" s="121" t="s">
        <v>127</v>
      </c>
    </row>
    <row r="3" spans="1:4" ht="20.45" customHeight="1">
      <c r="A3" s="122" t="s">
        <v>125</v>
      </c>
      <c r="B3" s="123"/>
      <c r="C3" s="18"/>
      <c r="D3" s="44"/>
    </row>
    <row r="4" spans="1:4" ht="17.25" thickBot="1">
      <c r="A4" s="184" t="s">
        <v>259</v>
      </c>
      <c r="B4" s="185" t="s">
        <v>133</v>
      </c>
      <c r="C4" s="186" t="s">
        <v>15</v>
      </c>
      <c r="D4" s="187" t="str">
        <f>КАГ!$B$11</f>
        <v>Евишкина Г.Н.</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11641</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67" t="str">
        <f>IF(ISBLANK(ЧКВ!A6),"",ЧКВ!A6)</f>
        <v/>
      </c>
      <c r="C6" s="164" t="s">
        <v>10</v>
      </c>
      <c r="D6" s="126">
        <f>DATEDIF(D5,D10,"y")</f>
        <v>90</v>
      </c>
    </row>
    <row r="7" spans="1:4">
      <c r="A7" s="43"/>
      <c r="B7" s="18"/>
      <c r="C7" s="124" t="s">
        <v>12</v>
      </c>
      <c r="D7" s="126">
        <f>КАГ!$B$14</f>
        <v>9578</v>
      </c>
    </row>
    <row r="8" spans="1:4">
      <c r="A8" s="127" t="str">
        <f>ЧКВ!$A$9</f>
        <v xml:space="preserve">Код модели: </v>
      </c>
      <c r="B8" s="128"/>
      <c r="C8" s="124" t="s">
        <v>196</v>
      </c>
      <c r="D8" s="126">
        <f>КАГ!$B$15</f>
        <v>35</v>
      </c>
    </row>
    <row r="9" spans="1:4">
      <c r="A9" s="127" t="str">
        <f>ЧКВ!$A$10</f>
        <v xml:space="preserve">Код метода: </v>
      </c>
      <c r="B9" s="18"/>
      <c r="C9" s="129" t="s">
        <v>134</v>
      </c>
      <c r="D9" s="126" t="str">
        <f>КАГ!$B$16</f>
        <v>ОКС с ↑ ST</v>
      </c>
    </row>
    <row r="10" spans="1:4">
      <c r="A10" s="45"/>
      <c r="B10" s="36"/>
      <c r="C10" s="188" t="s">
        <v>13</v>
      </c>
      <c r="D10" s="189">
        <f>КАГ!$B$8</f>
        <v>44732</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3" s="192" t="s">
        <v>399</v>
      </c>
      <c r="C13" s="170"/>
      <c r="D13" s="175">
        <v>2</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
      </c>
      <c r="B14" s="193"/>
      <c r="C14" s="168"/>
      <c r="D14" s="175"/>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c>
      <c r="B15" s="193"/>
      <c r="C15" s="168"/>
      <c r="D15" s="175"/>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c>
      <c r="B16" s="193"/>
      <c r="C16" s="168"/>
      <c r="D16" s="175"/>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c>
      <c r="B17" s="193"/>
      <c r="C17" s="168"/>
      <c r="D17" s="175"/>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3"/>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3"/>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448</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343</v>
      </c>
      <c r="C39" s="138"/>
      <c r="D39" s="44"/>
    </row>
    <row r="40" spans="1:4" ht="19.899999999999999" customHeight="1">
      <c r="A40" s="45"/>
      <c r="B40" s="36"/>
      <c r="C40" s="36"/>
      <c r="D40" s="46"/>
    </row>
    <row r="41" spans="1:4" ht="14.45" customHeight="1">
      <c r="C41" s="15"/>
    </row>
  </sheetData>
  <sheetProtection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материал'!$C$2:$C$51</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D4" sqref="D4"/>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190</v>
      </c>
      <c r="J1" s="2" t="s">
        <v>193</v>
      </c>
      <c r="K1" s="2" t="s">
        <v>191</v>
      </c>
      <c r="L1" s="2" t="s">
        <v>194</v>
      </c>
    </row>
    <row r="2" spans="1:15">
      <c r="A2" s="10">
        <v>1</v>
      </c>
      <c r="B2" s="2" t="s">
        <v>9</v>
      </c>
      <c r="C2" s="10" t="s">
        <v>292</v>
      </c>
      <c r="D2" s="5" t="s">
        <v>277</v>
      </c>
      <c r="F2" t="s">
        <v>91</v>
      </c>
      <c r="G2">
        <v>155800</v>
      </c>
      <c r="I2" t="s">
        <v>98</v>
      </c>
      <c r="J2" s="2">
        <v>21166</v>
      </c>
      <c r="K2" t="s">
        <v>100</v>
      </c>
      <c r="L2" s="2">
        <v>47</v>
      </c>
      <c r="M2" s="12"/>
      <c r="N2" t="s">
        <v>279</v>
      </c>
    </row>
    <row r="3" spans="1:15">
      <c r="A3" s="10">
        <v>2</v>
      </c>
      <c r="B3" s="2" t="s">
        <v>18</v>
      </c>
      <c r="C3" s="10" t="s">
        <v>85</v>
      </c>
      <c r="D3" s="5" t="s">
        <v>278</v>
      </c>
      <c r="F3" t="s">
        <v>92</v>
      </c>
      <c r="G3">
        <v>218190</v>
      </c>
      <c r="I3" t="s">
        <v>385</v>
      </c>
      <c r="J3" s="2">
        <v>21167</v>
      </c>
      <c r="K3" t="s">
        <v>101</v>
      </c>
      <c r="L3" s="2">
        <v>46</v>
      </c>
      <c r="N3" t="s">
        <v>271</v>
      </c>
    </row>
    <row r="4" spans="1:15" ht="30">
      <c r="A4" s="10">
        <v>3</v>
      </c>
      <c r="B4" s="2" t="s">
        <v>38</v>
      </c>
      <c r="C4" s="10" t="s">
        <v>39</v>
      </c>
      <c r="D4" s="5" t="s">
        <v>272</v>
      </c>
      <c r="F4" t="s">
        <v>93</v>
      </c>
      <c r="G4">
        <v>218140</v>
      </c>
      <c r="I4" t="s">
        <v>192</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250</v>
      </c>
      <c r="F6" t="s">
        <v>95</v>
      </c>
      <c r="G6">
        <v>194510</v>
      </c>
    </row>
    <row r="7" spans="1:15" ht="30">
      <c r="A7" s="10">
        <v>6</v>
      </c>
      <c r="B7" s="9"/>
      <c r="C7" s="10" t="s">
        <v>99</v>
      </c>
      <c r="D7" s="5" t="s">
        <v>377</v>
      </c>
      <c r="F7" t="s">
        <v>96</v>
      </c>
      <c r="G7">
        <v>323500</v>
      </c>
      <c r="I7" t="s">
        <v>291</v>
      </c>
      <c r="K7" t="s">
        <v>376</v>
      </c>
    </row>
    <row r="8" spans="1:15" ht="30">
      <c r="A8" s="10">
        <v>7</v>
      </c>
      <c r="B8" s="2"/>
      <c r="C8" s="10" t="s">
        <v>293</v>
      </c>
      <c r="D8" s="5" t="s">
        <v>195</v>
      </c>
      <c r="F8" t="s">
        <v>97</v>
      </c>
      <c r="G8">
        <v>323510</v>
      </c>
      <c r="I8" t="s">
        <v>281</v>
      </c>
      <c r="K8" t="s">
        <v>413</v>
      </c>
    </row>
    <row r="9" spans="1:15">
      <c r="A9" s="10">
        <v>8</v>
      </c>
      <c r="B9" s="9"/>
      <c r="C9" s="10" t="s">
        <v>80</v>
      </c>
      <c r="D9" s="5" t="s">
        <v>311</v>
      </c>
      <c r="I9" t="s">
        <v>282</v>
      </c>
      <c r="K9" t="s">
        <v>414</v>
      </c>
    </row>
    <row r="10" spans="1:15">
      <c r="A10" s="10">
        <v>9</v>
      </c>
      <c r="B10" s="2" t="s">
        <v>35</v>
      </c>
      <c r="C10" s="10" t="s">
        <v>86</v>
      </c>
      <c r="D10" s="5" t="s">
        <v>87</v>
      </c>
      <c r="F10" t="s">
        <v>134</v>
      </c>
      <c r="I10" t="s">
        <v>283</v>
      </c>
    </row>
    <row r="11" spans="1:15">
      <c r="A11" s="10">
        <v>10</v>
      </c>
      <c r="B11" s="2"/>
      <c r="C11" s="10" t="s">
        <v>294</v>
      </c>
      <c r="D11" s="5" t="s">
        <v>202</v>
      </c>
      <c r="F11" s="16" t="s">
        <v>98</v>
      </c>
      <c r="G11" s="16"/>
      <c r="H11" s="16"/>
      <c r="I11" t="s">
        <v>284</v>
      </c>
    </row>
    <row r="12" spans="1:15">
      <c r="A12" s="10">
        <v>11</v>
      </c>
      <c r="B12" s="2" t="s">
        <v>25</v>
      </c>
      <c r="C12" s="10" t="s">
        <v>295</v>
      </c>
      <c r="D12" s="5" t="s">
        <v>26</v>
      </c>
      <c r="F12" s="16" t="s">
        <v>384</v>
      </c>
      <c r="G12" s="16"/>
      <c r="H12" s="16"/>
      <c r="I12" t="s">
        <v>285</v>
      </c>
      <c r="O12" s="10"/>
    </row>
    <row r="13" spans="1:15">
      <c r="A13" s="10">
        <v>12</v>
      </c>
      <c r="B13" s="2" t="s">
        <v>19</v>
      </c>
      <c r="C13" s="10" t="s">
        <v>296</v>
      </c>
      <c r="D13" s="5" t="s">
        <v>20</v>
      </c>
      <c r="F13" s="16" t="s">
        <v>192</v>
      </c>
      <c r="G13" s="16"/>
      <c r="H13" s="16"/>
      <c r="I13" t="s">
        <v>286</v>
      </c>
      <c r="N13" s="12"/>
      <c r="O13" s="12"/>
    </row>
    <row r="14" spans="1:15">
      <c r="A14" s="10">
        <v>13</v>
      </c>
      <c r="B14" s="2" t="s">
        <v>21</v>
      </c>
      <c r="C14" s="10" t="s">
        <v>297</v>
      </c>
      <c r="D14" s="5" t="s">
        <v>22</v>
      </c>
      <c r="F14" s="16" t="s">
        <v>153</v>
      </c>
      <c r="G14" s="16"/>
      <c r="H14" s="16"/>
      <c r="I14" t="s">
        <v>287</v>
      </c>
    </row>
    <row r="15" spans="1:15">
      <c r="A15" s="10">
        <v>14</v>
      </c>
      <c r="B15" s="2" t="s">
        <v>23</v>
      </c>
      <c r="C15" s="10" t="s">
        <v>298</v>
      </c>
      <c r="D15" s="5" t="s">
        <v>24</v>
      </c>
      <c r="F15" s="16" t="s">
        <v>155</v>
      </c>
      <c r="G15" s="16"/>
      <c r="H15" s="16"/>
      <c r="I15" t="s">
        <v>273</v>
      </c>
    </row>
    <row r="16" spans="1:15">
      <c r="A16" s="10">
        <v>15</v>
      </c>
      <c r="B16" s="2" t="s">
        <v>27</v>
      </c>
      <c r="C16" s="10" t="s">
        <v>299</v>
      </c>
      <c r="D16" s="5" t="s">
        <v>28</v>
      </c>
      <c r="F16" s="16" t="s">
        <v>154</v>
      </c>
      <c r="G16" s="16"/>
      <c r="H16" s="16"/>
      <c r="I16" t="s">
        <v>288</v>
      </c>
    </row>
    <row r="17" spans="1:9">
      <c r="A17" s="10">
        <v>16</v>
      </c>
      <c r="B17" s="2" t="s">
        <v>29</v>
      </c>
      <c r="C17" s="10" t="s">
        <v>300</v>
      </c>
      <c r="D17" s="5" t="s">
        <v>30</v>
      </c>
      <c r="F17" s="16" t="s">
        <v>157</v>
      </c>
      <c r="I17" t="s">
        <v>280</v>
      </c>
    </row>
    <row r="18" spans="1:9">
      <c r="A18" s="10">
        <v>17</v>
      </c>
      <c r="B18" s="2" t="s">
        <v>31</v>
      </c>
      <c r="C18" s="10" t="s">
        <v>301</v>
      </c>
      <c r="D18" s="5" t="s">
        <v>32</v>
      </c>
      <c r="F18" s="16"/>
      <c r="I18" t="s">
        <v>289</v>
      </c>
    </row>
    <row r="19" spans="1:9">
      <c r="A19" s="10">
        <v>18</v>
      </c>
      <c r="B19" s="2" t="s">
        <v>33</v>
      </c>
      <c r="C19" s="10" t="s">
        <v>302</v>
      </c>
      <c r="D19" s="5" t="s">
        <v>34</v>
      </c>
      <c r="I19" t="s">
        <v>290</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308</v>
      </c>
      <c r="D29" s="5" t="s">
        <v>309</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304</v>
      </c>
      <c r="D32" s="5" t="s">
        <v>75</v>
      </c>
      <c r="F32" s="13"/>
      <c r="G32" s="13"/>
      <c r="H32" s="13"/>
      <c r="I32" s="13"/>
    </row>
    <row r="33" spans="1:9">
      <c r="A33" s="10">
        <v>32</v>
      </c>
      <c r="B33" s="2" t="s">
        <v>76</v>
      </c>
      <c r="C33" s="94" t="s">
        <v>303</v>
      </c>
      <c r="D33" s="5" t="s">
        <v>77</v>
      </c>
      <c r="F33" s="13"/>
      <c r="G33" s="13"/>
      <c r="H33" s="13"/>
      <c r="I33" s="13"/>
    </row>
    <row r="34" spans="1:9">
      <c r="A34" s="10">
        <v>33</v>
      </c>
      <c r="B34" s="2" t="s">
        <v>78</v>
      </c>
      <c r="C34" s="94" t="s">
        <v>305</v>
      </c>
      <c r="D34" s="5" t="s">
        <v>79</v>
      </c>
      <c r="F34" s="13"/>
      <c r="G34" s="13"/>
      <c r="H34" s="13"/>
      <c r="I34" s="13"/>
    </row>
    <row r="35" spans="1:9">
      <c r="A35" s="10">
        <v>34</v>
      </c>
      <c r="B35" s="2" t="s">
        <v>81</v>
      </c>
      <c r="C35" s="94" t="s">
        <v>82</v>
      </c>
      <c r="D35" s="5" t="s">
        <v>306</v>
      </c>
      <c r="F35" s="13"/>
      <c r="G35" s="13"/>
      <c r="H35" s="13"/>
      <c r="I35" s="13"/>
    </row>
    <row r="36" spans="1:9">
      <c r="A36" s="10">
        <v>35</v>
      </c>
      <c r="B36" s="2" t="s">
        <v>83</v>
      </c>
      <c r="C36" s="94" t="s">
        <v>84</v>
      </c>
      <c r="D36" s="5" t="s">
        <v>307</v>
      </c>
      <c r="F36" s="13"/>
      <c r="G36" s="13"/>
      <c r="H36" s="13"/>
      <c r="I36" s="13"/>
    </row>
    <row r="37" spans="1:9">
      <c r="A37" s="10">
        <v>36</v>
      </c>
      <c r="B37" s="9"/>
      <c r="C37" s="94" t="s">
        <v>310</v>
      </c>
      <c r="D37" s="6" t="s">
        <v>88</v>
      </c>
      <c r="F37" s="13"/>
      <c r="G37" s="13"/>
      <c r="H37" s="13"/>
      <c r="I37" s="13"/>
    </row>
  </sheetData>
  <sheetProtection sheet="1" objects="1" scenarios="1" formatCells="0" formatColumns="0"/>
  <phoneticPr fontId="15"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topLeftCell="A16" zoomScaleNormal="100" workbookViewId="0">
      <selection activeCell="AB44" sqref="AB44"/>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5.5703125" bestFit="1" customWidth="1"/>
    <col min="37" max="37" width="24.85546875" bestFit="1" customWidth="1"/>
  </cols>
  <sheetData>
    <row r="1" spans="1:37">
      <c r="A1" t="s">
        <v>2</v>
      </c>
      <c r="B1" t="s">
        <v>1</v>
      </c>
      <c r="C1" t="s">
        <v>0</v>
      </c>
      <c r="E1" s="139" t="s">
        <v>129</v>
      </c>
      <c r="F1" s="139" t="s">
        <v>130</v>
      </c>
      <c r="G1" s="139" t="s">
        <v>347</v>
      </c>
      <c r="H1" s="139" t="s">
        <v>348</v>
      </c>
      <c r="I1" s="139" t="s">
        <v>349</v>
      </c>
      <c r="J1" s="139" t="s">
        <v>350</v>
      </c>
      <c r="K1" s="140" t="s">
        <v>351</v>
      </c>
      <c r="L1" s="140" t="s">
        <v>352</v>
      </c>
      <c r="M1" s="140" t="s">
        <v>353</v>
      </c>
      <c r="N1" s="140" t="s">
        <v>354</v>
      </c>
      <c r="O1" s="140" t="s">
        <v>355</v>
      </c>
      <c r="P1" s="140" t="s">
        <v>356</v>
      </c>
      <c r="Q1" s="140" t="s">
        <v>357</v>
      </c>
      <c r="R1" s="139" t="s">
        <v>131</v>
      </c>
      <c r="S1" s="139" t="s">
        <v>132</v>
      </c>
      <c r="T1" s="139" t="s">
        <v>358</v>
      </c>
      <c r="U1" s="139" t="s">
        <v>359</v>
      </c>
      <c r="V1" s="139" t="s">
        <v>360</v>
      </c>
      <c r="W1" s="139" t="s">
        <v>361</v>
      </c>
      <c r="X1" s="139" t="s">
        <v>362</v>
      </c>
      <c r="Y1" s="139" t="s">
        <v>363</v>
      </c>
      <c r="Z1" s="139" t="s">
        <v>364</v>
      </c>
      <c r="AA1" s="139" t="s">
        <v>365</v>
      </c>
      <c r="AB1" s="139" t="s">
        <v>366</v>
      </c>
      <c r="AC1" s="139" t="s">
        <v>367</v>
      </c>
      <c r="AD1" s="139" t="s">
        <v>368</v>
      </c>
      <c r="AF1" s="2" t="s">
        <v>159</v>
      </c>
      <c r="AG1" s="2" t="s">
        <v>189</v>
      </c>
      <c r="AI1" t="s">
        <v>260</v>
      </c>
      <c r="AJ1" t="s">
        <v>261</v>
      </c>
      <c r="AK1" t="s">
        <v>262</v>
      </c>
    </row>
    <row r="2" spans="1:37">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1</v>
      </c>
      <c r="G2" s="140">
        <f>IF(ISNUMBER(SEARCH('Карта учёта'!$B$15,Расходка[Наименование расходного материала])),MAX($G$1:G1)+1,0)</f>
        <v>1</v>
      </c>
      <c r="H2" s="140">
        <f>IF(ISNUMBER(SEARCH('Карта учёта'!$B$16,Расходка[Наименование расходного материала])),MAX($H$1:H1)+1,0)</f>
        <v>1</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Intuition</v>
      </c>
      <c r="S2" s="139" t="str">
        <f>IFERROR(INDEX(Расходка[Наименование расходного материала],MATCH(Расходка[№],Поиск_расходки[Индекс2],0)),"")</f>
        <v>Hunter® 6F</v>
      </c>
      <c r="T2" s="139" t="str">
        <f>IFERROR(INDEX(Расходка[Наименование расходного материала],MATCH(Расходка[№],Поиск_расходки[Индекс3],0)),"")</f>
        <v>Hunter® 6F</v>
      </c>
      <c r="U2" s="139" t="str">
        <f>IFERROR(INDEX(Расходка[Наименование расходного материала],MATCH(Расходка[№],Поиск_расходки[Индекс4],0)),"")</f>
        <v>Hunter® 6F</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254</v>
      </c>
      <c r="AJ2" t="s">
        <v>263</v>
      </c>
      <c r="AK2" t="str">
        <f>CONCATENATE(AI2,AJ2)</f>
        <v xml:space="preserve">Контраст: Ультравист 370 </v>
      </c>
    </row>
    <row r="3" spans="1:37">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2</v>
      </c>
      <c r="G3" s="140">
        <f>IF(ISNUMBER(SEARCH('Карта учёта'!$B$15,Расходка[Наименование расходного материала])),MAX($G$1:G2)+1,0)</f>
        <v>2</v>
      </c>
      <c r="H3" s="140">
        <f>IF(ISNUMBER(SEARCH('Карта учёта'!$B$16,Расходка[Наименование расходного материала])),MAX($H$1:H2)+1,0)</f>
        <v>2</v>
      </c>
      <c r="I3" s="140">
        <f>IF(ISNUMBER(SEARCH('Карта учёта'!$B$17,Расходка[Наименование расходного материала])),MAX($I$1:I2)+1,0)</f>
        <v>2</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NC Accuforce</v>
      </c>
      <c r="T3" s="139" t="str">
        <f>IFERROR(INDEX(Расходка[Наименование расходного материала],MATCH(Расходка[№],Поиск_расходки[Индекс3],0)),"")</f>
        <v>NC Accuforce</v>
      </c>
      <c r="U3" s="139" t="str">
        <f>IFERROR(INDEX(Расходка[Наименование расходного материала],MATCH(Расходка[№],Поиск_расходки[Индекс4],0)),"")</f>
        <v>NC Accuforce</v>
      </c>
      <c r="V3" s="139" t="str">
        <f>IFERROR(INDEX(Расходка[Наименование расходного материала],MATCH(Расходка[№],Поиск_расходки[Индекс5],0)),"")</f>
        <v>NC Accuforce</v>
      </c>
      <c r="W3" s="139" t="str">
        <f>IFERROR(INDEX(Расходка[Наименование расходного материала],MATCH(Расходка[№],Поиск_расходки[Индекс6],0)),"")</f>
        <v>NC Accuforce</v>
      </c>
      <c r="X3" s="139" t="str">
        <f>IFERROR(INDEX(Расходка[Наименование расходного материала],MATCH(Расходка[№],Поиск_расходки[Индекс7],0)),"")</f>
        <v>NC Accuforce</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254</v>
      </c>
      <c r="AJ3" t="s">
        <v>264</v>
      </c>
      <c r="AK3" t="str">
        <f t="shared" ref="AK3:AK6" si="0">CONCATENATE(AI3,AJ3)</f>
        <v>Контраст: Омнипак 350</v>
      </c>
    </row>
    <row r="4" spans="1:37">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3</v>
      </c>
      <c r="G4" s="140">
        <f>IF(ISNUMBER(SEARCH('Карта учёта'!$B$15,Расходка[Наименование расходного материала])),MAX($G$1:G3)+1,0)</f>
        <v>3</v>
      </c>
      <c r="H4" s="140">
        <f>IF(ISNUMBER(SEARCH('Карта учёта'!$B$16,Расходка[Наименование расходного материала])),MAX($H$1:H3)+1,0)</f>
        <v>3</v>
      </c>
      <c r="I4" s="140">
        <f>IF(ISNUMBER(SEARCH('Карта учёта'!$B$17,Расходка[Наименование расходного материала])),MAX($I$1:I3)+1,0)</f>
        <v>3</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Sprinter Legend</v>
      </c>
      <c r="T4" s="139" t="str">
        <f>IFERROR(INDEX(Расходка[Наименование расходного материала],MATCH(Расходка[№],Поиск_расходки[Индекс3],0)),"")</f>
        <v>Sprinter Legend</v>
      </c>
      <c r="U4" s="139" t="str">
        <f>IFERROR(INDEX(Расходка[Наименование расходного материала],MATCH(Расходка[№],Поиск_расходки[Индекс4],0)),"")</f>
        <v>Sprinter Legend</v>
      </c>
      <c r="V4" s="139" t="str">
        <f>IFERROR(INDEX(Расходка[Наименование расходного материала],MATCH(Расходка[№],Поиск_расходки[Индекс5],0)),"")</f>
        <v>Sprinter Legend</v>
      </c>
      <c r="W4" s="139" t="str">
        <f>IFERROR(INDEX(Расходка[Наименование расходного материала],MATCH(Расходка[№],Поиск_расходки[Индекс6],0)),"")</f>
        <v>Sprinter Legend</v>
      </c>
      <c r="X4" s="139" t="str">
        <f>IFERROR(INDEX(Расходка[Наименование расходного материала],MATCH(Расходка[№],Поиск_расходки[Индекс7],0)),"")</f>
        <v>Sprinter Legend</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254</v>
      </c>
      <c r="AJ4" t="s">
        <v>265</v>
      </c>
      <c r="AK4" t="str">
        <f t="shared" si="0"/>
        <v>Контраст: Оптирей 350</v>
      </c>
    </row>
    <row r="5" spans="1:37">
      <c r="A5">
        <v>4</v>
      </c>
      <c r="B5" t="s">
        <v>5</v>
      </c>
      <c r="C5" t="s">
        <v>344</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4</v>
      </c>
      <c r="G5" s="140">
        <f>IF(ISNUMBER(SEARCH('Карта учёта'!$B$15,Расходка[Наименование расходного материала])),MAX($G$1:G4)+1,0)</f>
        <v>4</v>
      </c>
      <c r="H5" s="140">
        <f>IF(ISNUMBER(SEARCH('Карта учёта'!$B$16,Расходка[Наименование расходного материала])),MAX($H$1:H4)+1,0)</f>
        <v>4</v>
      </c>
      <c r="I5" s="140">
        <f>IF(ISNUMBER(SEARCH('Карта учёта'!$B$17,Расходка[Наименование расходного материала])),MAX($I$1:I4)+1,0)</f>
        <v>4</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Sapphire</v>
      </c>
      <c r="T5" s="139" t="str">
        <f>IFERROR(INDEX(Расходка[Наименование расходного материала],MATCH(Расходка[№],Поиск_расходки[Индекс3],0)),"")</f>
        <v>Sapphire</v>
      </c>
      <c r="U5" s="139" t="str">
        <f>IFERROR(INDEX(Расходка[Наименование расходного материала],MATCH(Расходка[№],Поиск_расходки[Индекс4],0)),"")</f>
        <v>Sapphire</v>
      </c>
      <c r="V5" s="139" t="str">
        <f>IFERROR(INDEX(Расходка[Наименование расходного материала],MATCH(Расходка[№],Поиск_расходки[Индекс5],0)),"")</f>
        <v>Sapphire</v>
      </c>
      <c r="W5" s="139" t="str">
        <f>IFERROR(INDEX(Расходка[Наименование расходного материала],MATCH(Расходка[№],Поиск_расходки[Индекс6],0)),"")</f>
        <v>Sapphire</v>
      </c>
      <c r="X5" s="139" t="str">
        <f>IFERROR(INDEX(Расходка[Наименование расходного материала],MATCH(Расходка[№],Поиск_расходки[Индекс7],0)),"")</f>
        <v>Sapphire</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158</v>
      </c>
      <c r="AI5" t="s">
        <v>254</v>
      </c>
      <c r="AJ5" t="s">
        <v>266</v>
      </c>
      <c r="AK5" t="str">
        <f t="shared" si="0"/>
        <v>Контраст: Юнигексол 350</v>
      </c>
    </row>
    <row r="6" spans="1:37">
      <c r="A6">
        <v>5</v>
      </c>
      <c r="B6" t="s">
        <v>5</v>
      </c>
      <c r="C6" s="1" t="s">
        <v>345</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5</v>
      </c>
      <c r="G6" s="140">
        <f>IF(ISNUMBER(SEARCH('Карта учёта'!$B$15,Расходка[Наименование расходного материала])),MAX($G$1:G5)+1,0)</f>
        <v>5</v>
      </c>
      <c r="H6" s="140">
        <f>IF(ISNUMBER(SEARCH('Карта учёта'!$B$16,Расходка[Наименование расходного материала])),MAX($H$1:H5)+1,0)</f>
        <v>5</v>
      </c>
      <c r="I6" s="140">
        <f>IF(ISNUMBER(SEARCH('Карта учёта'!$B$17,Расходка[Наименование расходного материала])),MAX($I$1:I5)+1,0)</f>
        <v>5</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Euphora</v>
      </c>
      <c r="T6" s="139" t="str">
        <f>IFERROR(INDEX(Расходка[Наименование расходного материала],MATCH(Расходка[№],Поиск_расходки[Индекс3],0)),"")</f>
        <v>Euphora</v>
      </c>
      <c r="U6" s="139" t="str">
        <f>IFERROR(INDEX(Расходка[Наименование расходного материала],MATCH(Расходка[№],Поиск_расходки[Индекс4],0)),"")</f>
        <v>Euphora</v>
      </c>
      <c r="V6" s="139" t="str">
        <f>IFERROR(INDEX(Расходка[Наименование расходного материала],MATCH(Расходка[№],Поиск_расходки[Индекс5],0)),"")</f>
        <v>Euphora</v>
      </c>
      <c r="W6" s="139" t="str">
        <f>IFERROR(INDEX(Расходка[Наименование расходного материала],MATCH(Расходка[№],Поиск_расходки[Индекс6],0)),"")</f>
        <v>Euphora</v>
      </c>
      <c r="X6" s="139" t="str">
        <f>IFERROR(INDEX(Расходка[Наименование расходного материала],MATCH(Расходка[№],Поиск_расходки[Индекс7],0)),"")</f>
        <v>Euphora</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254</v>
      </c>
      <c r="AJ6" t="s">
        <v>267</v>
      </c>
      <c r="AK6" t="str">
        <f t="shared" si="0"/>
        <v>Контраст: Сканлюкс 370</v>
      </c>
    </row>
    <row r="7" spans="1:37">
      <c r="A7">
        <v>6</v>
      </c>
      <c r="B7" t="s">
        <v>5</v>
      </c>
      <c r="C7" s="1" t="s">
        <v>379</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6</v>
      </c>
      <c r="G7" s="140">
        <f>IF(ISNUMBER(SEARCH('Карта учёта'!$B$15,Расходка[Наименование расходного материала])),MAX($G$1:G6)+1,0)</f>
        <v>6</v>
      </c>
      <c r="H7" s="140">
        <f>IF(ISNUMBER(SEARCH('Карта учёта'!$B$16,Расходка[Наименование расходного материала])),MAX($H$1:H6)+1,0)</f>
        <v>6</v>
      </c>
      <c r="I7" s="140">
        <f>IF(ISNUMBER(SEARCH('Карта учёта'!$B$17,Расходка[Наименование расходного материала])),MAX($I$1:I6)+1,0)</f>
        <v>6</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NC Euphora</v>
      </c>
      <c r="T7" s="139" t="str">
        <f>IFERROR(INDEX(Расходка[Наименование расходного материала],MATCH(Расходка[№],Поиск_расходки[Индекс3],0)),"")</f>
        <v>NC Euphora</v>
      </c>
      <c r="U7" s="139" t="str">
        <f>IFERROR(INDEX(Расходка[Наименование расходного материала],MATCH(Расходка[№],Поиск_расходки[Индекс4],0)),"")</f>
        <v>NC Euphora</v>
      </c>
      <c r="V7" s="139" t="str">
        <f>IFERROR(INDEX(Расходка[Наименование расходного материала],MATCH(Расходка[№],Поиск_расходки[Индекс5],0)),"")</f>
        <v>NC Euphora</v>
      </c>
      <c r="W7" s="139" t="str">
        <f>IFERROR(INDEX(Расходка[Наименование расходного материала],MATCH(Расходка[№],Поиск_расходки[Индекс6],0)),"")</f>
        <v>NC Euphora</v>
      </c>
      <c r="X7" s="139" t="str">
        <f>IFERROR(INDEX(Расходка[Наименование расходного материала],MATCH(Расходка[№],Поиск_расходки[Индекс7],0)),"")</f>
        <v>NC Euphora</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254</v>
      </c>
      <c r="AJ7" t="s">
        <v>268</v>
      </c>
      <c r="AK7" t="str">
        <f t="shared" ref="AK7:AK8" si="1">CONCATENATE(AI7,AJ7)</f>
        <v>Контраст: Йогексол 350</v>
      </c>
    </row>
    <row r="8" spans="1:37">
      <c r="A8">
        <v>7</v>
      </c>
      <c r="B8" t="s">
        <v>156</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7</v>
      </c>
      <c r="G8" s="140">
        <f>IF(ISNUMBER(SEARCH('Карта учёта'!$B$15,Расходка[Наименование расходного материала])),MAX($G$1:G7)+1,0)</f>
        <v>7</v>
      </c>
      <c r="H8" s="140">
        <f>IF(ISNUMBER(SEARCH('Карта учёта'!$B$16,Расходка[Наименование расходного материала])),MAX($H$1:H7)+1,0)</f>
        <v>7</v>
      </c>
      <c r="I8" s="140">
        <f>IF(ISNUMBER(SEARCH('Карта учёта'!$B$17,Расходка[Наименование расходного материала])),MAX($I$1:I7)+1,0)</f>
        <v>7</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Fielder</v>
      </c>
      <c r="T8" s="139" t="str">
        <f>IFERROR(INDEX(Расходка[Наименование расходного материала],MATCH(Расходка[№],Поиск_расходки[Индекс3],0)),"")</f>
        <v>Fielder</v>
      </c>
      <c r="U8" s="139" t="str">
        <f>IFERROR(INDEX(Расходка[Наименование расходного материала],MATCH(Расходка[№],Поиск_расходки[Индекс4],0)),"")</f>
        <v>Fielder</v>
      </c>
      <c r="V8" s="139" t="str">
        <f>IFERROR(INDEX(Расходка[Наименование расходного материала],MATCH(Расходка[№],Поиск_расходки[Индекс5],0)),"")</f>
        <v>Fielder</v>
      </c>
      <c r="W8" s="139" t="str">
        <f>IFERROR(INDEX(Расходка[Наименование расходного материала],MATCH(Расходка[№],Поиск_расходки[Индекс6],0)),"")</f>
        <v>Fielder</v>
      </c>
      <c r="X8" s="139" t="str">
        <f>IFERROR(INDEX(Расходка[Наименование расходного материала],MATCH(Расходка[№],Поиск_расходки[Индекс7],0)),"")</f>
        <v>Fielder</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254</v>
      </c>
      <c r="AJ8" t="s">
        <v>269</v>
      </c>
      <c r="AK8" t="str">
        <f t="shared" si="1"/>
        <v>Контраст: Визипак 320</v>
      </c>
    </row>
    <row r="9" spans="1:37">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8</v>
      </c>
      <c r="G9" s="140">
        <f>IF(ISNUMBER(SEARCH('Карта учёта'!$B$15,Расходка[Наименование расходного материала])),MAX($G$1:G8)+1,0)</f>
        <v>8</v>
      </c>
      <c r="H9" s="140">
        <f>IF(ISNUMBER(SEARCH('Карта учёта'!$B$16,Расходка[Наименование расходного материала])),MAX($H$1:H8)+1,0)</f>
        <v>8</v>
      </c>
      <c r="I9" s="140">
        <f>IF(ISNUMBER(SEARCH('Карта учёта'!$B$17,Расходка[Наименование расходного материала])),MAX($I$1:I8)+1,0)</f>
        <v>8</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Sion</v>
      </c>
      <c r="T9" s="139" t="str">
        <f>IFERROR(INDEX(Расходка[Наименование расходного материала],MATCH(Расходка[№],Поиск_расходки[Индекс3],0)),"")</f>
        <v>Sion</v>
      </c>
      <c r="U9" s="139" t="str">
        <f>IFERROR(INDEX(Расходка[Наименование расходного материала],MATCH(Расходка[№],Поиск_расходки[Индекс4],0)),"")</f>
        <v>Sion</v>
      </c>
      <c r="V9" s="139" t="str">
        <f>IFERROR(INDEX(Расходка[Наименование расходного материала],MATCH(Расходка[№],Поиск_расходки[Индекс5],0)),"")</f>
        <v>Sion</v>
      </c>
      <c r="W9" s="139" t="str">
        <f>IFERROR(INDEX(Расходка[Наименование расходного материала],MATCH(Расходка[№],Поиск_расходки[Индекс6],0)),"")</f>
        <v>Sion</v>
      </c>
      <c r="X9" s="139" t="str">
        <f>IFERROR(INDEX(Расходка[Наименование расходного материала],MATCH(Расходка[№],Поиск_расходки[Индекс7],0)),"")</f>
        <v>Sion</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row>
    <row r="10" spans="1:37">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9</v>
      </c>
      <c r="G10" s="140">
        <f>IF(ISNUMBER(SEARCH('Карта учёта'!$B$15,Расходка[Наименование расходного материала])),MAX($G$1:G9)+1,0)</f>
        <v>9</v>
      </c>
      <c r="H10" s="140">
        <f>IF(ISNUMBER(SEARCH('Карта учёта'!$B$16,Расходка[Наименование расходного материала])),MAX($H$1:H9)+1,0)</f>
        <v>9</v>
      </c>
      <c r="I10" s="140">
        <f>IF(ISNUMBER(SEARCH('Карта учёта'!$B$17,Расходка[Наименование расходного материала])),MAX($I$1:I9)+1,0)</f>
        <v>9</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Rinato</v>
      </c>
      <c r="T10" s="139" t="str">
        <f>IFERROR(INDEX(Расходка[Наименование расходного материала],MATCH(Расходка[№],Поиск_расходки[Индекс3],0)),"")</f>
        <v>Rinato</v>
      </c>
      <c r="U10" s="139" t="str">
        <f>IFERROR(INDEX(Расходка[Наименование расходного материала],MATCH(Расходка[№],Поиск_расходки[Индекс4],0)),"")</f>
        <v>Rinato</v>
      </c>
      <c r="V10" s="139" t="str">
        <f>IFERROR(INDEX(Расходка[Наименование расходного материала],MATCH(Расходка[№],Поиск_расходки[Индекс5],0)),"")</f>
        <v>Rinato</v>
      </c>
      <c r="W10" s="139" t="str">
        <f>IFERROR(INDEX(Расходка[Наименование расходного материала],MATCH(Расходка[№],Поиск_расходки[Индекс6],0)),"")</f>
        <v>Rinato</v>
      </c>
      <c r="X10" s="139" t="str">
        <f>IFERROR(INDEX(Расходка[Наименование расходного материала],MATCH(Расходка[№],Поиск_расходки[Индекс7],0)),"")</f>
        <v>Rinato</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row>
    <row r="11" spans="1:37">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10</v>
      </c>
      <c r="G11" s="140">
        <f>IF(ISNUMBER(SEARCH('Карта учёта'!$B$15,Расходка[Наименование расходного материала])),MAX($G$1:G10)+1,0)</f>
        <v>10</v>
      </c>
      <c r="H11" s="140">
        <f>IF(ISNUMBER(SEARCH('Карта учёта'!$B$16,Расходка[Наименование расходного материала])),MAX($H$1:H10)+1,0)</f>
        <v>10</v>
      </c>
      <c r="I11" s="140">
        <f>IF(ISNUMBER(SEARCH('Карта учёта'!$B$17,Расходка[Наименование расходного материала])),MAX($I$1:I10)+1,0)</f>
        <v>10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Thunder</v>
      </c>
      <c r="T11" s="139" t="str">
        <f>IFERROR(INDEX(Расходка[Наименование расходного материала],MATCH(Расходка[№],Поиск_расходки[Индекс3],0)),"")</f>
        <v>Thunder</v>
      </c>
      <c r="U11" s="139" t="str">
        <f>IFERROR(INDEX(Расходка[Наименование расходного материала],MATCH(Расходка[№],Поиск_расходки[Индекс4],0)),"")</f>
        <v>Thunder</v>
      </c>
      <c r="V11" s="139" t="str">
        <f>IFERROR(INDEX(Расходка[Наименование расходного материала],MATCH(Расходка[№],Поиск_расходки[Индекс5],0)),"")</f>
        <v>Thunder</v>
      </c>
      <c r="W11" s="139" t="str">
        <f>IFERROR(INDEX(Расходка[Наименование расходного материала],MATCH(Расходка[№],Поиск_расходки[Индекс6],0)),"")</f>
        <v>Thunder</v>
      </c>
      <c r="X11" s="139" t="str">
        <f>IFERROR(INDEX(Расходка[Наименование расходного материала],MATCH(Расходка[№],Поиск_расходки[Индекс7],0)),"")</f>
        <v>Thunder</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176</v>
      </c>
    </row>
    <row r="12" spans="1:37">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11</v>
      </c>
      <c r="G12" s="140">
        <f>IF(ISNUMBER(SEARCH('Карта учёта'!$B$15,Расходка[Наименование расходного материала])),MAX($G$1:G11)+1,0)</f>
        <v>11</v>
      </c>
      <c r="H12" s="140">
        <f>IF(ISNUMBER(SEARCH('Карта учёта'!$B$16,Расходка[Наименование расходного материала])),MAX($H$1:H11)+1,0)</f>
        <v>11</v>
      </c>
      <c r="I12" s="140">
        <f>IF(ISNUMBER(SEARCH('Карта учёта'!$B$17,Расходка[Наименование расходного материала])),MAX($I$1:I11)+1,0)</f>
        <v>11</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ProVia 3 Hydro-Track®</v>
      </c>
      <c r="T12" s="139" t="str">
        <f>IFERROR(INDEX(Расходка[Наименование расходного материала],MATCH(Расходка[№],Поиск_расходки[Индекс3],0)),"")</f>
        <v>ProVia 3 Hydro-Track®</v>
      </c>
      <c r="U12" s="139" t="str">
        <f>IFERROR(INDEX(Расходка[Наименование расходного материала],MATCH(Расходка[№],Поиск_расходки[Индекс4],0)),"")</f>
        <v>ProVia 3 Hydro-Track®</v>
      </c>
      <c r="V12" s="139" t="str">
        <f>IFERROR(INDEX(Расходка[Наименование расходного материала],MATCH(Расходка[№],Поиск_расходки[Индекс5],0)),"")</f>
        <v>ProVia 3 Hydro-Track®</v>
      </c>
      <c r="W12" s="139" t="str">
        <f>IFERROR(INDEX(Расходка[Наименование расходного материала],MATCH(Расходка[№],Поиск_расходки[Индекс6],0)),"")</f>
        <v>ProVia 3 Hydro-Track®</v>
      </c>
      <c r="X12" s="139" t="str">
        <f>IFERROR(INDEX(Расходка[Наименование расходного материала],MATCH(Расходка[№],Поиск_расходки[Индекс7],0)),"")</f>
        <v>ProVia 3 Hydro-Track®</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row>
    <row r="13" spans="1:37">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12</v>
      </c>
      <c r="G13" s="140">
        <f>IF(ISNUMBER(SEARCH('Карта учёта'!$B$15,Расходка[Наименование расходного материала])),MAX($G$1:G12)+1,0)</f>
        <v>12</v>
      </c>
      <c r="H13" s="140">
        <f>IF(ISNUMBER(SEARCH('Карта учёта'!$B$16,Расходка[Наименование расходного материала])),MAX($H$1:H12)+1,0)</f>
        <v>12</v>
      </c>
      <c r="I13" s="140">
        <f>IF(ISNUMBER(SEARCH('Карта учёта'!$B$17,Расходка[Наименование расходного материала])),MAX($I$1:I12)+1,0)</f>
        <v>12</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ProVia 6 Hydro-Track®</v>
      </c>
      <c r="T13" s="139" t="str">
        <f>IFERROR(INDEX(Расходка[Наименование расходного материала],MATCH(Расходка[№],Поиск_расходки[Индекс3],0)),"")</f>
        <v>ProVia 6 Hydro-Track®</v>
      </c>
      <c r="U13" s="139" t="str">
        <f>IFERROR(INDEX(Расходка[Наименование расходного материала],MATCH(Расходка[№],Поиск_расходки[Индекс4],0)),"")</f>
        <v>ProVia 6 Hydro-Track®</v>
      </c>
      <c r="V13" s="139" t="str">
        <f>IFERROR(INDEX(Расходка[Наименование расходного материала],MATCH(Расходка[№],Поиск_расходки[Индекс5],0)),"")</f>
        <v>ProVia 6 Hydro-Track®</v>
      </c>
      <c r="W13" s="139" t="str">
        <f>IFERROR(INDEX(Расходка[Наименование расходного материала],MATCH(Расходка[№],Поиск_расходки[Индекс6],0)),"")</f>
        <v>ProVia 6 Hydro-Track®</v>
      </c>
      <c r="X13" s="139" t="str">
        <f>IFERROR(INDEX(Расходка[Наименование расходного материала],MATCH(Расходка[№],Поиск_расходки[Индекс7],0)),"")</f>
        <v>ProVia 6 Hydro-Track®</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v>155760</v>
      </c>
      <c r="AJ13" s="161" t="s">
        <v>386</v>
      </c>
    </row>
    <row r="14" spans="1:37">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13</v>
      </c>
      <c r="G14" s="140">
        <f>IF(ISNUMBER(SEARCH('Карта учёта'!$B$15,Расходка[Наименование расходного материала])),MAX($G$1:G13)+1,0)</f>
        <v>13</v>
      </c>
      <c r="H14" s="140">
        <f>IF(ISNUMBER(SEARCH('Карта учёта'!$B$16,Расходка[Наименование расходного материала])),MAX($H$1:H13)+1,0)</f>
        <v>13</v>
      </c>
      <c r="I14" s="140">
        <f>IF(ISNUMBER(SEARCH('Карта учёта'!$B$17,Расходка[Наименование расходного материала])),MAX($I$1:I13)+1,0)</f>
        <v>13</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ProVia 9 Hydro-Track®</v>
      </c>
      <c r="T14" s="139" t="str">
        <f>IFERROR(INDEX(Расходка[Наименование расходного материала],MATCH(Расходка[№],Поиск_расходки[Индекс3],0)),"")</f>
        <v>ProVia 9 Hydro-Track®</v>
      </c>
      <c r="U14" s="139" t="str">
        <f>IFERROR(INDEX(Расходка[Наименование расходного материала],MATCH(Расходка[№],Поиск_расходки[Индекс4],0)),"")</f>
        <v>ProVia 9 Hydro-Track®</v>
      </c>
      <c r="V14" s="139" t="str">
        <f>IFERROR(INDEX(Расходка[Наименование расходного материала],MATCH(Расходка[№],Поиск_расходки[Индекс5],0)),"")</f>
        <v>ProVia 9 Hydro-Track®</v>
      </c>
      <c r="W14" s="139" t="str">
        <f>IFERROR(INDEX(Расходка[Наименование расходного материала],MATCH(Расходка[№],Поиск_расходки[Индекс6],0)),"")</f>
        <v>ProVia 9 Hydro-Track®</v>
      </c>
      <c r="X14" s="139" t="str">
        <f>IFERROR(INDEX(Расходка[Наименование расходного материала],MATCH(Расходка[№],Поиск_расходки[Индекс7],0)),"")</f>
        <v>ProVia 9 Hydro-Track®</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v>155800</v>
      </c>
      <c r="AJ14" s="162" t="s">
        <v>387</v>
      </c>
    </row>
    <row r="15" spans="1:37">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14</v>
      </c>
      <c r="G15" s="140">
        <f>IF(ISNUMBER(SEARCH('Карта учёта'!$B$15,Расходка[Наименование расходного материала])),MAX($G$1:G14)+1,0)</f>
        <v>14</v>
      </c>
      <c r="H15" s="140">
        <f>IF(ISNUMBER(SEARCH('Карта учёта'!$B$16,Расходка[Наименование расходного материала])),MAX($H$1:H14)+1,0)</f>
        <v>14</v>
      </c>
      <c r="I15" s="140">
        <f>IF(ISNUMBER(SEARCH('Карта учёта'!$B$17,Расходка[Наименование расходного материала])),MAX($I$1:I14)+1,0)</f>
        <v>14</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Проводник коронарный  1g, Angioline</v>
      </c>
      <c r="T15" s="139" t="str">
        <f>IFERROR(INDEX(Расходка[Наименование расходного материала],MATCH(Расходка[№],Поиск_расходки[Индекс3],0)),"")</f>
        <v>Проводник коронарный  1g, Angioline</v>
      </c>
      <c r="U15" s="139" t="str">
        <f>IFERROR(INDEX(Расходка[Наименование расходного материала],MATCH(Расходка[№],Поиск_расходки[Индекс4],0)),"")</f>
        <v>Проводник коронарный  1g, Angioline</v>
      </c>
      <c r="V15" s="139" t="str">
        <f>IFERROR(INDEX(Расходка[Наименование расходного материала],MATCH(Расходка[№],Поиск_расходки[Индекс5],0)),"")</f>
        <v>Проводник коронарный  1g, Angioline</v>
      </c>
      <c r="W15" s="139" t="str">
        <f>IFERROR(INDEX(Расходка[Наименование расходного материала],MATCH(Расходка[№],Поиск_расходки[Индекс6],0)),"")</f>
        <v>Проводник коронарный  1g, Angioline</v>
      </c>
      <c r="X15" s="139" t="str">
        <f>IFERROR(INDEX(Расходка[Наименование расходного материала],MATCH(Расходка[№],Поиск_расходки[Индекс7],0)),"")</f>
        <v>Проводник коронарный  1g, Angioline</v>
      </c>
      <c r="Y15" s="139" t="str">
        <f>IFERROR(INDEX(Расходка[Наименование расходного материала],MATCH(Расходка[№],Поиск_расходки[Индекс8],0)),"")</f>
        <v>Проводник коронарный  1g, Angioline</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v>218190</v>
      </c>
      <c r="AJ15" s="162" t="s">
        <v>388</v>
      </c>
    </row>
    <row r="16" spans="1:37">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15</v>
      </c>
      <c r="G16" s="140">
        <f>IF(ISNUMBER(SEARCH('Карта учёта'!$B$15,Расходка[Наименование расходного материала])),MAX($G$1:G15)+1,0)</f>
        <v>15</v>
      </c>
      <c r="H16" s="140">
        <f>IF(ISNUMBER(SEARCH('Карта учёта'!$B$16,Расходка[Наименование расходного материала])),MAX($H$1:H15)+1,0)</f>
        <v>15</v>
      </c>
      <c r="I16" s="140">
        <f>IF(ISNUMBER(SEARCH('Карта учёта'!$B$17,Расходка[Наименование расходного материала])),MAX($I$1:I15)+1,0)</f>
        <v>15</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Проводник коронарный  3g, Angioline</v>
      </c>
      <c r="T16" s="139" t="str">
        <f>IFERROR(INDEX(Расходка[Наименование расходного материала],MATCH(Расходка[№],Поиск_расходки[Индекс3],0)),"")</f>
        <v>Проводник коронарный  3g, Angioline</v>
      </c>
      <c r="U16" s="139" t="str">
        <f>IFERROR(INDEX(Расходка[Наименование расходного материала],MATCH(Расходка[№],Поиск_расходки[Индекс4],0)),"")</f>
        <v>Проводник коронарный  3g, Angioline</v>
      </c>
      <c r="V16" s="139" t="str">
        <f>IFERROR(INDEX(Расходка[Наименование расходного материала],MATCH(Расходка[№],Поиск_расходки[Индекс5],0)),"")</f>
        <v>Проводник коронарный  3g, Angioline</v>
      </c>
      <c r="W16" s="139" t="str">
        <f>IFERROR(INDEX(Расходка[Наименование расходного материала],MATCH(Расходка[№],Поиск_расходки[Индекс6],0)),"")</f>
        <v>Проводник коронарный  3g, Angioline</v>
      </c>
      <c r="X16" s="139" t="str">
        <f>IFERROR(INDEX(Расходка[Наименование расходного материала],MATCH(Расходка[№],Поиск_расходки[Индекс7],0)),"")</f>
        <v>Проводник коронарный  3g, Angioline</v>
      </c>
      <c r="Y16" s="139" t="str">
        <f>IFERROR(INDEX(Расходка[Наименование расходного материала],MATCH(Расходка[№],Поиск_расходки[Индекс8],0)),"")</f>
        <v>Проводник коронарный  3g, Angioline</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c r="AI16">
        <v>136170</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16</v>
      </c>
      <c r="G17" s="140">
        <f>IF(ISNUMBER(SEARCH('Карта учёта'!$B$15,Расходка[Наименование расходного материала])),MAX($G$1:G16)+1,0)</f>
        <v>16</v>
      </c>
      <c r="H17" s="140">
        <f>IF(ISNUMBER(SEARCH('Карта учёта'!$B$16,Расходка[Наименование расходного материала])),MAX($H$1:H16)+1,0)</f>
        <v>16</v>
      </c>
      <c r="I17" s="140">
        <f>IF(ISNUMBER(SEARCH('Карта учёта'!$B$17,Расходка[Наименование расходного материала])),MAX($I$1:I16)+1,0)</f>
        <v>16</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Cougar LS Hydro-Track®</v>
      </c>
      <c r="T17" s="139" t="str">
        <f>IFERROR(INDEX(Расходка[Наименование расходного материала],MATCH(Расходка[№],Поиск_расходки[Индекс3],0)),"")</f>
        <v>Cougar LS Hydro-Track®</v>
      </c>
      <c r="U17" s="139" t="str">
        <f>IFERROR(INDEX(Расходка[Наименование расходного материала],MATCH(Расходка[№],Поиск_расходки[Индекс4],0)),"")</f>
        <v>Cougar LS Hydro-Track®</v>
      </c>
      <c r="V17" s="139" t="str">
        <f>IFERROR(INDEX(Расходка[Наименование расходного материала],MATCH(Расходка[№],Поиск_расходки[Индекс5],0)),"")</f>
        <v>Cougar LS Hydro-Track®</v>
      </c>
      <c r="W17" s="139" t="str">
        <f>IFERROR(INDEX(Расходка[Наименование расходного материала],MATCH(Расходка[№],Поиск_расходки[Индекс6],0)),"")</f>
        <v>Cougar LS Hydro-Track®</v>
      </c>
      <c r="X17" s="139" t="str">
        <f>IFERROR(INDEX(Расходка[Наименование расходного материала],MATCH(Расходка[№],Поиск_расходки[Индекс7],0)),"")</f>
        <v>Cougar LS Hydro-Track®</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17</v>
      </c>
      <c r="G18" s="140">
        <f>IF(ISNUMBER(SEARCH('Карта учёта'!$B$15,Расходка[Наименование расходного материала])),MAX($G$1:G17)+1,0)</f>
        <v>17</v>
      </c>
      <c r="H18" s="140">
        <f>IF(ISNUMBER(SEARCH('Карта учёта'!$B$16,Расходка[Наименование расходного материала])),MAX($H$1:H17)+1,0)</f>
        <v>17</v>
      </c>
      <c r="I18" s="140">
        <f>IF(ISNUMBER(SEARCH('Карта учёта'!$B$17,Расходка[Наименование расходного материала])),MAX($I$1:I17)+1,0)</f>
        <v>17</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Cougar XT Hydro-Track®</v>
      </c>
      <c r="T18" s="139" t="str">
        <f>IFERROR(INDEX(Расходка[Наименование расходного материала],MATCH(Расходка[№],Поиск_расходки[Индекс3],0)),"")</f>
        <v>Cougar XT Hydro-Track®</v>
      </c>
      <c r="U18" s="139" t="str">
        <f>IFERROR(INDEX(Расходка[Наименование расходного материала],MATCH(Расходка[№],Поиск_расходки[Индекс4],0)),"")</f>
        <v>Cougar XT Hydro-Track®</v>
      </c>
      <c r="V18" s="139" t="str">
        <f>IFERROR(INDEX(Расходка[Наименование расходного материала],MATCH(Расходка[№],Поиск_расходки[Индекс5],0)),"")</f>
        <v>Cougar XT Hydro-Track®</v>
      </c>
      <c r="W18" s="139" t="str">
        <f>IFERROR(INDEX(Расходка[Наименование расходного материала],MATCH(Расходка[№],Поиск_расходки[Индекс6],0)),"")</f>
        <v>Cougar XT Hydro-Track®</v>
      </c>
      <c r="X18" s="139" t="str">
        <f>IFERROR(INDEX(Расходка[Наименование расходного материала],MATCH(Расходка[№],Поиск_расходки[Индекс7],0)),"")</f>
        <v>Cougar XT Hydro-Track®</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1</v>
      </c>
      <c r="F19" s="140">
        <f>IF(ISNUMBER(SEARCH('Карта учёта'!$B$14,Расходка[[#This Row],[Наименование расходного материала]])),MAX($F$1:F18)+1,0)</f>
        <v>18</v>
      </c>
      <c r="G19" s="140">
        <f>IF(ISNUMBER(SEARCH('Карта учёта'!$B$15,Расходка[Наименование расходного материала])),MAX($G$1:G18)+1,0)</f>
        <v>18</v>
      </c>
      <c r="H19" s="140">
        <f>IF(ISNUMBER(SEARCH('Карта учёта'!$B$16,Расходка[Наименование расходного материала])),MAX($H$1:H18)+1,0)</f>
        <v>18</v>
      </c>
      <c r="I19" s="140">
        <f>IF(ISNUMBER(SEARCH('Карта учёта'!$B$17,Расходка[Наименование расходного материала])),MAX($I$1:I18)+1,0)</f>
        <v>18</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Intuition</v>
      </c>
      <c r="T19" s="139" t="str">
        <f>IFERROR(INDEX(Расходка[Наименование расходного материала],MATCH(Расходка[№],Поиск_расходки[Индекс3],0)),"")</f>
        <v>Intuition</v>
      </c>
      <c r="U19" s="139" t="str">
        <f>IFERROR(INDEX(Расходка[Наименование расходного материала],MATCH(Расходка[№],Поиск_расходки[Индекс4],0)),"")</f>
        <v>Intuition</v>
      </c>
      <c r="V19" s="139" t="str">
        <f>IFERROR(INDEX(Расходка[Наименование расходного материала],MATCH(Расходка[№],Поиск_расходки[Индекс5],0)),"")</f>
        <v>Intuition</v>
      </c>
      <c r="W19" s="139" t="str">
        <f>IFERROR(INDEX(Расходка[Наименование расходного материала],MATCH(Расходка[№],Поиск_расходки[Индекс6],0)),"")</f>
        <v>Intuition</v>
      </c>
      <c r="X19" s="139" t="str">
        <f>IFERROR(INDEX(Расходка[Наименование расходного материала],MATCH(Расходка[№],Поиск_расходки[Индекс7],0)),"")</f>
        <v>Intuition</v>
      </c>
      <c r="Y19" s="139" t="str">
        <f>IFERROR(INDEX(Расходка[Наименование расходного материала],MATCH(Расходка[№],Поиск_расходки[Индекс8],0)),"")</f>
        <v>Intuition</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6</v>
      </c>
      <c r="C20" s="163" t="s">
        <v>400</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19</v>
      </c>
      <c r="G20" s="140">
        <f>IF(ISNUMBER(SEARCH('Карта учёта'!$B$15,Расходка[Наименование расходного материала])),MAX($G$1:G19)+1,0)</f>
        <v>19</v>
      </c>
      <c r="H20" s="140">
        <f>IF(ISNUMBER(SEARCH('Карта учёта'!$B$16,Расходка[Наименование расходного материала])),MAX($H$1:H19)+1,0)</f>
        <v>19</v>
      </c>
      <c r="I20" s="140">
        <f>IF(ISNUMBER(SEARCH('Карта учёта'!$B$17,Расходка[Наименование расходного материала])),MAX($I$1:I19)+1,0)</f>
        <v>19</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DES, Resolute Integtity</v>
      </c>
      <c r="T20" s="139" t="str">
        <f>IFERROR(INDEX(Расходка[Наименование расходного материала],MATCH(Расходка[№],Поиск_расходки[Индекс3],0)),"")</f>
        <v>DES, Resolute Integtity</v>
      </c>
      <c r="U20" s="139" t="str">
        <f>IFERROR(INDEX(Расходка[Наименование расходного материала],MATCH(Расходка[№],Поиск_расходки[Индекс4],0)),"")</f>
        <v>DES, Resolute Integtity</v>
      </c>
      <c r="V20" s="139" t="str">
        <f>IFERROR(INDEX(Расходка[Наименование расходного материала],MATCH(Расходка[№],Поиск_расходки[Индекс5],0)),"")</f>
        <v>DES, Resolute Integtity</v>
      </c>
      <c r="W20" s="139" t="str">
        <f>IFERROR(INDEX(Расходка[Наименование расходного материала],MATCH(Расходка[№],Поиск_расходки[Индекс6],0)),"")</f>
        <v>DES, Resolute Integtity</v>
      </c>
      <c r="X20" s="139" t="str">
        <f>IFERROR(INDEX(Расходка[Наименование расходного материала],MATCH(Расходка[№],Поиск_расходки[Индекс7],0)),"")</f>
        <v>DES, Resolute Integtity</v>
      </c>
      <c r="Y20" s="139" t="str">
        <f>IFERROR(INDEX(Расходка[Наименование расходного материала],MATCH(Расходка[№],Поиск_расходки[Индекс8],0)),"")</f>
        <v>DES, Resolute Integtity</v>
      </c>
      <c r="Z20" s="139" t="str">
        <f>IFERROR(INDEX(Расходка[Наименование расходного материала],MATCH(Расходка[№],Поиск_расходки[Индекс9],0)),"")</f>
        <v>DES, Resolute Integtity</v>
      </c>
      <c r="AA20" s="139" t="str">
        <f>IFERROR(INDEX(Расходка[Наименование расходного материала],MATCH(Расходка[№],Поиск_расходки[Индекс10],0)),"")</f>
        <v>DES, Resolute Integtity</v>
      </c>
      <c r="AB20" s="139" t="str">
        <f>IFERROR(INDEX(Расходка[Наименование расходного материала],MATCH(Расходка[№],Поиск_расходки[Индекс11],0)),"")</f>
        <v>DES, Resolute Integtity</v>
      </c>
      <c r="AC20" s="139" t="str">
        <f>IFERROR(INDEX(Расходка[Наименование расходного материала],MATCH(Расходка[№],Поиск_расходки[Индекс12],0)),"")</f>
        <v>DES, Resolute Integtity</v>
      </c>
      <c r="AD20" s="139" t="str">
        <f>IFERROR(INDEX(Расходка[Наименование расходного материала],MATCH(Расходка[№],Поиск_расходки[Индекс13],0)),"")</f>
        <v>DES, Resolute Integtity</v>
      </c>
      <c r="AF20" s="4" t="s">
        <v>5</v>
      </c>
      <c r="AG20" s="4" t="s">
        <v>116</v>
      </c>
    </row>
    <row r="21" spans="1:33">
      <c r="A21">
        <v>20</v>
      </c>
      <c r="B21" t="s">
        <v>6</v>
      </c>
      <c r="C21" s="197" t="s">
        <v>430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20</v>
      </c>
      <c r="G21" s="140">
        <f>IF(ISNUMBER(SEARCH('Карта учёта'!$B$15,Расходка[Наименование расходного материала])),MAX($G$1:G20)+1,0)</f>
        <v>20</v>
      </c>
      <c r="H21" s="140">
        <f>IF(ISNUMBER(SEARCH('Карта учёта'!$B$16,Расходка[Наименование расходного материала])),MAX($H$1:H20)+1,0)</f>
        <v>20</v>
      </c>
      <c r="I21" s="140">
        <f>IF(ISNUMBER(SEARCH('Карта учёта'!$B$17,Расходка[Наименование расходного материала])),MAX($I$1:I20)+1,0)</f>
        <v>20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DES, Calipso</v>
      </c>
      <c r="T21" s="139" t="str">
        <f>IFERROR(INDEX(Расходка[Наименование расходного материала],MATCH(Расходка[№],Поиск_расходки[Индекс3],0)),"")</f>
        <v>DES, Calipso</v>
      </c>
      <c r="U21" s="139" t="str">
        <f>IFERROR(INDEX(Расходка[Наименование расходного материала],MATCH(Расходка[№],Поиск_расходки[Индекс4],0)),"")</f>
        <v>DES, Calipso</v>
      </c>
      <c r="V21" s="139" t="str">
        <f>IFERROR(INDEX(Расходка[Наименование расходного материала],MATCH(Расходка[№],Поиск_расходки[Индекс5],0)),"")</f>
        <v>DES, Calipso</v>
      </c>
      <c r="W21" s="139" t="str">
        <f>IFERROR(INDEX(Расходка[Наименование расходного материала],MATCH(Расходка[№],Поиск_расходки[Индекс6],0)),"")</f>
        <v>DES, Calipso</v>
      </c>
      <c r="X21" s="139" t="str">
        <f>IFERROR(INDEX(Расходка[Наименование расходного материала],MATCH(Расходка[№],Поиск_расходки[Индекс7],0)),"")</f>
        <v>DES, Calipso</v>
      </c>
      <c r="Y21" s="139" t="str">
        <f>IFERROR(INDEX(Расходка[Наименование расходного материала],MATCH(Расходка[№],Поиск_расходки[Индекс8],0)),"")</f>
        <v>DES, Calipso</v>
      </c>
      <c r="Z21" s="139" t="str">
        <f>IFERROR(INDEX(Расходка[Наименование расходного материала],MATCH(Расходка[№],Поиск_расходки[Индекс9],0)),"")</f>
        <v>DES, Calipso</v>
      </c>
      <c r="AA21" s="139" t="str">
        <f>IFERROR(INDEX(Расходка[Наименование расходного материала],MATCH(Расходка[№],Поиск_расходки[Индекс10],0)),"")</f>
        <v>DES, Calipso</v>
      </c>
      <c r="AB21" s="139" t="str">
        <f>IFERROR(INDEX(Расходка[Наименование расходного материала],MATCH(Расходка[№],Поиск_расходки[Индекс11],0)),"")</f>
        <v>DES, Calipso</v>
      </c>
      <c r="AC21" s="139" t="str">
        <f>IFERROR(INDEX(Расходка[Наименование расходного материала],MATCH(Расходка[№],Поиск_расходки[Индекс12],0)),"")</f>
        <v>DES, Calipso</v>
      </c>
      <c r="AD21" s="139" t="str">
        <f>IFERROR(INDEX(Расходка[Наименование расходного материала],MATCH(Расходка[№],Поиск_расходки[Индекс13],0)),"")</f>
        <v>DES, Calipso</v>
      </c>
      <c r="AF21" s="4" t="s">
        <v>5</v>
      </c>
      <c r="AG21" s="4" t="s">
        <v>117</v>
      </c>
    </row>
    <row r="22" spans="1:33">
      <c r="A22">
        <v>21</v>
      </c>
      <c r="B22" t="s">
        <v>6</v>
      </c>
      <c r="C22" s="197" t="s">
        <v>429</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21</v>
      </c>
      <c r="G22" s="140">
        <f>IF(ISNUMBER(SEARCH('Карта учёта'!$B$15,Расходка[Наименование расходного материала])),MAX($G$1:G21)+1,0)</f>
        <v>21</v>
      </c>
      <c r="H22" s="140">
        <f>IF(ISNUMBER(SEARCH('Карта учёта'!$B$16,Расходка[Наименование расходного материала])),MAX($H$1:H21)+1,0)</f>
        <v>21</v>
      </c>
      <c r="I22" s="140">
        <f>IF(ISNUMBER(SEARCH('Карта учёта'!$B$17,Расходка[Наименование расходного материала])),MAX($I$1:I21)+1,0)</f>
        <v>21</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DES, NanoMed</v>
      </c>
      <c r="T22" s="139" t="str">
        <f>IFERROR(INDEX(Расходка[Наименование расходного материала],MATCH(Расходка[№],Поиск_расходки[Индекс3],0)),"")</f>
        <v>DES, NanoMed</v>
      </c>
      <c r="U22" s="139" t="str">
        <f>IFERROR(INDEX(Расходка[Наименование расходного материала],MATCH(Расходка[№],Поиск_расходки[Индекс4],0)),"")</f>
        <v>DES, NanoMed</v>
      </c>
      <c r="V22" s="139" t="str">
        <f>IFERROR(INDEX(Расходка[Наименование расходного материала],MATCH(Расходка[№],Поиск_расходки[Индекс5],0)),"")</f>
        <v>DES, NanoMed</v>
      </c>
      <c r="W22" s="139" t="str">
        <f>IFERROR(INDEX(Расходка[Наименование расходного материала],MATCH(Расходка[№],Поиск_расходки[Индекс6],0)),"")</f>
        <v>DES, NanoMed</v>
      </c>
      <c r="X22" s="139" t="str">
        <f>IFERROR(INDEX(Расходка[Наименование расходного материала],MATCH(Расходка[№],Поиск_расходки[Индекс7],0)),"")</f>
        <v>DES, NanoMed</v>
      </c>
      <c r="Y22" s="139" t="str">
        <f>IFERROR(INDEX(Расходка[Наименование расходного материала],MATCH(Расходка[№],Поиск_расходки[Индекс8],0)),"")</f>
        <v>DES, NanoMed</v>
      </c>
      <c r="Z22" s="139" t="str">
        <f>IFERROR(INDEX(Расходка[Наименование расходного материала],MATCH(Расходка[№],Поиск_расходки[Индекс9],0)),"")</f>
        <v>DES, NanoMed</v>
      </c>
      <c r="AA22" s="139" t="str">
        <f>IFERROR(INDEX(Расходка[Наименование расходного материала],MATCH(Расходка[№],Поиск_расходки[Индекс10],0)),"")</f>
        <v>DES, NanoMed</v>
      </c>
      <c r="AB22" s="139" t="str">
        <f>IFERROR(INDEX(Расходка[Наименование расходного материала],MATCH(Расходка[№],Поиск_расходки[Индекс11],0)),"")</f>
        <v>DES, NanoMed</v>
      </c>
      <c r="AC22" s="139" t="str">
        <f>IFERROR(INDEX(Расходка[Наименование расходного материала],MATCH(Расходка[№],Поиск_расходки[Индекс12],0)),"")</f>
        <v>DES, NanoMed</v>
      </c>
      <c r="AD22" s="139" t="str">
        <f>IFERROR(INDEX(Расходка[Наименование расходного материала],MATCH(Расходка[№],Поиск_расходки[Индекс13],0)),"")</f>
        <v>DES, NanoMed</v>
      </c>
      <c r="AF22" s="4" t="s">
        <v>5</v>
      </c>
      <c r="AG22" s="4" t="s">
        <v>118</v>
      </c>
    </row>
    <row r="23" spans="1:33">
      <c r="A23">
        <v>22</v>
      </c>
      <c r="B23" t="s">
        <v>6</v>
      </c>
      <c r="C23" s="199" t="s">
        <v>445</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22</v>
      </c>
      <c r="G23" s="140">
        <f>IF(ISNUMBER(SEARCH('Карта учёта'!$B$15,Расходка[Наименование расходного материала])),MAX($G$1:G22)+1,0)</f>
        <v>22</v>
      </c>
      <c r="H23" s="140">
        <f>IF(ISNUMBER(SEARCH('Карта учёта'!$B$16,Расходка[Наименование расходного материала])),MAX($H$1:H22)+1,0)</f>
        <v>22</v>
      </c>
      <c r="I23" s="140">
        <f>IF(ISNUMBER(SEARCH('Карта учёта'!$B$17,Расходка[Наименование расходного материала])),MAX($I$1:I22)+1,0)</f>
        <v>22</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DES,Firehawk</v>
      </c>
      <c r="T23" s="139" t="str">
        <f>IFERROR(INDEX(Расходка[Наименование расходного материала],MATCH(Расходка[№],Поиск_расходки[Индекс3],0)),"")</f>
        <v>DES,Firehawk</v>
      </c>
      <c r="U23" s="139" t="str">
        <f>IFERROR(INDEX(Расходка[Наименование расходного материала],MATCH(Расходка[№],Поиск_расходки[Индекс4],0)),"")</f>
        <v>DES,Firehawk</v>
      </c>
      <c r="V23" s="139" t="str">
        <f>IFERROR(INDEX(Расходка[Наименование расходного материала],MATCH(Расходка[№],Поиск_расходки[Индекс5],0)),"")</f>
        <v>DES,Firehawk</v>
      </c>
      <c r="W23" s="139" t="str">
        <f>IFERROR(INDEX(Расходка[Наименование расходного материала],MATCH(Расходка[№],Поиск_расходки[Индекс6],0)),"")</f>
        <v>DES,Firehawk</v>
      </c>
      <c r="X23" s="139" t="str">
        <f>IFERROR(INDEX(Расходка[Наименование расходного материала],MATCH(Расходка[№],Поиск_расходки[Индекс7],0)),"")</f>
        <v>DES,Firehawk</v>
      </c>
      <c r="Y23" s="139" t="str">
        <f>IFERROR(INDEX(Расходка[Наименование расходного материала],MATCH(Расходка[№],Поиск_расходки[Индекс8],0)),"")</f>
        <v>DES,Firehawk</v>
      </c>
      <c r="Z23" s="139" t="str">
        <f>IFERROR(INDEX(Расходка[Наименование расходного материала],MATCH(Расходка[№],Поиск_расходки[Индекс9],0)),"")</f>
        <v>DES,Firehawk</v>
      </c>
      <c r="AA23" s="139" t="str">
        <f>IFERROR(INDEX(Расходка[Наименование расходного материала],MATCH(Расходка[№],Поиск_расходки[Индекс10],0)),"")</f>
        <v>DES,Firehawk</v>
      </c>
      <c r="AB23" s="139" t="str">
        <f>IFERROR(INDEX(Расходка[Наименование расходного материала],MATCH(Расходка[№],Поиск_расходки[Индекс11],0)),"")</f>
        <v>DES,Firehawk</v>
      </c>
      <c r="AC23" s="139" t="str">
        <f>IFERROR(INDEX(Расходка[Наименование расходного материала],MATCH(Расходка[№],Поиск_расходки[Индекс12],0)),"")</f>
        <v>DES,Firehawk</v>
      </c>
      <c r="AD23" s="139" t="str">
        <f>IFERROR(INDEX(Расходка[Наименование расходного материала],MATCH(Расходка[№],Поиск_расходки[Индекс13],0)),"")</f>
        <v>DES,Firehawk</v>
      </c>
      <c r="AF23" s="4" t="s">
        <v>5</v>
      </c>
      <c r="AG23" s="4" t="s">
        <v>119</v>
      </c>
    </row>
    <row r="24" spans="1:33">
      <c r="A24">
        <v>23</v>
      </c>
      <c r="B24" t="s">
        <v>6</v>
      </c>
      <c r="C24" s="1" t="s">
        <v>346</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23</v>
      </c>
      <c r="G24" s="140">
        <f>IF(ISNUMBER(SEARCH('Карта учёта'!$B$15,Расходка[Наименование расходного материала])),MAX($G$1:G23)+1,0)</f>
        <v>23</v>
      </c>
      <c r="H24" s="140">
        <f>IF(ISNUMBER(SEARCH('Карта учёта'!$B$16,Расходка[Наименование расходного материала])),MAX($H$1:H23)+1,0)</f>
        <v>23</v>
      </c>
      <c r="I24" s="140">
        <f>IF(ISNUMBER(SEARCH('Карта учёта'!$B$17,Расходка[Наименование расходного материала])),MAX($I$1:I23)+1,0)</f>
        <v>23</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BMS, Integtity</v>
      </c>
      <c r="T24" s="139" t="str">
        <f>IFERROR(INDEX(Расходка[Наименование расходного материала],MATCH(Расходка[№],Поиск_расходки[Индекс3],0)),"")</f>
        <v>BMS, Integtity</v>
      </c>
      <c r="U24" s="139" t="str">
        <f>IFERROR(INDEX(Расходка[Наименование расходного материала],MATCH(Расходка[№],Поиск_расходки[Индекс4],0)),"")</f>
        <v>BMS, Integtity</v>
      </c>
      <c r="V24" s="139" t="str">
        <f>IFERROR(INDEX(Расходка[Наименование расходного материала],MATCH(Расходка[№],Поиск_расходки[Индекс5],0)),"")</f>
        <v>BMS, Integtity</v>
      </c>
      <c r="W24" s="139" t="str">
        <f>IFERROR(INDEX(Расходка[Наименование расходного материала],MATCH(Расходка[№],Поиск_расходки[Индекс6],0)),"")</f>
        <v>BMS, Integtity</v>
      </c>
      <c r="X24" s="139" t="str">
        <f>IFERROR(INDEX(Расходка[Наименование расходного материала],MATCH(Расходка[№],Поиск_расходки[Индекс7],0)),"")</f>
        <v>BMS, Integtity</v>
      </c>
      <c r="Y24" s="139" t="str">
        <f>IFERROR(INDEX(Расходка[Наименование расходного материала],MATCH(Расходка[№],Поиск_расходки[Индекс8],0)),"")</f>
        <v>BMS, Integtity</v>
      </c>
      <c r="Z24" s="139" t="str">
        <f>IFERROR(INDEX(Расходка[Наименование расходного материала],MATCH(Расходка[№],Поиск_расходки[Индекс9],0)),"")</f>
        <v>BMS, Integtity</v>
      </c>
      <c r="AA24" s="139" t="str">
        <f>IFERROR(INDEX(Расходка[Наименование расходного материала],MATCH(Расходка[№],Поиск_расходки[Индекс10],0)),"")</f>
        <v>BMS, Integtity</v>
      </c>
      <c r="AB24" s="139" t="str">
        <f>IFERROR(INDEX(Расходка[Наименование расходного материала],MATCH(Расходка[№],Поиск_расходки[Индекс11],0)),"")</f>
        <v>BMS, Integtity</v>
      </c>
      <c r="AC24" s="139" t="str">
        <f>IFERROR(INDEX(Расходка[Наименование расходного материала],MATCH(Расходка[№],Поиск_расходки[Индекс12],0)),"")</f>
        <v>BMS, Integtity</v>
      </c>
      <c r="AD24" s="139" t="str">
        <f>IFERROR(INDEX(Расходка[Наименование расходного материала],MATCH(Расходка[№],Поиск_расходки[Индекс13],0)),"")</f>
        <v>BMS, Integtity</v>
      </c>
      <c r="AF24" s="4" t="s">
        <v>5</v>
      </c>
      <c r="AG24" s="4" t="s">
        <v>120</v>
      </c>
    </row>
    <row r="25" spans="1:33">
      <c r="A25">
        <v>24</v>
      </c>
      <c r="B25" t="s">
        <v>123</v>
      </c>
      <c r="C25" s="1" t="s">
        <v>401</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24</v>
      </c>
      <c r="G25" s="140">
        <f>IF(ISNUMBER(SEARCH('Карта учёта'!$B$15,Расходка[Наименование расходного материала])),MAX($G$1:G24)+1,0)</f>
        <v>24</v>
      </c>
      <c r="H25" s="140">
        <f>IF(ISNUMBER(SEARCH('Карта учёта'!$B$16,Расходка[Наименование расходного материала])),MAX($H$1:H24)+1,0)</f>
        <v>24</v>
      </c>
      <c r="I25" s="140">
        <f>IF(ISNUMBER(SEARCH('Карта учёта'!$B$17,Расходка[Наименование расходного материала])),MAX($I$1:I24)+1,0)</f>
        <v>24</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Guidezilla™ II 6F</v>
      </c>
      <c r="T25" s="139" t="str">
        <f>IFERROR(INDEX(Расходка[Наименование расходного материала],MATCH(Расходка[№],Поиск_расходки[Индекс3],0)),"")</f>
        <v>Guidezilla™ II 6F</v>
      </c>
      <c r="U25" s="139" t="str">
        <f>IFERROR(INDEX(Расходка[Наименование расходного материала],MATCH(Расходка[№],Поиск_расходки[Индекс4],0)),"")</f>
        <v>Guidezilla™ II 6F</v>
      </c>
      <c r="V25" s="139" t="str">
        <f>IFERROR(INDEX(Расходка[Наименование расходного материала],MATCH(Расходка[№],Поиск_расходки[Индекс5],0)),"")</f>
        <v>Guidezilla™ II 6F</v>
      </c>
      <c r="W25" s="139" t="str">
        <f>IFERROR(INDEX(Расходка[Наименование расходного материала],MATCH(Расходка[№],Поиск_расходки[Индекс6],0)),"")</f>
        <v>Guidezilla™ II 6F</v>
      </c>
      <c r="X25" s="139" t="str">
        <f>IFERROR(INDEX(Расходка[Наименование расходного материала],MATCH(Расходка[№],Поиск_расходки[Индекс7],0)),"")</f>
        <v>Guidezilla™ II 6F</v>
      </c>
      <c r="Y25" s="139" t="str">
        <f>IFERROR(INDEX(Расходка[Наименование расходного материала],MATCH(Расходка[№],Поиск_расходки[Индекс8],0)),"")</f>
        <v>Guidezilla™ II 6F</v>
      </c>
      <c r="Z25" s="139" t="str">
        <f>IFERROR(INDEX(Расходка[Наименование расходного материала],MATCH(Расходка[№],Поиск_расходки[Индекс9],0)),"")</f>
        <v>Guidezilla™ II 6F</v>
      </c>
      <c r="AA25" s="139" t="str">
        <f>IFERROR(INDEX(Расходка[Наименование расходного материала],MATCH(Расходка[№],Поиск_расходки[Индекс10],0)),"")</f>
        <v>Guidezilla™ II 6F</v>
      </c>
      <c r="AB25" s="139" t="str">
        <f>IFERROR(INDEX(Расходка[Наименование расходного материала],MATCH(Расходка[№],Поиск_расходки[Индекс11],0)),"")</f>
        <v>Guidezilla™ II 6F</v>
      </c>
      <c r="AC25" s="139" t="str">
        <f>IFERROR(INDEX(Расходка[Наименование расходного материала],MATCH(Расходка[№],Поиск_расходки[Индекс12],0)),"")</f>
        <v>Guidezilla™ II 6F</v>
      </c>
      <c r="AD25" s="139" t="str">
        <f>IFERROR(INDEX(Расходка[Наименование расходного материала],MATCH(Расходка[№],Поиск_расходки[Индекс13],0)),"")</f>
        <v>Guidezilla™ II 6F</v>
      </c>
      <c r="AF25" s="4" t="s">
        <v>5</v>
      </c>
      <c r="AG25" s="4" t="s">
        <v>121</v>
      </c>
    </row>
    <row r="26" spans="1:33">
      <c r="A26">
        <v>25</v>
      </c>
      <c r="B26" t="s">
        <v>123</v>
      </c>
      <c r="C26" s="1" t="s">
        <v>427</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25</v>
      </c>
      <c r="G26" s="142">
        <f>IF(ISNUMBER(SEARCH('Карта учёта'!$B$15,Расходка[Наименование расходного материала])),MAX($G$1:G25)+1,0)</f>
        <v>25</v>
      </c>
      <c r="H26" s="142">
        <f>IF(ISNUMBER(SEARCH('Карта учёта'!$B$16,Расходка[Наименование расходного материала])),MAX($H$1:H25)+1,0)</f>
        <v>25</v>
      </c>
      <c r="I26" s="142">
        <f>IF(ISNUMBER(SEARCH('Карта учёта'!$B$17,Расходка[Наименование расходного материала])),MAX($I$1:I25)+1,0)</f>
        <v>25</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Telescope ™ II 6F</v>
      </c>
      <c r="T26" s="144" t="str">
        <f>IFERROR(INDEX(Расходка[Наименование расходного материала],MATCH(Расходка[№],Поиск_расходки[Индекс3],0)),"")</f>
        <v>Telescope ™ II 6F</v>
      </c>
      <c r="U26" s="144" t="str">
        <f>IFERROR(INDEX(Расходка[Наименование расходного материала],MATCH(Расходка[№],Поиск_расходки[Индекс4],0)),"")</f>
        <v>Telescope ™ II 6F</v>
      </c>
      <c r="V26" s="144" t="str">
        <f>IFERROR(INDEX(Расходка[Наименование расходного материала],MATCH(Расходка[№],Поиск_расходки[Индекс5],0)),"")</f>
        <v>Telescope ™ II 6F</v>
      </c>
      <c r="W26" s="144" t="str">
        <f>IFERROR(INDEX(Расходка[Наименование расходного материала],MATCH(Расходка[№],Поиск_расходки[Индекс6],0)),"")</f>
        <v>Telescope ™ II 6F</v>
      </c>
      <c r="X26" s="144" t="str">
        <f>IFERROR(INDEX(Расходка[Наименование расходного материала],MATCH(Расходка[№],Поиск_расходки[Индекс7],0)),"")</f>
        <v>Telescope ™ II 6F</v>
      </c>
      <c r="Y26" s="144" t="str">
        <f>IFERROR(INDEX(Расходка[Наименование расходного материала],MATCH(Расходка[№],Поиск_расходки[Индекс8],0)),"")</f>
        <v>Telescope ™ II 6F</v>
      </c>
      <c r="Z26" s="144" t="str">
        <f>IFERROR(INDEX(Расходка[Наименование расходного материала],MATCH(Расходка[№],Поиск_расходки[Индекс9],0)),"")</f>
        <v>Telescope ™ II 6F</v>
      </c>
      <c r="AA26" s="144" t="str">
        <f>IFERROR(INDEX(Расходка[Наименование расходного материала],MATCH(Расходка[№],Поиск_расходки[Индекс10],0)),"")</f>
        <v>Telescope ™ II 6F</v>
      </c>
      <c r="AB26" s="144" t="str">
        <f>IFERROR(INDEX(Расходка[Наименование расходного материала],MATCH(Расходка[№],Поиск_расходки[Индекс11],0)),"")</f>
        <v>Telescope ™ II 6F</v>
      </c>
      <c r="AC26" s="144" t="str">
        <f>IFERROR(INDEX(Расходка[Наименование расходного материала],MATCH(Расходка[№],Поиск_расходки[Индекс12],0)),"")</f>
        <v>Telescope ™ II 6F</v>
      </c>
      <c r="AD26" s="144" t="str">
        <f>IFERROR(INDEX(Расходка[Наименование расходного материала],MATCH(Расходка[№],Поиск_расходки[Индекс13],0)),"")</f>
        <v>Telescope ™ II 6F</v>
      </c>
      <c r="AF26" s="4" t="s">
        <v>5</v>
      </c>
      <c r="AG26" s="4" t="s">
        <v>374</v>
      </c>
    </row>
    <row r="27" spans="1:33">
      <c r="A27">
        <v>26</v>
      </c>
      <c r="B27" t="s">
        <v>4</v>
      </c>
      <c r="C27" t="s">
        <v>402</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26</v>
      </c>
      <c r="G27" s="142">
        <f>IF(ISNUMBER(SEARCH('Карта учёта'!$B$15,Расходка[Наименование расходного материала])),MAX($G$1:G26)+1,0)</f>
        <v>26</v>
      </c>
      <c r="H27" s="142">
        <f>IF(ISNUMBER(SEARCH('Карта учёта'!$B$16,Расходка[Наименование расходного материала])),MAX($H$1:H26)+1,0)</f>
        <v>26</v>
      </c>
      <c r="I27" s="142">
        <f>IF(ISNUMBER(SEARCH('Карта учёта'!$B$17,Расходка[Наименование расходного материала])),MAX($I$1:I26)+1,0)</f>
        <v>26</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Launcher 6F EBU 3.5</v>
      </c>
      <c r="T27" s="144" t="str">
        <f>IFERROR(INDEX(Расходка[Наименование расходного материала],MATCH(Расходка[№],Поиск_расходки[Индекс3],0)),"")</f>
        <v>Launcher 6F EBU 3.5</v>
      </c>
      <c r="U27" s="144" t="str">
        <f>IFERROR(INDEX(Расходка[Наименование расходного материала],MATCH(Расходка[№],Поиск_расходки[Индекс4],0)),"")</f>
        <v>Launcher 6F EBU 3.5</v>
      </c>
      <c r="V27" s="144" t="str">
        <f>IFERROR(INDEX(Расходка[Наименование расходного материала],MATCH(Расходка[№],Поиск_расходки[Индекс5],0)),"")</f>
        <v>Launcher 6F EBU 3.5</v>
      </c>
      <c r="W27" s="144" t="str">
        <f>IFERROR(INDEX(Расходка[Наименование расходного материала],MATCH(Расходка[№],Поиск_расходки[Индекс6],0)),"")</f>
        <v>Launcher 6F EBU 3.5</v>
      </c>
      <c r="X27" s="144" t="str">
        <f>IFERROR(INDEX(Расходка[Наименование расходного материала],MATCH(Расходка[№],Поиск_расходки[Индекс7],0)),"")</f>
        <v>Launcher 6F EBU 3.5</v>
      </c>
      <c r="Y27" s="144" t="str">
        <f>IFERROR(INDEX(Расходка[Наименование расходного материала],MATCH(Расходка[№],Поиск_расходки[Индекс8],0)),"")</f>
        <v>Launcher 6F EBU 3.5</v>
      </c>
      <c r="Z27" s="144" t="str">
        <f>IFERROR(INDEX(Расходка[Наименование расходного материала],MATCH(Расходка[№],Поиск_расходки[Индекс9],0)),"")</f>
        <v>Launcher 6F EBU 3.5</v>
      </c>
      <c r="AA27" s="144" t="str">
        <f>IFERROR(INDEX(Расходка[Наименование расходного материала],MATCH(Расходка[№],Поиск_расходки[Индекс10],0)),"")</f>
        <v>Launcher 6F EBU 3.5</v>
      </c>
      <c r="AB27" s="144" t="str">
        <f>IFERROR(INDEX(Расходка[Наименование расходного материала],MATCH(Расходка[№],Поиск_расходки[Индекс11],0)),"")</f>
        <v>Launcher 6F EBU 3.5</v>
      </c>
      <c r="AC27" s="144" t="str">
        <f>IFERROR(INDEX(Расходка[Наименование расходного материала],MATCH(Расходка[№],Поиск_расходки[Индекс12],0)),"")</f>
        <v>Launcher 6F EBU 3.5</v>
      </c>
      <c r="AD27" s="144" t="str">
        <f>IFERROR(INDEX(Расходка[Наименование расходного материала],MATCH(Расходка[№],Поиск_расходки[Индекс13],0)),"")</f>
        <v>Launcher 6F EBU 3.5</v>
      </c>
      <c r="AF27" s="4" t="s">
        <v>5</v>
      </c>
      <c r="AG27" s="4" t="s">
        <v>375</v>
      </c>
    </row>
    <row r="28" spans="1:33">
      <c r="A28">
        <v>27</v>
      </c>
      <c r="B28" t="s">
        <v>4</v>
      </c>
      <c r="C28" t="s">
        <v>403</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27</v>
      </c>
      <c r="G28" s="142">
        <f>IF(ISNUMBER(SEARCH('Карта учёта'!$B$15,Расходка[Наименование расходного материала])),MAX($G$1:G27)+1,0)</f>
        <v>27</v>
      </c>
      <c r="H28" s="142">
        <f>IF(ISNUMBER(SEARCH('Карта учёта'!$B$16,Расходка[Наименование расходного материала])),MAX($H$1:H27)+1,0)</f>
        <v>27</v>
      </c>
      <c r="I28" s="142">
        <f>IF(ISNUMBER(SEARCH('Карта учёта'!$B$17,Расходка[Наименование расходного материала])),MAX($I$1:I27)+1,0)</f>
        <v>27</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Launcher 6F EBU 4.0</v>
      </c>
      <c r="T28" s="144" t="str">
        <f>IFERROR(INDEX(Расходка[Наименование расходного материала],MATCH(Расходка[№],Поиск_расходки[Индекс3],0)),"")</f>
        <v>Launcher 6F EBU 4.0</v>
      </c>
      <c r="U28" s="144" t="str">
        <f>IFERROR(INDEX(Расходка[Наименование расходного материала],MATCH(Расходка[№],Поиск_расходки[Индекс4],0)),"")</f>
        <v>Launcher 6F EBU 4.0</v>
      </c>
      <c r="V28" s="144" t="str">
        <f>IFERROR(INDEX(Расходка[Наименование расходного материала],MATCH(Расходка[№],Поиск_расходки[Индекс5],0)),"")</f>
        <v>Launcher 6F EBU 4.0</v>
      </c>
      <c r="W28" s="144" t="str">
        <f>IFERROR(INDEX(Расходка[Наименование расходного материала],MATCH(Расходка[№],Поиск_расходки[Индекс6],0)),"")</f>
        <v>Launcher 6F EBU 4.0</v>
      </c>
      <c r="X28" s="144" t="str">
        <f>IFERROR(INDEX(Расходка[Наименование расходного материала],MATCH(Расходка[№],Поиск_расходки[Индекс7],0)),"")</f>
        <v>Launcher 6F EBU 4.0</v>
      </c>
      <c r="Y28" s="144" t="str">
        <f>IFERROR(INDEX(Расходка[Наименование расходного материала],MATCH(Расходка[№],Поиск_расходки[Индекс8],0)),"")</f>
        <v>Launcher 6F EBU 4.0</v>
      </c>
      <c r="Z28" s="144" t="str">
        <f>IFERROR(INDEX(Расходка[Наименование расходного материала],MATCH(Расходка[№],Поиск_расходки[Индекс9],0)),"")</f>
        <v>Launcher 6F EBU 4.0</v>
      </c>
      <c r="AA28" s="144" t="str">
        <f>IFERROR(INDEX(Расходка[Наименование расходного материала],MATCH(Расходка[№],Поиск_расходки[Индекс10],0)),"")</f>
        <v>Launcher 6F EBU 4.0</v>
      </c>
      <c r="AB28" s="144" t="str">
        <f>IFERROR(INDEX(Расходка[Наименование расходного материала],MATCH(Расходка[№],Поиск_расходки[Индекс11],0)),"")</f>
        <v>Launcher 6F EBU 4.0</v>
      </c>
      <c r="AC28" s="144" t="str">
        <f>IFERROR(INDEX(Расходка[Наименование расходного материала],MATCH(Расходка[№],Поиск_расходки[Индекс12],0)),"")</f>
        <v>Launcher 6F EBU 4.0</v>
      </c>
      <c r="AD28" s="144" t="str">
        <f>IFERROR(INDEX(Расходка[Наименование расходного материала],MATCH(Расходка[№],Поиск_расходки[Индекс13],0)),"")</f>
        <v>Launcher 6F EBU 4.0</v>
      </c>
      <c r="AF28" s="4" t="s">
        <v>6</v>
      </c>
      <c r="AG28" s="4" t="s">
        <v>160</v>
      </c>
    </row>
    <row r="29" spans="1:33">
      <c r="A29">
        <v>28</v>
      </c>
      <c r="B29" t="s">
        <v>4</v>
      </c>
      <c r="C29" t="s">
        <v>404</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28</v>
      </c>
      <c r="G29" s="142">
        <f>IF(ISNUMBER(SEARCH('Карта учёта'!$B$15,Расходка[Наименование расходного материала])),MAX($G$1:G28)+1,0)</f>
        <v>28</v>
      </c>
      <c r="H29" s="142">
        <f>IF(ISNUMBER(SEARCH('Карта учёта'!$B$16,Расходка[Наименование расходного материала])),MAX($H$1:H28)+1,0)</f>
        <v>28</v>
      </c>
      <c r="I29" s="142">
        <f>IF(ISNUMBER(SEARCH('Карта учёта'!$B$17,Расходка[Наименование расходного материала])),MAX($I$1:I28)+1,0)</f>
        <v>28</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Launcher 6F JL 3.5</v>
      </c>
      <c r="T29" s="144" t="str">
        <f>IFERROR(INDEX(Расходка[Наименование расходного материала],MATCH(Расходка[№],Поиск_расходки[Индекс3],0)),"")</f>
        <v>Launcher 6F JL 3.5</v>
      </c>
      <c r="U29" s="144" t="str">
        <f>IFERROR(INDEX(Расходка[Наименование расходного материала],MATCH(Расходка[№],Поиск_расходки[Индекс4],0)),"")</f>
        <v>Launcher 6F JL 3.5</v>
      </c>
      <c r="V29" s="144" t="str">
        <f>IFERROR(INDEX(Расходка[Наименование расходного материала],MATCH(Расходка[№],Поиск_расходки[Индекс5],0)),"")</f>
        <v>Launcher 6F JL 3.5</v>
      </c>
      <c r="W29" s="144" t="str">
        <f>IFERROR(INDEX(Расходка[Наименование расходного материала],MATCH(Расходка[№],Поиск_расходки[Индекс6],0)),"")</f>
        <v>Launcher 6F JL 3.5</v>
      </c>
      <c r="X29" s="144" t="str">
        <f>IFERROR(INDEX(Расходка[Наименование расходного материала],MATCH(Расходка[№],Поиск_расходки[Индекс7],0)),"")</f>
        <v>Launcher 6F JL 3.5</v>
      </c>
      <c r="Y29" s="144" t="str">
        <f>IFERROR(INDEX(Расходка[Наименование расходного материала],MATCH(Расходка[№],Поиск_расходки[Индекс8],0)),"")</f>
        <v>Launcher 6F JL 3.5</v>
      </c>
      <c r="Z29" s="144" t="str">
        <f>IFERROR(INDEX(Расходка[Наименование расходного материала],MATCH(Расходка[№],Поиск_расходки[Индекс9],0)),"")</f>
        <v>Launcher 6F JL 3.5</v>
      </c>
      <c r="AA29" s="144" t="str">
        <f>IFERROR(INDEX(Расходка[Наименование расходного материала],MATCH(Расходка[№],Поиск_расходки[Индекс10],0)),"")</f>
        <v>Launcher 6F JL 3.5</v>
      </c>
      <c r="AB29" s="144" t="str">
        <f>IFERROR(INDEX(Расходка[Наименование расходного материала],MATCH(Расходка[№],Поиск_расходки[Индекс11],0)),"")</f>
        <v>Launcher 6F JL 3.5</v>
      </c>
      <c r="AC29" s="144" t="str">
        <f>IFERROR(INDEX(Расходка[Наименование расходного материала],MATCH(Расходка[№],Поиск_расходки[Индекс12],0)),"")</f>
        <v>Launcher 6F JL 3.5</v>
      </c>
      <c r="AD29" s="144" t="str">
        <f>IFERROR(INDEX(Расходка[Наименование расходного материала],MATCH(Расходка[№],Поиск_расходки[Индекс13],0)),"")</f>
        <v>Launcher 6F JL 3.5</v>
      </c>
      <c r="AF29" s="4" t="s">
        <v>6</v>
      </c>
      <c r="AG29" s="4" t="s">
        <v>420</v>
      </c>
    </row>
    <row r="30" spans="1:33">
      <c r="A30">
        <v>29</v>
      </c>
      <c r="B30" t="s">
        <v>4</v>
      </c>
      <c r="C30" t="s">
        <v>405</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29</v>
      </c>
      <c r="G30" s="142">
        <f>IF(ISNUMBER(SEARCH('Карта учёта'!$B$15,Расходка[Наименование расходного материала])),MAX($G$1:G29)+1,0)</f>
        <v>29</v>
      </c>
      <c r="H30" s="142">
        <f>IF(ISNUMBER(SEARCH('Карта учёта'!$B$16,Расходка[Наименование расходного материала])),MAX($H$1:H29)+1,0)</f>
        <v>29</v>
      </c>
      <c r="I30" s="142">
        <f>IF(ISNUMBER(SEARCH('Карта учёта'!$B$17,Расходка[Наименование расходного материала])),MAX($I$1:I29)+1,0)</f>
        <v>29</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Launcher 6F JL 4.0</v>
      </c>
      <c r="T30" s="144" t="str">
        <f>IFERROR(INDEX(Расходка[Наименование расходного материала],MATCH(Расходка[№],Поиск_расходки[Индекс3],0)),"")</f>
        <v>Launcher 6F JL 4.0</v>
      </c>
      <c r="U30" s="144" t="str">
        <f>IFERROR(INDEX(Расходка[Наименование расходного материала],MATCH(Расходка[№],Поиск_расходки[Индекс4],0)),"")</f>
        <v>Launcher 6F JL 4.0</v>
      </c>
      <c r="V30" s="144" t="str">
        <f>IFERROR(INDEX(Расходка[Наименование расходного материала],MATCH(Расходка[№],Поиск_расходки[Индекс5],0)),"")</f>
        <v>Launcher 6F JL 4.0</v>
      </c>
      <c r="W30" s="144" t="str">
        <f>IFERROR(INDEX(Расходка[Наименование расходного материала],MATCH(Расходка[№],Поиск_расходки[Индекс6],0)),"")</f>
        <v>Launcher 6F JL 4.0</v>
      </c>
      <c r="X30" s="144" t="str">
        <f>IFERROR(INDEX(Расходка[Наименование расходного материала],MATCH(Расходка[№],Поиск_расходки[Индекс7],0)),"")</f>
        <v>Launcher 6F JL 4.0</v>
      </c>
      <c r="Y30" s="144" t="str">
        <f>IFERROR(INDEX(Расходка[Наименование расходного материала],MATCH(Расходка[№],Поиск_расходки[Индекс8],0)),"")</f>
        <v>Launcher 6F JL 4.0</v>
      </c>
      <c r="Z30" s="144" t="str">
        <f>IFERROR(INDEX(Расходка[Наименование расходного материала],MATCH(Расходка[№],Поиск_расходки[Индекс9],0)),"")</f>
        <v>Launcher 6F JL 4.0</v>
      </c>
      <c r="AA30" s="144" t="str">
        <f>IFERROR(INDEX(Расходка[Наименование расходного материала],MATCH(Расходка[№],Поиск_расходки[Индекс10],0)),"")</f>
        <v>Launcher 6F JL 4.0</v>
      </c>
      <c r="AB30" s="144" t="str">
        <f>IFERROR(INDEX(Расходка[Наименование расходного материала],MATCH(Расходка[№],Поиск_расходки[Индекс11],0)),"")</f>
        <v>Launcher 6F JL 4.0</v>
      </c>
      <c r="AC30" s="144" t="str">
        <f>IFERROR(INDEX(Расходка[Наименование расходного материала],MATCH(Расходка[№],Поиск_расходки[Индекс12],0)),"")</f>
        <v>Launcher 6F JL 4.0</v>
      </c>
      <c r="AD30" s="144" t="str">
        <f>IFERROR(INDEX(Расходка[Наименование расходного материала],MATCH(Расходка[№],Поиск_расходки[Индекс13],0)),"")</f>
        <v>Launcher 6F JL 4.0</v>
      </c>
      <c r="AF30" s="4" t="s">
        <v>6</v>
      </c>
      <c r="AG30" s="4" t="s">
        <v>431</v>
      </c>
    </row>
    <row r="31" spans="1:33">
      <c r="A31">
        <v>30</v>
      </c>
      <c r="B31" t="s">
        <v>4</v>
      </c>
      <c r="C31" t="s">
        <v>411</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30</v>
      </c>
      <c r="G31" s="142">
        <f>IF(ISNUMBER(SEARCH('Карта учёта'!$B$15,Расходка[Наименование расходного материала])),MAX($G$1:G30)+1,0)</f>
        <v>30</v>
      </c>
      <c r="H31" s="142">
        <f>IF(ISNUMBER(SEARCH('Карта учёта'!$B$16,Расходка[Наименование расходного материала])),MAX($H$1:H30)+1,0)</f>
        <v>30</v>
      </c>
      <c r="I31" s="142">
        <f>IF(ISNUMBER(SEARCH('Карта учёта'!$B$17,Расходка[Наименование расходного материала])),MAX($I$1:I30)+1,0)</f>
        <v>30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Launcher 6F JL 4.5</v>
      </c>
      <c r="T31" s="144" t="str">
        <f>IFERROR(INDEX(Расходка[Наименование расходного материала],MATCH(Расходка[№],Поиск_расходки[Индекс3],0)),"")</f>
        <v>Launcher 6F JL 4.5</v>
      </c>
      <c r="U31" s="144" t="str">
        <f>IFERROR(INDEX(Расходка[Наименование расходного материала],MATCH(Расходка[№],Поиск_расходки[Индекс4],0)),"")</f>
        <v>Launcher 6F JL 4.5</v>
      </c>
      <c r="V31" s="144" t="str">
        <f>IFERROR(INDEX(Расходка[Наименование расходного материала],MATCH(Расходка[№],Поиск_расходки[Индекс5],0)),"")</f>
        <v>Launcher 6F JL 4.5</v>
      </c>
      <c r="W31" s="144" t="str">
        <f>IFERROR(INDEX(Расходка[Наименование расходного материала],MATCH(Расходка[№],Поиск_расходки[Индекс6],0)),"")</f>
        <v>Launcher 6F JL 4.5</v>
      </c>
      <c r="X31" s="144" t="str">
        <f>IFERROR(INDEX(Расходка[Наименование расходного материала],MATCH(Расходка[№],Поиск_расходки[Индекс7],0)),"")</f>
        <v>Launcher 6F JL 4.5</v>
      </c>
      <c r="Y31" s="144" t="str">
        <f>IFERROR(INDEX(Расходка[Наименование расходного материала],MATCH(Расходка[№],Поиск_расходки[Индекс8],0)),"")</f>
        <v>Launcher 6F JL 4.5</v>
      </c>
      <c r="Z31" s="144" t="str">
        <f>IFERROR(INDEX(Расходка[Наименование расходного материала],MATCH(Расходка[№],Поиск_расходки[Индекс9],0)),"")</f>
        <v>Launcher 6F JL 4.5</v>
      </c>
      <c r="AA31" s="144" t="str">
        <f>IFERROR(INDEX(Расходка[Наименование расходного материала],MATCH(Расходка[№],Поиск_расходки[Индекс10],0)),"")</f>
        <v>Launcher 6F JL 4.5</v>
      </c>
      <c r="AB31" s="144" t="str">
        <f>IFERROR(INDEX(Расходка[Наименование расходного материала],MATCH(Расходка[№],Поиск_расходки[Индекс11],0)),"")</f>
        <v>Launcher 6F JL 4.5</v>
      </c>
      <c r="AC31" s="144" t="str">
        <f>IFERROR(INDEX(Расходка[Наименование расходного материала],MATCH(Расходка[№],Поиск_расходки[Индекс12],0)),"")</f>
        <v>Launcher 6F JL 4.5</v>
      </c>
      <c r="AD31" s="144" t="str">
        <f>IFERROR(INDEX(Расходка[Наименование расходного материала],MATCH(Расходка[№],Поиск_расходки[Индекс13],0)),"")</f>
        <v>Launcher 6F JL 4.5</v>
      </c>
      <c r="AF31" s="4" t="s">
        <v>6</v>
      </c>
      <c r="AG31" s="4" t="s">
        <v>105</v>
      </c>
    </row>
    <row r="32" spans="1:33">
      <c r="A32">
        <v>31</v>
      </c>
      <c r="B32" t="s">
        <v>4</v>
      </c>
      <c r="C32" t="s">
        <v>446</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31</v>
      </c>
      <c r="G32" s="142">
        <f>IF(ISNUMBER(SEARCH('Карта учёта'!$B$15,Расходка[Наименование расходного материала])),MAX($G$1:G31)+1,0)</f>
        <v>31</v>
      </c>
      <c r="H32" s="142">
        <f>IF(ISNUMBER(SEARCH('Карта учёта'!$B$16,Расходка[Наименование расходного материала])),MAX($H$1:H31)+1,0)</f>
        <v>31</v>
      </c>
      <c r="I32" s="142">
        <f>IF(ISNUMBER(SEARCH('Карта учёта'!$B$17,Расходка[Наименование расходного материала])),MAX($I$1:I31)+1,0)</f>
        <v>31</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Launcher 6F AL 1</v>
      </c>
      <c r="T32" s="144" t="str">
        <f>IFERROR(INDEX(Расходка[Наименование расходного материала],MATCH(Расходка[№],Поиск_расходки[Индекс3],0)),"")</f>
        <v>Launcher 6F AL 1</v>
      </c>
      <c r="U32" s="144" t="str">
        <f>IFERROR(INDEX(Расходка[Наименование расходного материала],MATCH(Расходка[№],Поиск_расходки[Индекс4],0)),"")</f>
        <v>Launcher 6F AL 1</v>
      </c>
      <c r="V32" s="144" t="str">
        <f>IFERROR(INDEX(Расходка[Наименование расходного материала],MATCH(Расходка[№],Поиск_расходки[Индекс5],0)),"")</f>
        <v>Launcher 6F AL 1</v>
      </c>
      <c r="W32" s="144" t="str">
        <f>IFERROR(INDEX(Расходка[Наименование расходного материала],MATCH(Расходка[№],Поиск_расходки[Индекс6],0)),"")</f>
        <v>Launcher 6F AL 1</v>
      </c>
      <c r="X32" s="144" t="str">
        <f>IFERROR(INDEX(Расходка[Наименование расходного материала],MATCH(Расходка[№],Поиск_расходки[Индекс7],0)),"")</f>
        <v>Launcher 6F AL 1</v>
      </c>
      <c r="Y32" s="144" t="str">
        <f>IFERROR(INDEX(Расходка[Наименование расходного материала],MATCH(Расходка[№],Поиск_расходки[Индекс8],0)),"")</f>
        <v>Launcher 6F AL 1</v>
      </c>
      <c r="Z32" s="144" t="str">
        <f>IFERROR(INDEX(Расходка[Наименование расходного материала],MATCH(Расходка[№],Поиск_расходки[Индекс9],0)),"")</f>
        <v>Launcher 6F AL 1</v>
      </c>
      <c r="AA32" s="144" t="str">
        <f>IFERROR(INDEX(Расходка[Наименование расходного материала],MATCH(Расходка[№],Поиск_расходки[Индекс10],0)),"")</f>
        <v>Launcher 6F AL 1</v>
      </c>
      <c r="AB32" s="144" t="str">
        <f>IFERROR(INDEX(Расходка[Наименование расходного материала],MATCH(Расходка[№],Поиск_расходки[Индекс11],0)),"")</f>
        <v>Launcher 6F AL 1</v>
      </c>
      <c r="AC32" s="144" t="str">
        <f>IFERROR(INDEX(Расходка[Наименование расходного материала],MATCH(Расходка[№],Поиск_расходки[Индекс12],0)),"")</f>
        <v>Launcher 6F AL 1</v>
      </c>
      <c r="AD32" s="144" t="str">
        <f>IFERROR(INDEX(Расходка[Наименование расходного материала],MATCH(Расходка[№],Поиск_расходки[Индекс13],0)),"")</f>
        <v>Launcher 6F AL 1</v>
      </c>
      <c r="AF32" s="4" t="s">
        <v>6</v>
      </c>
      <c r="AG32" s="4" t="s">
        <v>161</v>
      </c>
    </row>
    <row r="33" spans="1:33">
      <c r="A33">
        <v>32</v>
      </c>
      <c r="B33" t="s">
        <v>4</v>
      </c>
      <c r="C33" t="s">
        <v>447</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32</v>
      </c>
      <c r="G33" s="142">
        <f>IF(ISNUMBER(SEARCH('Карта учёта'!$B$15,Расходка[Наименование расходного материала])),MAX($G$1:G32)+1,0)</f>
        <v>32</v>
      </c>
      <c r="H33" s="142">
        <f>IF(ISNUMBER(SEARCH('Карта учёта'!$B$16,Расходка[Наименование расходного материала])),MAX($H$1:H32)+1,0)</f>
        <v>32</v>
      </c>
      <c r="I33" s="142">
        <f>IF(ISNUMBER(SEARCH('Карта учёта'!$B$17,Расходка[Наименование расходного материала])),MAX($I$1:I32)+1,0)</f>
        <v>32</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Launcher 6F AL 2</v>
      </c>
      <c r="T33" s="144" t="str">
        <f>IFERROR(INDEX(Расходка[Наименование расходного материала],MATCH(Расходка[№],Поиск_расходки[Индекс3],0)),"")</f>
        <v>Launcher 6F AL 2</v>
      </c>
      <c r="U33" s="144" t="str">
        <f>IFERROR(INDEX(Расходка[Наименование расходного материала],MATCH(Расходка[№],Поиск_расходки[Индекс4],0)),"")</f>
        <v>Launcher 6F AL 2</v>
      </c>
      <c r="V33" s="144" t="str">
        <f>IFERROR(INDEX(Расходка[Наименование расходного материала],MATCH(Расходка[№],Поиск_расходки[Индекс5],0)),"")</f>
        <v>Launcher 6F AL 2</v>
      </c>
      <c r="W33" s="144" t="str">
        <f>IFERROR(INDEX(Расходка[Наименование расходного материала],MATCH(Расходка[№],Поиск_расходки[Индекс6],0)),"")</f>
        <v>Launcher 6F AL 2</v>
      </c>
      <c r="X33" s="144" t="str">
        <f>IFERROR(INDEX(Расходка[Наименование расходного материала],MATCH(Расходка[№],Поиск_расходки[Индекс7],0)),"")</f>
        <v>Launcher 6F AL 2</v>
      </c>
      <c r="Y33" s="144" t="str">
        <f>IFERROR(INDEX(Расходка[Наименование расходного материала],MATCH(Расходка[№],Поиск_расходки[Индекс8],0)),"")</f>
        <v>Launcher 6F AL 2</v>
      </c>
      <c r="Z33" s="144" t="str">
        <f>IFERROR(INDEX(Расходка[Наименование расходного материала],MATCH(Расходка[№],Поиск_расходки[Индекс9],0)),"")</f>
        <v>Launcher 6F AL 2</v>
      </c>
      <c r="AA33" s="144" t="str">
        <f>IFERROR(INDEX(Расходка[Наименование расходного материала],MATCH(Расходка[№],Поиск_расходки[Индекс10],0)),"")</f>
        <v>Launcher 6F AL 2</v>
      </c>
      <c r="AB33" s="144" t="str">
        <f>IFERROR(INDEX(Расходка[Наименование расходного материала],MATCH(Расходка[№],Поиск_расходки[Индекс11],0)),"")</f>
        <v>Launcher 6F AL 2</v>
      </c>
      <c r="AC33" s="144" t="str">
        <f>IFERROR(INDEX(Расходка[Наименование расходного материала],MATCH(Расходка[№],Поиск_расходки[Индекс12],0)),"")</f>
        <v>Launcher 6F AL 2</v>
      </c>
      <c r="AD33" s="144" t="str">
        <f>IFERROR(INDEX(Расходка[Наименование расходного материала],MATCH(Расходка[№],Поиск_расходки[Индекс13],0)),"")</f>
        <v>Launcher 6F AL 2</v>
      </c>
      <c r="AF33" s="4" t="s">
        <v>6</v>
      </c>
      <c r="AG33" s="4" t="s">
        <v>164</v>
      </c>
    </row>
    <row r="34" spans="1:33">
      <c r="A34">
        <v>33</v>
      </c>
      <c r="B34" t="s">
        <v>4</v>
      </c>
      <c r="C34" t="s">
        <v>406</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33</v>
      </c>
      <c r="G34" s="142">
        <f>IF(ISNUMBER(SEARCH('Карта учёта'!$B$15,Расходка[Наименование расходного материала])),MAX($G$1:G33)+1,0)</f>
        <v>33</v>
      </c>
      <c r="H34" s="142">
        <f>IF(ISNUMBER(SEARCH('Карта учёта'!$B$16,Расходка[Наименование расходного материала])),MAX($H$1:H33)+1,0)</f>
        <v>33</v>
      </c>
      <c r="I34" s="142">
        <f>IF(ISNUMBER(SEARCH('Карта учёта'!$B$17,Расходка[Наименование расходного материала])),MAX($I$1:I33)+1,0)</f>
        <v>33</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Launcher 6F JR 3.5</v>
      </c>
      <c r="T34" s="144" t="str">
        <f>IFERROR(INDEX(Расходка[Наименование расходного материала],MATCH(Расходка[№],Поиск_расходки[Индекс3],0)),"")</f>
        <v>Launcher 6F JR 3.5</v>
      </c>
      <c r="U34" s="144" t="str">
        <f>IFERROR(INDEX(Расходка[Наименование расходного материала],MATCH(Расходка[№],Поиск_расходки[Индекс4],0)),"")</f>
        <v>Launcher 6F JR 3.5</v>
      </c>
      <c r="V34" s="144" t="str">
        <f>IFERROR(INDEX(Расходка[Наименование расходного материала],MATCH(Расходка[№],Поиск_расходки[Индекс5],0)),"")</f>
        <v>Launcher 6F JR 3.5</v>
      </c>
      <c r="W34" s="144" t="str">
        <f>IFERROR(INDEX(Расходка[Наименование расходного материала],MATCH(Расходка[№],Поиск_расходки[Индекс6],0)),"")</f>
        <v>Launcher 6F JR 3.5</v>
      </c>
      <c r="X34" s="144" t="str">
        <f>IFERROR(INDEX(Расходка[Наименование расходного материала],MATCH(Расходка[№],Поиск_расходки[Индекс7],0)),"")</f>
        <v>Launcher 6F JR 3.5</v>
      </c>
      <c r="Y34" s="144" t="str">
        <f>IFERROR(INDEX(Расходка[Наименование расходного материала],MATCH(Расходка[№],Поиск_расходки[Индекс8],0)),"")</f>
        <v>Launcher 6F JR 3.5</v>
      </c>
      <c r="Z34" s="144" t="str">
        <f>IFERROR(INDEX(Расходка[Наименование расходного материала],MATCH(Расходка[№],Поиск_расходки[Индекс9],0)),"")</f>
        <v>Launcher 6F JR 3.5</v>
      </c>
      <c r="AA34" s="144" t="str">
        <f>IFERROR(INDEX(Расходка[Наименование расходного материала],MATCH(Расходка[№],Поиск_расходки[Индекс10],0)),"")</f>
        <v>Launcher 6F JR 3.5</v>
      </c>
      <c r="AB34" s="144" t="str">
        <f>IFERROR(INDEX(Расходка[Наименование расходного материала],MATCH(Расходка[№],Поиск_расходки[Индекс11],0)),"")</f>
        <v>Launcher 6F JR 3.5</v>
      </c>
      <c r="AC34" s="144" t="str">
        <f>IFERROR(INDEX(Расходка[Наименование расходного материала],MATCH(Расходка[№],Поиск_расходки[Индекс12],0)),"")</f>
        <v>Launcher 6F JR 3.5</v>
      </c>
      <c r="AD34" s="144" t="str">
        <f>IFERROR(INDEX(Расходка[Наименование расходного материала],MATCH(Расходка[№],Поиск_расходки[Индекс13],0)),"")</f>
        <v>Launcher 6F JR 3.5</v>
      </c>
      <c r="AF34" s="4" t="s">
        <v>6</v>
      </c>
      <c r="AG34" s="4" t="s">
        <v>166</v>
      </c>
    </row>
    <row r="35" spans="1:33">
      <c r="A35">
        <v>34</v>
      </c>
      <c r="B35" t="s">
        <v>4</v>
      </c>
      <c r="C35" t="s">
        <v>407</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34</v>
      </c>
      <c r="G35" s="142">
        <f>IF(ISNUMBER(SEARCH('Карта учёта'!$B$15,Расходка[Наименование расходного материала])),MAX($G$1:G34)+1,0)</f>
        <v>34</v>
      </c>
      <c r="H35" s="142">
        <f>IF(ISNUMBER(SEARCH('Карта учёта'!$B$16,Расходка[Наименование расходного материала])),MAX($H$1:H34)+1,0)</f>
        <v>34</v>
      </c>
      <c r="I35" s="142">
        <f>IF(ISNUMBER(SEARCH('Карта учёта'!$B$17,Расходка[Наименование расходного материала])),MAX($I$1:I34)+1,0)</f>
        <v>34</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Launcher 6F JR 4.0</v>
      </c>
      <c r="T35" s="144" t="str">
        <f>IFERROR(INDEX(Расходка[Наименование расходного материала],MATCH(Расходка[№],Поиск_расходки[Индекс3],0)),"")</f>
        <v>Launcher 6F JR 4.0</v>
      </c>
      <c r="U35" s="144" t="str">
        <f>IFERROR(INDEX(Расходка[Наименование расходного материала],MATCH(Расходка[№],Поиск_расходки[Индекс4],0)),"")</f>
        <v>Launcher 6F JR 4.0</v>
      </c>
      <c r="V35" s="144" t="str">
        <f>IFERROR(INDEX(Расходка[Наименование расходного материала],MATCH(Расходка[№],Поиск_расходки[Индекс5],0)),"")</f>
        <v>Launcher 6F JR 4.0</v>
      </c>
      <c r="W35" s="144" t="str">
        <f>IFERROR(INDEX(Расходка[Наименование расходного материала],MATCH(Расходка[№],Поиск_расходки[Индекс6],0)),"")</f>
        <v>Launcher 6F JR 4.0</v>
      </c>
      <c r="X35" s="144" t="str">
        <f>IFERROR(INDEX(Расходка[Наименование расходного материала],MATCH(Расходка[№],Поиск_расходки[Индекс7],0)),"")</f>
        <v>Launcher 6F JR 4.0</v>
      </c>
      <c r="Y35" s="144" t="str">
        <f>IFERROR(INDEX(Расходка[Наименование расходного материала],MATCH(Расходка[№],Поиск_расходки[Индекс8],0)),"")</f>
        <v>Launcher 6F JR 4.0</v>
      </c>
      <c r="Z35" s="144" t="str">
        <f>IFERROR(INDEX(Расходка[Наименование расходного материала],MATCH(Расходка[№],Поиск_расходки[Индекс9],0)),"")</f>
        <v>Launcher 6F JR 4.0</v>
      </c>
      <c r="AA35" s="144" t="str">
        <f>IFERROR(INDEX(Расходка[Наименование расходного материала],MATCH(Расходка[№],Поиск_расходки[Индекс10],0)),"")</f>
        <v>Launcher 6F JR 4.0</v>
      </c>
      <c r="AB35" s="144" t="str">
        <f>IFERROR(INDEX(Расходка[Наименование расходного материала],MATCH(Расходка[№],Поиск_расходки[Индекс11],0)),"")</f>
        <v>Launcher 6F JR 4.0</v>
      </c>
      <c r="AC35" s="144" t="str">
        <f>IFERROR(INDEX(Расходка[Наименование расходного материала],MATCH(Расходка[№],Поиск_расходки[Индекс12],0)),"")</f>
        <v>Launcher 6F JR 4.0</v>
      </c>
      <c r="AD35" s="144" t="str">
        <f>IFERROR(INDEX(Расходка[Наименование расходного материала],MATCH(Расходка[№],Поиск_расходки[Индекс13],0)),"")</f>
        <v>Launcher 6F JR 4.0</v>
      </c>
      <c r="AF35" s="4" t="s">
        <v>6</v>
      </c>
      <c r="AG35" s="4" t="s">
        <v>434</v>
      </c>
    </row>
    <row r="36" spans="1:33">
      <c r="A36">
        <v>35</v>
      </c>
      <c r="B36" t="s">
        <v>4</v>
      </c>
      <c r="C36" t="s">
        <v>418</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35</v>
      </c>
      <c r="G36" s="142">
        <f>IF(ISNUMBER(SEARCH('Карта учёта'!$B$15,Расходка[Наименование расходного материала])),MAX($G$1:G35)+1,0)</f>
        <v>35</v>
      </c>
      <c r="H36" s="142">
        <f>IF(ISNUMBER(SEARCH('Карта учёта'!$B$16,Расходка[Наименование расходного материала])),MAX($H$1:H35)+1,0)</f>
        <v>35</v>
      </c>
      <c r="I36" s="142">
        <f>IF(ISNUMBER(SEARCH('Карта учёта'!$B$17,Расходка[Наименование расходного материала])),MAX($I$1:I35)+1,0)</f>
        <v>35</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Launcher 7F JL 3.5</v>
      </c>
      <c r="T36" s="144" t="str">
        <f>IFERROR(INDEX(Расходка[Наименование расходного материала],MATCH(Расходка[№],Поиск_расходки[Индекс3],0)),"")</f>
        <v>Launcher 7F JL 3.5</v>
      </c>
      <c r="U36" s="144" t="str">
        <f>IFERROR(INDEX(Расходка[Наименование расходного материала],MATCH(Расходка[№],Поиск_расходки[Индекс4],0)),"")</f>
        <v>Launcher 7F JL 3.5</v>
      </c>
      <c r="V36" s="144" t="str">
        <f>IFERROR(INDEX(Расходка[Наименование расходного материала],MATCH(Расходка[№],Поиск_расходки[Индекс5],0)),"")</f>
        <v>Launcher 7F JL 3.5</v>
      </c>
      <c r="W36" s="144" t="str">
        <f>IFERROR(INDEX(Расходка[Наименование расходного материала],MATCH(Расходка[№],Поиск_расходки[Индекс6],0)),"")</f>
        <v>Launcher 7F JL 3.5</v>
      </c>
      <c r="X36" s="144" t="str">
        <f>IFERROR(INDEX(Расходка[Наименование расходного материала],MATCH(Расходка[№],Поиск_расходки[Индекс7],0)),"")</f>
        <v>Launcher 7F JL 3.5</v>
      </c>
      <c r="Y36" s="144" t="str">
        <f>IFERROR(INDEX(Расходка[Наименование расходного материала],MATCH(Расходка[№],Поиск_расходки[Индекс8],0)),"")</f>
        <v>Launcher 7F JL 3.5</v>
      </c>
      <c r="Z36" s="144" t="str">
        <f>IFERROR(INDEX(Расходка[Наименование расходного материала],MATCH(Расходка[№],Поиск_расходки[Индекс9],0)),"")</f>
        <v>Launcher 7F JL 3.5</v>
      </c>
      <c r="AA36" s="144" t="str">
        <f>IFERROR(INDEX(Расходка[Наименование расходного материала],MATCH(Расходка[№],Поиск_расходки[Индекс10],0)),"")</f>
        <v>Launcher 7F JL 3.5</v>
      </c>
      <c r="AB36" s="144" t="str">
        <f>IFERROR(INDEX(Расходка[Наименование расходного материала],MATCH(Расходка[№],Поиск_расходки[Индекс11],0)),"")</f>
        <v>Launcher 7F JL 3.5</v>
      </c>
      <c r="AC36" s="144" t="str">
        <f>IFERROR(INDEX(Расходка[Наименование расходного материала],MATCH(Расходка[№],Поиск_расходки[Индекс12],0)),"")</f>
        <v>Launcher 7F JL 3.5</v>
      </c>
      <c r="AD36" s="144" t="str">
        <f>IFERROR(INDEX(Расходка[Наименование расходного материала],MATCH(Расходка[№],Поиск_расходки[Индекс13],0)),"")</f>
        <v>Launcher 7F JL 3.5</v>
      </c>
      <c r="AF36" s="4" t="s">
        <v>6</v>
      </c>
      <c r="AG36" s="4" t="s">
        <v>165</v>
      </c>
    </row>
    <row r="37" spans="1:33">
      <c r="A37">
        <v>36</v>
      </c>
      <c r="B37" t="s">
        <v>4</v>
      </c>
      <c r="C37" t="s">
        <v>417</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36</v>
      </c>
      <c r="G37" s="142">
        <f>IF(ISNUMBER(SEARCH('Карта учёта'!$B$15,Расходка[Наименование расходного материала])),MAX($G$1:G36)+1,0)</f>
        <v>36</v>
      </c>
      <c r="H37" s="142">
        <f>IF(ISNUMBER(SEARCH('Карта учёта'!$B$16,Расходка[Наименование расходного материала])),MAX($H$1:H36)+1,0)</f>
        <v>36</v>
      </c>
      <c r="I37" s="142">
        <f>IF(ISNUMBER(SEARCH('Карта учёта'!$B$17,Расходка[Наименование расходного материала])),MAX($I$1:I36)+1,0)</f>
        <v>36</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Launcher 7F JL 4.0</v>
      </c>
      <c r="T37" s="144" t="str">
        <f>IFERROR(INDEX(Расходка[Наименование расходного материала],MATCH(Расходка[№],Поиск_расходки[Индекс3],0)),"")</f>
        <v>Launcher 7F JL 4.0</v>
      </c>
      <c r="U37" s="144" t="str">
        <f>IFERROR(INDEX(Расходка[Наименование расходного материала],MATCH(Расходка[№],Поиск_расходки[Индекс4],0)),"")</f>
        <v>Launcher 7F JL 4.0</v>
      </c>
      <c r="V37" s="144" t="str">
        <f>IFERROR(INDEX(Расходка[Наименование расходного материала],MATCH(Расходка[№],Поиск_расходки[Индекс5],0)),"")</f>
        <v>Launcher 7F JL 4.0</v>
      </c>
      <c r="W37" s="144" t="str">
        <f>IFERROR(INDEX(Расходка[Наименование расходного материала],MATCH(Расходка[№],Поиск_расходки[Индекс6],0)),"")</f>
        <v>Launcher 7F JL 4.0</v>
      </c>
      <c r="X37" s="144" t="str">
        <f>IFERROR(INDEX(Расходка[Наименование расходного материала],MATCH(Расходка[№],Поиск_расходки[Индекс7],0)),"")</f>
        <v>Launcher 7F JL 4.0</v>
      </c>
      <c r="Y37" s="144" t="str">
        <f>IFERROR(INDEX(Расходка[Наименование расходного материала],MATCH(Расходка[№],Поиск_расходки[Индекс8],0)),"")</f>
        <v>Launcher 7F JL 4.0</v>
      </c>
      <c r="Z37" s="144" t="str">
        <f>IFERROR(INDEX(Расходка[Наименование расходного материала],MATCH(Расходка[№],Поиск_расходки[Индекс9],0)),"")</f>
        <v>Launcher 7F JL 4.0</v>
      </c>
      <c r="AA37" s="144" t="str">
        <f>IFERROR(INDEX(Расходка[Наименование расходного материала],MATCH(Расходка[№],Поиск_расходки[Индекс10],0)),"")</f>
        <v>Launcher 7F JL 4.0</v>
      </c>
      <c r="AB37" s="144" t="str">
        <f>IFERROR(INDEX(Расходка[Наименование расходного материала],MATCH(Расходка[№],Поиск_расходки[Индекс11],0)),"")</f>
        <v>Launcher 7F JL 4.0</v>
      </c>
      <c r="AC37" s="144" t="str">
        <f>IFERROR(INDEX(Расходка[Наименование расходного материала],MATCH(Расходка[№],Поиск_расходки[Индекс12],0)),"")</f>
        <v>Launcher 7F JL 4.0</v>
      </c>
      <c r="AD37" s="144" t="str">
        <f>IFERROR(INDEX(Расходка[Наименование расходного материала],MATCH(Расходка[№],Поиск_расходки[Индекс13],0)),"")</f>
        <v>Launcher 7F JL 4.0</v>
      </c>
      <c r="AF37" s="4" t="s">
        <v>6</v>
      </c>
      <c r="AG37" s="4" t="s">
        <v>435</v>
      </c>
    </row>
    <row r="38" spans="1:33">
      <c r="A38">
        <v>37</v>
      </c>
      <c r="B38" t="s">
        <v>369</v>
      </c>
      <c r="C38" s="1" t="s">
        <v>408</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37</v>
      </c>
      <c r="G38" s="142">
        <f>IF(ISNUMBER(SEARCH('Карта учёта'!$B$15,Расходка[Наименование расходного материала])),MAX($G$1:G37)+1,0)</f>
        <v>37</v>
      </c>
      <c r="H38" s="142">
        <f>IF(ISNUMBER(SEARCH('Карта учёта'!$B$16,Расходка[Наименование расходного материала])),MAX($H$1:H37)+1,0)</f>
        <v>37</v>
      </c>
      <c r="I38" s="142">
        <f>IF(ISNUMBER(SEARCH('Карта учёта'!$B$17,Расходка[Наименование расходного материала])),MAX($I$1:I37)+1,0)</f>
        <v>37</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Angio-Seal™ VIP</v>
      </c>
      <c r="T38" s="144" t="str">
        <f>IFERROR(INDEX(Расходка[Наименование расходного материала],MATCH(Расходка[№],Поиск_расходки[Индекс3],0)),"")</f>
        <v>Angio-Seal™ VIP</v>
      </c>
      <c r="U38" s="144" t="str">
        <f>IFERROR(INDEX(Расходка[Наименование расходного материала],MATCH(Расходка[№],Поиск_расходки[Индекс4],0)),"")</f>
        <v>Angio-Seal™ VIP</v>
      </c>
      <c r="V38" s="144" t="str">
        <f>IFERROR(INDEX(Расходка[Наименование расходного материала],MATCH(Расходка[№],Поиск_расходки[Индекс5],0)),"")</f>
        <v>Angio-Seal™ VIP</v>
      </c>
      <c r="W38" s="144" t="str">
        <f>IFERROR(INDEX(Расходка[Наименование расходного материала],MATCH(Расходка[№],Поиск_расходки[Индекс6],0)),"")</f>
        <v>Angio-Seal™ VIP</v>
      </c>
      <c r="X38" s="144" t="str">
        <f>IFERROR(INDEX(Расходка[Наименование расходного материала],MATCH(Расходка[№],Поиск_расходки[Индекс7],0)),"")</f>
        <v>Angio-Seal™ VIP</v>
      </c>
      <c r="Y38" s="144" t="str">
        <f>IFERROR(INDEX(Расходка[Наименование расходного материала],MATCH(Расходка[№],Поиск_расходки[Индекс8],0)),"")</f>
        <v>Angio-Seal™ VIP</v>
      </c>
      <c r="Z38" s="144" t="str">
        <f>IFERROR(INDEX(Расходка[Наименование расходного материала],MATCH(Расходка[№],Поиск_расходки[Индекс9],0)),"")</f>
        <v>Angio-Seal™ VIP</v>
      </c>
      <c r="AA38" s="144" t="str">
        <f>IFERROR(INDEX(Расходка[Наименование расходного материала],MATCH(Расходка[№],Поиск_расходки[Индекс10],0)),"")</f>
        <v>Angio-Seal™ VIP</v>
      </c>
      <c r="AB38" s="144" t="str">
        <f>IFERROR(INDEX(Расходка[Наименование расходного материала],MATCH(Расходка[№],Поиск_расходки[Индекс11],0)),"")</f>
        <v>Angio-Seal™ VIP</v>
      </c>
      <c r="AC38" s="144" t="str">
        <f>IFERROR(INDEX(Расходка[Наименование расходного материала],MATCH(Расходка[№],Поиск_расходки[Индекс12],0)),"")</f>
        <v>Angio-Seal™ VIP</v>
      </c>
      <c r="AD38" s="144" t="str">
        <f>IFERROR(INDEX(Расходка[Наименование расходного материала],MATCH(Расходка[№],Поиск_расходки[Индекс13],0)),"")</f>
        <v>Angio-Seal™ VIP</v>
      </c>
      <c r="AF38" s="4" t="s">
        <v>6</v>
      </c>
      <c r="AG38" s="4" t="s">
        <v>168</v>
      </c>
    </row>
    <row r="39" spans="1:33">
      <c r="A39">
        <v>38</v>
      </c>
      <c r="B39" t="s">
        <v>378</v>
      </c>
      <c r="C39" t="s">
        <v>409</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38</v>
      </c>
      <c r="G39" s="142">
        <f>IF(ISNUMBER(SEARCH('Карта учёта'!$B$15,Расходка[Наименование расходного материала])),MAX($G$1:G38)+1,0)</f>
        <v>38</v>
      </c>
      <c r="H39" s="142">
        <f>IF(ISNUMBER(SEARCH('Карта учёта'!$B$16,Расходка[Наименование расходного материала])),MAX($H$1:H38)+1,0)</f>
        <v>38</v>
      </c>
      <c r="I39" s="142">
        <f>IF(ISNUMBER(SEARCH('Карта учёта'!$B$17,Расходка[Наименование расходного материала])),MAX($I$1:I38)+1,0)</f>
        <v>38</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BasixCOMPAK</v>
      </c>
      <c r="T39" s="144" t="str">
        <f>IFERROR(INDEX(Расходка[Наименование расходного материала],MATCH(Расходка[№],Поиск_расходки[Индекс3],0)),"")</f>
        <v>BasixCOMPAK</v>
      </c>
      <c r="U39" s="144" t="str">
        <f>IFERROR(INDEX(Расходка[Наименование расходного материала],MATCH(Расходка[№],Поиск_расходки[Индекс4],0)),"")</f>
        <v>BasixCOMPAK</v>
      </c>
      <c r="V39" s="144" t="str">
        <f>IFERROR(INDEX(Расходка[Наименование расходного материала],MATCH(Расходка[№],Поиск_расходки[Индекс5],0)),"")</f>
        <v>BasixCOMPAK</v>
      </c>
      <c r="W39" s="144" t="str">
        <f>IFERROR(INDEX(Расходка[Наименование расходного материала],MATCH(Расходка[№],Поиск_расходки[Индекс6],0)),"")</f>
        <v>BasixCOMPAK</v>
      </c>
      <c r="X39" s="144" t="str">
        <f>IFERROR(INDEX(Расходка[Наименование расходного материала],MATCH(Расходка[№],Поиск_расходки[Индекс7],0)),"")</f>
        <v>BasixCOMPAK</v>
      </c>
      <c r="Y39" s="144" t="str">
        <f>IFERROR(INDEX(Расходка[Наименование расходного материала],MATCH(Расходка[№],Поиск_расходки[Индекс8],0)),"")</f>
        <v>BasixCOMPAK</v>
      </c>
      <c r="Z39" s="144" t="str">
        <f>IFERROR(INDEX(Расходка[Наименование расходного материала],MATCH(Расходка[№],Поиск_расходки[Индекс9],0)),"")</f>
        <v>BasixCOMPAK</v>
      </c>
      <c r="AA39" s="144" t="str">
        <f>IFERROR(INDEX(Расходка[Наименование расходного материала],MATCH(Расходка[№],Поиск_расходки[Индекс10],0)),"")</f>
        <v>BasixCOMPAK</v>
      </c>
      <c r="AB39" s="144" t="str">
        <f>IFERROR(INDEX(Расходка[Наименование расходного материала],MATCH(Расходка[№],Поиск_расходки[Индекс11],0)),"")</f>
        <v>BasixCOMPAK</v>
      </c>
      <c r="AC39" s="144" t="str">
        <f>IFERROR(INDEX(Расходка[Наименование расходного материала],MATCH(Расходка[№],Поиск_расходки[Индекс12],0)),"")</f>
        <v>BasixCOMPAK</v>
      </c>
      <c r="AD39" s="144" t="str">
        <f>IFERROR(INDEX(Расходка[Наименование расходного материала],MATCH(Расходка[№],Поиск_расходки[Индекс13],0)),"")</f>
        <v>BasixCOMPAK</v>
      </c>
      <c r="AF39" s="4" t="s">
        <v>6</v>
      </c>
      <c r="AG39" s="4" t="s">
        <v>169</v>
      </c>
    </row>
    <row r="40" spans="1:33">
      <c r="A40">
        <v>39</v>
      </c>
      <c r="B40" t="s">
        <v>380</v>
      </c>
      <c r="C40" s="1" t="s">
        <v>410</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39</v>
      </c>
      <c r="G40" s="142">
        <f>IF(ISNUMBER(SEARCH('Карта учёта'!$B$15,Расходка[Наименование расходного материала])),MAX($G$1:G39)+1,0)</f>
        <v>39</v>
      </c>
      <c r="H40" s="142">
        <f>IF(ISNUMBER(SEARCH('Карта учёта'!$B$16,Расходка[Наименование расходного материала])),MAX($H$1:H39)+1,0)</f>
        <v>39</v>
      </c>
      <c r="I40" s="142">
        <f>IF(ISNUMBER(SEARCH('Карта учёта'!$B$17,Расходка[Наименование расходного материала])),MAX($I$1:I39)+1,0)</f>
        <v>39</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Nitrex 260</v>
      </c>
      <c r="T40" s="144" t="str">
        <f>IFERROR(INDEX(Расходка[Наименование расходного материала],MATCH(Расходка[№],Поиск_расходки[Индекс3],0)),"")</f>
        <v>Nitrex 260</v>
      </c>
      <c r="U40" s="144" t="str">
        <f>IFERROR(INDEX(Расходка[Наименование расходного материала],MATCH(Расходка[№],Поиск_расходки[Индекс4],0)),"")</f>
        <v>Nitrex 260</v>
      </c>
      <c r="V40" s="144" t="str">
        <f>IFERROR(INDEX(Расходка[Наименование расходного материала],MATCH(Расходка[№],Поиск_расходки[Индекс5],0)),"")</f>
        <v>Nitrex 260</v>
      </c>
      <c r="W40" s="144" t="str">
        <f>IFERROR(INDEX(Расходка[Наименование расходного материала],MATCH(Расходка[№],Поиск_расходки[Индекс6],0)),"")</f>
        <v>Nitrex 260</v>
      </c>
      <c r="X40" s="144" t="str">
        <f>IFERROR(INDEX(Расходка[Наименование расходного материала],MATCH(Расходка[№],Поиск_расходки[Индекс7],0)),"")</f>
        <v>Nitrex 260</v>
      </c>
      <c r="Y40" s="144" t="str">
        <f>IFERROR(INDEX(Расходка[Наименование расходного материала],MATCH(Расходка[№],Поиск_расходки[Индекс8],0)),"")</f>
        <v>Nitrex 260</v>
      </c>
      <c r="Z40" s="144" t="str">
        <f>IFERROR(INDEX(Расходка[Наименование расходного материала],MATCH(Расходка[№],Поиск_расходки[Индекс9],0)),"")</f>
        <v>Nitrex 260</v>
      </c>
      <c r="AA40" s="144" t="str">
        <f>IFERROR(INDEX(Расходка[Наименование расходного материала],MATCH(Расходка[№],Поиск_расходки[Индекс10],0)),"")</f>
        <v>Nitrex 260</v>
      </c>
      <c r="AB40" s="144" t="str">
        <f>IFERROR(INDEX(Расходка[Наименование расходного материала],MATCH(Расходка[№],Поиск_расходки[Индекс11],0)),"")</f>
        <v>Nitrex 260</v>
      </c>
      <c r="AC40" s="144" t="str">
        <f>IFERROR(INDEX(Расходка[Наименование расходного материала],MATCH(Расходка[№],Поиск_расходки[Индекс12],0)),"")</f>
        <v>Nitrex 260</v>
      </c>
      <c r="AD40" s="144" t="str">
        <f>IFERROR(INDEX(Расходка[Наименование расходного материала],MATCH(Расходка[№],Поиск_расходки[Индекс13],0)),"")</f>
        <v>Nitrex 260</v>
      </c>
      <c r="AF40" s="4" t="s">
        <v>6</v>
      </c>
      <c r="AG40" s="4" t="s">
        <v>421</v>
      </c>
    </row>
    <row r="41" spans="1:33">
      <c r="A41">
        <v>40</v>
      </c>
      <c r="B41" t="s">
        <v>270</v>
      </c>
      <c r="C41" s="1" t="s">
        <v>415</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40</v>
      </c>
      <c r="G41" s="142">
        <f>IF(ISNUMBER(SEARCH('Карта учёта'!$B$15,Расходка[Наименование расходного материала])),MAX($G$1:G40)+1,0)</f>
        <v>40</v>
      </c>
      <c r="H41" s="142">
        <f>IF(ISNUMBER(SEARCH('Карта учёта'!$B$16,Расходка[Наименование расходного материала])),MAX($H$1:H40)+1,0)</f>
        <v>40</v>
      </c>
      <c r="I41" s="142">
        <f>IF(ISNUMBER(SEARCH('Карта учёта'!$B$17,Расходка[Наименование расходного материала])),MAX($I$1:I40)+1,0)</f>
        <v>40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Oscor 7F</v>
      </c>
      <c r="T41" s="144" t="str">
        <f>IFERROR(INDEX(Расходка[Наименование расходного материала],MATCH(Расходка[№],Поиск_расходки[Индекс3],0)),"")</f>
        <v>Oscor 7F</v>
      </c>
      <c r="U41" s="144" t="str">
        <f>IFERROR(INDEX(Расходка[Наименование расходного материала],MATCH(Расходка[№],Поиск_расходки[Индекс4],0)),"")</f>
        <v>Oscor 7F</v>
      </c>
      <c r="V41" s="144" t="str">
        <f>IFERROR(INDEX(Расходка[Наименование расходного материала],MATCH(Расходка[№],Поиск_расходки[Индекс5],0)),"")</f>
        <v>Oscor 7F</v>
      </c>
      <c r="W41" s="144" t="str">
        <f>IFERROR(INDEX(Расходка[Наименование расходного материала],MATCH(Расходка[№],Поиск_расходки[Индекс6],0)),"")</f>
        <v>Oscor 7F</v>
      </c>
      <c r="X41" s="144" t="str">
        <f>IFERROR(INDEX(Расходка[Наименование расходного материала],MATCH(Расходка[№],Поиск_расходки[Индекс7],0)),"")</f>
        <v>Oscor 7F</v>
      </c>
      <c r="Y41" s="144" t="str">
        <f>IFERROR(INDEX(Расходка[Наименование расходного материала],MATCH(Расходка[№],Поиск_расходки[Индекс8],0)),"")</f>
        <v>Oscor 7F</v>
      </c>
      <c r="Z41" s="144" t="str">
        <f>IFERROR(INDEX(Расходка[Наименование расходного материала],MATCH(Расходка[№],Поиск_расходки[Индекс9],0)),"")</f>
        <v>Oscor 7F</v>
      </c>
      <c r="AA41" s="144" t="str">
        <f>IFERROR(INDEX(Расходка[Наименование расходного материала],MATCH(Расходка[№],Поиск_расходки[Индекс10],0)),"")</f>
        <v>Oscor 7F</v>
      </c>
      <c r="AB41" s="144" t="str">
        <f>IFERROR(INDEX(Расходка[Наименование расходного материала],MATCH(Расходка[№],Поиск_расходки[Индекс11],0)),"")</f>
        <v>Oscor 7F</v>
      </c>
      <c r="AC41" s="144" t="str">
        <f>IFERROR(INDEX(Расходка[Наименование расходного материала],MATCH(Расходка[№],Поиск_расходки[Индекс12],0)),"")</f>
        <v>Oscor 7F</v>
      </c>
      <c r="AD41" s="144" t="str">
        <f>IFERROR(INDEX(Расходка[Наименование расходного материала],MATCH(Расходка[№],Поиск_расходки[Индекс13],0)),"")</f>
        <v>Oscor 7F</v>
      </c>
      <c r="AF41" s="4" t="s">
        <v>6</v>
      </c>
      <c r="AG41" s="4" t="s">
        <v>422</v>
      </c>
    </row>
    <row r="42" spans="1:33">
      <c r="C42" s="1"/>
      <c r="E42"/>
      <c r="F42"/>
      <c r="G42"/>
      <c r="H42"/>
      <c r="I42"/>
      <c r="J42"/>
      <c r="K42"/>
      <c r="L42"/>
      <c r="M42"/>
      <c r="N42"/>
      <c r="O42"/>
      <c r="P42"/>
      <c r="Q42"/>
      <c r="R42"/>
      <c r="S42"/>
      <c r="T42"/>
      <c r="U42"/>
      <c r="V42"/>
      <c r="W42"/>
      <c r="X42"/>
      <c r="Y42"/>
      <c r="Z42"/>
      <c r="AA42"/>
      <c r="AB42"/>
      <c r="AC42"/>
      <c r="AD42"/>
      <c r="AF42" s="4" t="s">
        <v>6</v>
      </c>
      <c r="AG42" s="4" t="s">
        <v>423</v>
      </c>
    </row>
    <row r="43" spans="1:33">
      <c r="E43"/>
      <c r="F43"/>
      <c r="G43"/>
      <c r="H43"/>
      <c r="I43"/>
      <c r="J43"/>
      <c r="K43"/>
      <c r="L43"/>
      <c r="M43"/>
      <c r="N43"/>
      <c r="O43"/>
      <c r="P43"/>
      <c r="Q43"/>
      <c r="R43"/>
      <c r="S43"/>
      <c r="T43"/>
      <c r="U43"/>
      <c r="V43"/>
      <c r="W43"/>
      <c r="X43"/>
      <c r="Y43"/>
      <c r="Z43"/>
      <c r="AA43"/>
      <c r="AB43"/>
      <c r="AC43"/>
      <c r="AD43"/>
      <c r="AF43" s="4" t="s">
        <v>6</v>
      </c>
      <c r="AG43" s="4" t="s">
        <v>437</v>
      </c>
    </row>
    <row r="44" spans="1:33">
      <c r="E44"/>
      <c r="F44"/>
      <c r="G44"/>
      <c r="H44"/>
      <c r="I44"/>
      <c r="J44"/>
      <c r="K44"/>
      <c r="L44"/>
      <c r="M44"/>
      <c r="N44"/>
      <c r="O44"/>
      <c r="P44"/>
      <c r="Q44"/>
      <c r="R44"/>
      <c r="S44"/>
      <c r="T44"/>
      <c r="U44"/>
      <c r="V44"/>
      <c r="W44"/>
      <c r="X44"/>
      <c r="Y44"/>
      <c r="Z44"/>
      <c r="AA44"/>
      <c r="AB44"/>
      <c r="AC44"/>
      <c r="AD44"/>
      <c r="AF44" s="4" t="s">
        <v>6</v>
      </c>
      <c r="AG44" s="4" t="s">
        <v>424</v>
      </c>
    </row>
    <row r="45" spans="1:33">
      <c r="AF45" s="4" t="s">
        <v>6</v>
      </c>
      <c r="AG45" s="4" t="s">
        <v>438</v>
      </c>
    </row>
    <row r="46" spans="1:33">
      <c r="AF46" s="4" t="s">
        <v>6</v>
      </c>
      <c r="AG46" s="4" t="s">
        <v>176</v>
      </c>
    </row>
    <row r="47" spans="1:33">
      <c r="AF47" s="4" t="s">
        <v>6</v>
      </c>
      <c r="AG47" s="4" t="s">
        <v>170</v>
      </c>
    </row>
    <row r="48" spans="1:33">
      <c r="AF48" s="4" t="s">
        <v>6</v>
      </c>
      <c r="AG48" s="4" t="s">
        <v>171</v>
      </c>
    </row>
    <row r="49" spans="3:33">
      <c r="AF49" s="4" t="s">
        <v>6</v>
      </c>
      <c r="AG49" s="4" t="s">
        <v>172</v>
      </c>
    </row>
    <row r="50" spans="3:33">
      <c r="AF50" s="4" t="s">
        <v>6</v>
      </c>
      <c r="AG50" s="4" t="s">
        <v>173</v>
      </c>
    </row>
    <row r="51" spans="3:33">
      <c r="C51" s="1"/>
      <c r="AF51" s="4" t="s">
        <v>6</v>
      </c>
      <c r="AG51" s="4" t="s">
        <v>432</v>
      </c>
    </row>
    <row r="52" spans="3:33">
      <c r="AF52" s="4" t="s">
        <v>6</v>
      </c>
      <c r="AG52" s="4" t="s">
        <v>174</v>
      </c>
    </row>
    <row r="53" spans="3:33">
      <c r="AF53" s="4" t="s">
        <v>6</v>
      </c>
      <c r="AG53" s="4" t="s">
        <v>175</v>
      </c>
    </row>
    <row r="54" spans="3:33">
      <c r="AF54" s="4" t="s">
        <v>6</v>
      </c>
      <c r="AG54" s="4" t="s">
        <v>188</v>
      </c>
    </row>
    <row r="55" spans="3:33">
      <c r="AF55" s="4" t="s">
        <v>6</v>
      </c>
      <c r="AG55" s="4" t="s">
        <v>111</v>
      </c>
    </row>
    <row r="56" spans="3:33">
      <c r="AF56" s="4" t="s">
        <v>6</v>
      </c>
      <c r="AG56" s="4" t="s">
        <v>112</v>
      </c>
    </row>
    <row r="57" spans="3:33">
      <c r="AF57" s="4" t="s">
        <v>6</v>
      </c>
      <c r="AG57" s="4" t="s">
        <v>162</v>
      </c>
    </row>
    <row r="58" spans="3:33">
      <c r="AF58" s="4" t="s">
        <v>6</v>
      </c>
      <c r="AG58" s="4" t="s">
        <v>177</v>
      </c>
    </row>
    <row r="59" spans="3:33">
      <c r="AF59" s="4" t="s">
        <v>6</v>
      </c>
      <c r="AG59" s="4" t="s">
        <v>167</v>
      </c>
    </row>
    <row r="60" spans="3:33">
      <c r="AF60" s="4" t="s">
        <v>6</v>
      </c>
      <c r="AG60" s="4" t="s">
        <v>428</v>
      </c>
    </row>
    <row r="61" spans="3:33">
      <c r="AF61" s="4" t="s">
        <v>6</v>
      </c>
      <c r="AG61" s="4" t="s">
        <v>178</v>
      </c>
    </row>
    <row r="62" spans="3:33">
      <c r="AF62" s="4" t="s">
        <v>6</v>
      </c>
      <c r="AG62" s="4" t="s">
        <v>433</v>
      </c>
    </row>
    <row r="63" spans="3:33">
      <c r="AF63" s="4" t="s">
        <v>6</v>
      </c>
      <c r="AG63" s="4" t="s">
        <v>179</v>
      </c>
    </row>
    <row r="64" spans="3:33">
      <c r="AF64" s="4" t="s">
        <v>6</v>
      </c>
      <c r="AG64" s="4" t="s">
        <v>180</v>
      </c>
    </row>
    <row r="65" spans="32:33">
      <c r="AF65" s="4" t="s">
        <v>6</v>
      </c>
      <c r="AG65" s="4" t="s">
        <v>187</v>
      </c>
    </row>
    <row r="66" spans="32:33">
      <c r="AF66" s="4" t="s">
        <v>6</v>
      </c>
      <c r="AG66" s="4" t="s">
        <v>116</v>
      </c>
    </row>
    <row r="67" spans="32:33">
      <c r="AF67" s="4" t="s">
        <v>6</v>
      </c>
      <c r="AG67" s="4" t="s">
        <v>117</v>
      </c>
    </row>
    <row r="68" spans="32:33">
      <c r="AF68" s="4" t="s">
        <v>6</v>
      </c>
      <c r="AG68" s="4" t="s">
        <v>181</v>
      </c>
    </row>
    <row r="69" spans="32:33">
      <c r="AF69" s="4" t="s">
        <v>6</v>
      </c>
      <c r="AG69" s="4" t="s">
        <v>182</v>
      </c>
    </row>
    <row r="70" spans="32:33">
      <c r="AF70" s="4" t="s">
        <v>6</v>
      </c>
      <c r="AG70" s="4" t="s">
        <v>183</v>
      </c>
    </row>
    <row r="71" spans="32:33">
      <c r="AF71" s="4" t="s">
        <v>6</v>
      </c>
      <c r="AG71" s="4" t="s">
        <v>184</v>
      </c>
    </row>
    <row r="72" spans="32:33">
      <c r="AF72" s="4" t="s">
        <v>6</v>
      </c>
      <c r="AG72" s="4" t="s">
        <v>185</v>
      </c>
    </row>
    <row r="73" spans="32:33">
      <c r="AF73" s="4" t="s">
        <v>6</v>
      </c>
      <c r="AG73" s="4" t="s">
        <v>186</v>
      </c>
    </row>
    <row r="74" spans="32:33">
      <c r="AF74" s="4" t="s">
        <v>6</v>
      </c>
      <c r="AG74" s="4" t="s">
        <v>373</v>
      </c>
    </row>
    <row r="75" spans="32:33">
      <c r="AF75" s="4" t="s">
        <v>6</v>
      </c>
      <c r="AG75" s="4" t="s">
        <v>120</v>
      </c>
    </row>
    <row r="76" spans="32:33">
      <c r="AF76" s="4" t="s">
        <v>6</v>
      </c>
      <c r="AG76" s="4" t="s">
        <v>121</v>
      </c>
    </row>
    <row r="77" spans="32:33">
      <c r="AF77" s="4" t="s">
        <v>6</v>
      </c>
      <c r="AG77" s="4" t="s">
        <v>163</v>
      </c>
    </row>
    <row r="78" spans="32:33">
      <c r="AF78" s="4" t="s">
        <v>6</v>
      </c>
      <c r="AG78" s="4" t="s">
        <v>439</v>
      </c>
    </row>
  </sheetData>
  <sheetProtection sheet="1" objects="1" scenarios="1" formatCells="0" formatColumns="0"/>
  <phoneticPr fontId="15"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7" sqref="E27"/>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238</v>
      </c>
    </row>
    <row r="2" spans="1:5">
      <c r="A2" t="s">
        <v>197</v>
      </c>
      <c r="B2" t="s">
        <v>135</v>
      </c>
      <c r="C2" t="str">
        <f t="shared" ref="C2:C15" si="0">CONCATENATE(A2,B2)</f>
        <v xml:space="preserve">Заведующий отделения: Д.В. Карчевский </v>
      </c>
      <c r="E2" t="s">
        <v>235</v>
      </c>
    </row>
    <row r="3" spans="1:5">
      <c r="A3" t="s">
        <v>152</v>
      </c>
      <c r="B3" t="s">
        <v>137</v>
      </c>
      <c r="C3" t="str">
        <f t="shared" si="0"/>
        <v xml:space="preserve">И/О заведующего отделения: В.Л. Мартынко </v>
      </c>
      <c r="E3" t="s">
        <v>242</v>
      </c>
    </row>
    <row r="4" spans="1:5">
      <c r="A4" t="s">
        <v>136</v>
      </c>
      <c r="B4" t="s">
        <v>146</v>
      </c>
      <c r="C4" t="str">
        <f t="shared" si="0"/>
        <v>Оператор: В.В. Анохин</v>
      </c>
      <c r="E4" t="s">
        <v>236</v>
      </c>
    </row>
    <row r="5" spans="1:5">
      <c r="A5" t="s">
        <v>136</v>
      </c>
      <c r="B5" t="s">
        <v>144</v>
      </c>
      <c r="C5" t="str">
        <f t="shared" si="0"/>
        <v xml:space="preserve">Оператор: А.В. Воронков </v>
      </c>
      <c r="E5" t="s">
        <v>233</v>
      </c>
    </row>
    <row r="6" spans="1:5">
      <c r="A6" t="s">
        <v>136</v>
      </c>
      <c r="B6" t="s">
        <v>147</v>
      </c>
      <c r="C6" t="str">
        <f t="shared" si="0"/>
        <v>Оператор: И.Н. Зимин</v>
      </c>
      <c r="E6" t="s">
        <v>371</v>
      </c>
    </row>
    <row r="7" spans="1:5">
      <c r="A7" t="s">
        <v>136</v>
      </c>
      <c r="B7" t="s">
        <v>135</v>
      </c>
      <c r="C7" t="str">
        <f t="shared" si="0"/>
        <v xml:space="preserve">Оператор: Д.В. Карчевский </v>
      </c>
      <c r="E7" t="s">
        <v>243</v>
      </c>
    </row>
    <row r="8" spans="1:5">
      <c r="A8" t="s">
        <v>136</v>
      </c>
      <c r="B8" t="s">
        <v>137</v>
      </c>
      <c r="C8" t="str">
        <f t="shared" si="0"/>
        <v xml:space="preserve">Оператор: В.Л. Мартынко </v>
      </c>
      <c r="E8" t="s">
        <v>244</v>
      </c>
    </row>
    <row r="9" spans="1:5">
      <c r="A9" t="s">
        <v>136</v>
      </c>
      <c r="B9" t="s">
        <v>142</v>
      </c>
      <c r="C9" t="str">
        <f t="shared" si="0"/>
        <v xml:space="preserve">Оператор: А.С. Меренков </v>
      </c>
      <c r="E9" t="s">
        <v>245</v>
      </c>
    </row>
    <row r="10" spans="1:5">
      <c r="A10" t="s">
        <v>136</v>
      </c>
      <c r="B10" t="s">
        <v>145</v>
      </c>
      <c r="C10" t="str">
        <f t="shared" si="0"/>
        <v xml:space="preserve">Оператор: О.В. Мещеряков </v>
      </c>
      <c r="E10" t="s">
        <v>246</v>
      </c>
    </row>
    <row r="11" spans="1:5">
      <c r="A11" t="s">
        <v>136</v>
      </c>
      <c r="B11" t="s">
        <v>143</v>
      </c>
      <c r="C11" t="str">
        <f t="shared" si="0"/>
        <v xml:space="preserve">Оператор: И.А. Московский </v>
      </c>
      <c r="E11" t="s">
        <v>247</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238</v>
      </c>
      <c r="B19" t="s">
        <v>237</v>
      </c>
    </row>
    <row r="20" spans="1:2">
      <c r="A20" t="s">
        <v>233</v>
      </c>
      <c r="B20" t="s">
        <v>331</v>
      </c>
    </row>
    <row r="21" spans="1:2">
      <c r="A21" t="s">
        <v>233</v>
      </c>
      <c r="B21" t="s">
        <v>239</v>
      </c>
    </row>
    <row r="22" spans="1:2">
      <c r="A22" t="s">
        <v>233</v>
      </c>
      <c r="B22" t="s">
        <v>372</v>
      </c>
    </row>
    <row r="23" spans="1:2">
      <c r="A23" t="s">
        <v>233</v>
      </c>
      <c r="B23" t="s">
        <v>314</v>
      </c>
    </row>
    <row r="24" spans="1:2">
      <c r="A24" t="s">
        <v>233</v>
      </c>
      <c r="B24" t="s">
        <v>328</v>
      </c>
    </row>
    <row r="25" spans="1:2">
      <c r="A25" t="s">
        <v>233</v>
      </c>
      <c r="B25" t="s">
        <v>332</v>
      </c>
    </row>
    <row r="26" spans="1:2">
      <c r="A26" t="s">
        <v>233</v>
      </c>
      <c r="B26" t="s">
        <v>320</v>
      </c>
    </row>
    <row r="27" spans="1:2">
      <c r="A27" t="s">
        <v>233</v>
      </c>
      <c r="B27" t="s">
        <v>319</v>
      </c>
    </row>
    <row r="28" spans="1:2">
      <c r="A28" t="s">
        <v>233</v>
      </c>
      <c r="B28" t="s">
        <v>370</v>
      </c>
    </row>
    <row r="29" spans="1:2">
      <c r="A29" t="s">
        <v>233</v>
      </c>
      <c r="B29" t="s">
        <v>318</v>
      </c>
    </row>
    <row r="30" spans="1:2">
      <c r="A30" t="s">
        <v>233</v>
      </c>
      <c r="B30" t="s">
        <v>334</v>
      </c>
    </row>
    <row r="31" spans="1:2">
      <c r="A31" t="s">
        <v>233</v>
      </c>
      <c r="B31" t="s">
        <v>449</v>
      </c>
    </row>
    <row r="32" spans="1:2">
      <c r="A32" t="s">
        <v>233</v>
      </c>
      <c r="B32" t="s">
        <v>327</v>
      </c>
    </row>
    <row r="33" spans="1:2">
      <c r="A33" t="s">
        <v>233</v>
      </c>
      <c r="B33" t="s">
        <v>313</v>
      </c>
    </row>
    <row r="34" spans="1:2">
      <c r="A34" t="s">
        <v>233</v>
      </c>
      <c r="B34" t="s">
        <v>317</v>
      </c>
    </row>
    <row r="35" spans="1:2">
      <c r="A35" t="s">
        <v>233</v>
      </c>
      <c r="B35" t="s">
        <v>312</v>
      </c>
    </row>
    <row r="36" spans="1:2">
      <c r="A36" t="s">
        <v>233</v>
      </c>
      <c r="B36" t="s">
        <v>330</v>
      </c>
    </row>
    <row r="37" spans="1:2">
      <c r="A37" t="s">
        <v>233</v>
      </c>
      <c r="B37" t="s">
        <v>329</v>
      </c>
    </row>
    <row r="38" spans="1:2">
      <c r="A38" t="s">
        <v>233</v>
      </c>
      <c r="B38" t="s">
        <v>321</v>
      </c>
    </row>
    <row r="39" spans="1:2">
      <c r="A39" t="s">
        <v>233</v>
      </c>
      <c r="B39" t="s">
        <v>315</v>
      </c>
    </row>
    <row r="40" spans="1:2">
      <c r="A40" t="s">
        <v>233</v>
      </c>
      <c r="B40" t="s">
        <v>316</v>
      </c>
    </row>
    <row r="41" spans="1:2">
      <c r="A41" t="s">
        <v>371</v>
      </c>
      <c r="B41" t="s">
        <v>324</v>
      </c>
    </row>
    <row r="42" spans="1:2">
      <c r="A42" t="s">
        <v>371</v>
      </c>
      <c r="B42" t="s">
        <v>325</v>
      </c>
    </row>
    <row r="43" spans="1:2">
      <c r="A43" t="s">
        <v>371</v>
      </c>
      <c r="B43" t="s">
        <v>326</v>
      </c>
    </row>
    <row r="44" spans="1:2">
      <c r="A44" t="s">
        <v>371</v>
      </c>
      <c r="B44" t="s">
        <v>241</v>
      </c>
    </row>
    <row r="45" spans="1:2">
      <c r="A45" t="s">
        <v>371</v>
      </c>
      <c r="B45" t="s">
        <v>322</v>
      </c>
    </row>
    <row r="46" spans="1:2">
      <c r="A46" t="s">
        <v>371</v>
      </c>
      <c r="B46" t="s">
        <v>333</v>
      </c>
    </row>
    <row r="47" spans="1:2">
      <c r="A47" t="s">
        <v>371</v>
      </c>
      <c r="B47" t="s">
        <v>240</v>
      </c>
    </row>
    <row r="48" spans="1:2">
      <c r="A48" t="s">
        <v>371</v>
      </c>
      <c r="B48" t="s">
        <v>323</v>
      </c>
    </row>
    <row r="49" spans="1:2">
      <c r="A49" t="s">
        <v>234</v>
      </c>
      <c r="B49" t="s">
        <v>207</v>
      </c>
    </row>
    <row r="50" spans="1:2">
      <c r="A50" t="s">
        <v>234</v>
      </c>
      <c r="B50" t="s">
        <v>210</v>
      </c>
    </row>
    <row r="51" spans="1:2">
      <c r="A51" t="s">
        <v>234</v>
      </c>
      <c r="B51" t="s">
        <v>213</v>
      </c>
    </row>
    <row r="52" spans="1:2">
      <c r="A52" t="s">
        <v>234</v>
      </c>
      <c r="B52" t="s">
        <v>216</v>
      </c>
    </row>
    <row r="53" spans="1:2">
      <c r="A53" t="s">
        <v>234</v>
      </c>
      <c r="B53" t="s">
        <v>219</v>
      </c>
    </row>
    <row r="54" spans="1:2">
      <c r="A54" t="s">
        <v>234</v>
      </c>
      <c r="B54" t="s">
        <v>222</v>
      </c>
    </row>
    <row r="55" spans="1:2">
      <c r="A55" t="s">
        <v>234</v>
      </c>
      <c r="B55" t="s">
        <v>227</v>
      </c>
    </row>
    <row r="56" spans="1:2">
      <c r="A56" t="s">
        <v>234</v>
      </c>
      <c r="B56" t="s">
        <v>341</v>
      </c>
    </row>
    <row r="57" spans="1:2">
      <c r="A57" t="s">
        <v>234</v>
      </c>
      <c r="B57" t="s">
        <v>229</v>
      </c>
    </row>
    <row r="58" spans="1:2">
      <c r="A58" t="s">
        <v>234</v>
      </c>
      <c r="B58" t="s">
        <v>230</v>
      </c>
    </row>
    <row r="59" spans="1:2">
      <c r="A59" t="s">
        <v>234</v>
      </c>
      <c r="B59" t="s">
        <v>231</v>
      </c>
    </row>
    <row r="60" spans="1:2">
      <c r="A60" t="s">
        <v>234</v>
      </c>
      <c r="B60" t="s">
        <v>232</v>
      </c>
    </row>
    <row r="61" spans="1:2">
      <c r="A61" t="s">
        <v>234</v>
      </c>
      <c r="B61" t="s">
        <v>204</v>
      </c>
    </row>
    <row r="62" spans="1:2">
      <c r="A62" t="s">
        <v>234</v>
      </c>
      <c r="B62" t="s">
        <v>248</v>
      </c>
    </row>
    <row r="63" spans="1:2">
      <c r="A63" t="s">
        <v>235</v>
      </c>
      <c r="B63" t="s">
        <v>425</v>
      </c>
    </row>
    <row r="64" spans="1:2">
      <c r="A64" t="s">
        <v>235</v>
      </c>
      <c r="B64" t="s">
        <v>206</v>
      </c>
    </row>
    <row r="65" spans="1:2">
      <c r="A65" t="s">
        <v>235</v>
      </c>
      <c r="B65" t="s">
        <v>209</v>
      </c>
    </row>
    <row r="66" spans="1:2">
      <c r="A66" t="s">
        <v>235</v>
      </c>
      <c r="B66" t="s">
        <v>203</v>
      </c>
    </row>
    <row r="67" spans="1:2">
      <c r="A67" t="s">
        <v>235</v>
      </c>
      <c r="B67" t="s">
        <v>212</v>
      </c>
    </row>
    <row r="68" spans="1:2">
      <c r="A68" t="s">
        <v>235</v>
      </c>
      <c r="B68" t="s">
        <v>215</v>
      </c>
    </row>
    <row r="69" spans="1:2">
      <c r="A69" t="s">
        <v>235</v>
      </c>
      <c r="B69" t="s">
        <v>218</v>
      </c>
    </row>
    <row r="70" spans="1:2">
      <c r="A70" t="s">
        <v>235</v>
      </c>
      <c r="B70" t="s">
        <v>221</v>
      </c>
    </row>
    <row r="71" spans="1:2">
      <c r="A71" t="s">
        <v>235</v>
      </c>
      <c r="B71" t="s">
        <v>224</v>
      </c>
    </row>
    <row r="72" spans="1:2">
      <c r="A72" t="s">
        <v>235</v>
      </c>
      <c r="B72" t="s">
        <v>226</v>
      </c>
    </row>
    <row r="73" spans="1:2">
      <c r="A73" t="s">
        <v>247</v>
      </c>
      <c r="B73" t="s">
        <v>205</v>
      </c>
    </row>
    <row r="74" spans="1:2">
      <c r="A74" t="s">
        <v>247</v>
      </c>
      <c r="B74" t="s">
        <v>340</v>
      </c>
    </row>
    <row r="75" spans="1:2">
      <c r="A75" t="s">
        <v>247</v>
      </c>
      <c r="B75" t="s">
        <v>208</v>
      </c>
    </row>
    <row r="76" spans="1:2">
      <c r="A76" t="s">
        <v>247</v>
      </c>
      <c r="B76" t="s">
        <v>211</v>
      </c>
    </row>
    <row r="77" spans="1:2">
      <c r="A77" t="s">
        <v>247</v>
      </c>
      <c r="B77" t="s">
        <v>214</v>
      </c>
    </row>
    <row r="78" spans="1:2">
      <c r="A78" t="s">
        <v>247</v>
      </c>
      <c r="B78" t="s">
        <v>217</v>
      </c>
    </row>
    <row r="79" spans="1:2">
      <c r="A79" t="s">
        <v>247</v>
      </c>
      <c r="B79" t="s">
        <v>223</v>
      </c>
    </row>
    <row r="80" spans="1:2">
      <c r="A80" t="s">
        <v>247</v>
      </c>
      <c r="B80" t="s">
        <v>220</v>
      </c>
    </row>
    <row r="81" spans="1:2">
      <c r="A81" t="s">
        <v>247</v>
      </c>
      <c r="B81" t="s">
        <v>225</v>
      </c>
    </row>
    <row r="82" spans="1:2">
      <c r="A82" t="s">
        <v>247</v>
      </c>
      <c r="B82" t="s">
        <v>228</v>
      </c>
    </row>
  </sheetData>
  <sheetProtection sheet="1" objects="1" scenarios="1"/>
  <phoneticPr fontId="15"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lpstr>ЧКВ!Область_печати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2022-06-20T18:27:34Z</cp:lastPrinted>
  <dcterms:created xsi:type="dcterms:W3CDTF">2015-06-05T18:19:34Z</dcterms:created>
  <dcterms:modified xsi:type="dcterms:W3CDTF">2022-06-20T18:51:21Z</dcterms:modified>
</cp:coreProperties>
</file>