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07\29\"/>
    </mc:Choice>
  </mc:AlternateContent>
  <bookViews>
    <workbookView xWindow="-105" yWindow="-105" windowWidth="23250" windowHeight="12570" activeTab="1"/>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_xlnm.Print_Area" localSheetId="1">ЧКВ!$A$1:$H$54</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6"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N10" i="1" s="1"/>
  <c r="N11" i="1" s="1"/>
  <c r="E7" i="1"/>
  <c r="I7" i="1"/>
  <c r="F7" i="1"/>
  <c r="J9" i="1"/>
  <c r="M7" i="1"/>
  <c r="M8" i="1" s="1"/>
  <c r="M9" i="1" s="1"/>
  <c r="O8" i="1"/>
  <c r="O9" i="1" s="1"/>
  <c r="O10" i="1" s="1"/>
  <c r="H8" i="1"/>
  <c r="P12" i="1"/>
  <c r="Q9" i="1"/>
  <c r="L9" i="1"/>
  <c r="K8" i="1"/>
  <c r="E8" i="1" l="1"/>
  <c r="E9" i="1" s="1"/>
  <c r="E10" i="1" s="1"/>
  <c r="I8" i="1"/>
  <c r="I9" i="1" s="1"/>
  <c r="Q10" i="1"/>
  <c r="J10" i="1"/>
  <c r="G9" i="1"/>
  <c r="G10" i="1" s="1"/>
  <c r="H9" i="1"/>
  <c r="F8" i="1"/>
  <c r="F9" i="1" s="1"/>
  <c r="F10" i="1" s="1"/>
  <c r="F11" i="1" s="1"/>
  <c r="F12" i="1" s="1"/>
  <c r="M10" i="1"/>
  <c r="M11" i="1" s="1"/>
  <c r="M12" i="1" s="1"/>
  <c r="K9" i="1"/>
  <c r="N12" i="1"/>
  <c r="P13" i="1"/>
  <c r="Q11" i="1"/>
  <c r="Q12" i="1" s="1"/>
  <c r="Q13" i="1" s="1"/>
  <c r="O11" i="1"/>
  <c r="L10" i="1"/>
  <c r="O12" i="1" l="1"/>
  <c r="J11" i="1"/>
  <c r="K10" i="1"/>
  <c r="I10" i="1"/>
  <c r="I11" i="1" s="1"/>
  <c r="I12" i="1" s="1"/>
  <c r="P14" i="1"/>
  <c r="P15" i="1" s="1"/>
  <c r="H10" i="1"/>
  <c r="H11" i="1" s="1"/>
  <c r="H12" i="1" s="1"/>
  <c r="H13" i="1" s="1"/>
  <c r="N13" i="1"/>
  <c r="AA2" i="1" s="1"/>
  <c r="E11" i="1"/>
  <c r="F13" i="1"/>
  <c r="G11" i="1"/>
  <c r="O13" i="1"/>
  <c r="O14" i="1" s="1"/>
  <c r="L11" i="1"/>
  <c r="L12" i="1" s="1"/>
  <c r="Q14" i="1"/>
  <c r="M13" i="1"/>
  <c r="M14" i="1" s="1"/>
  <c r="K11" i="1"/>
  <c r="I13" i="1" l="1"/>
  <c r="I14" i="1" s="1"/>
  <c r="J12" i="1"/>
  <c r="G12" i="1"/>
  <c r="G13" i="1" s="1"/>
  <c r="J13" i="1"/>
  <c r="J14" i="1" s="1"/>
  <c r="J15" i="1" s="1"/>
  <c r="J16" i="1" s="1"/>
  <c r="N14" i="1"/>
  <c r="N15" i="1" s="1"/>
  <c r="E12" i="1"/>
  <c r="H14" i="1"/>
  <c r="H15" i="1" s="1"/>
  <c r="F14" i="1"/>
  <c r="F15" i="1" s="1"/>
  <c r="I15" i="1"/>
  <c r="M15" i="1"/>
  <c r="O15" i="1"/>
  <c r="L13" i="1"/>
  <c r="L14" i="1" s="1"/>
  <c r="L15" i="1" s="1"/>
  <c r="P16" i="1"/>
  <c r="Q15" i="1"/>
  <c r="K12" i="1"/>
  <c r="J17" i="1" l="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12" i="1"/>
  <c r="AD9" i="1"/>
  <c r="AD11" i="1"/>
  <c r="AD4" i="1"/>
  <c r="AD6" i="1"/>
  <c r="AD3" i="1"/>
  <c r="AD5" i="1"/>
  <c r="AD8" i="1"/>
  <c r="AD10" i="1"/>
  <c r="AD7" i="1"/>
  <c r="AD15" i="1"/>
  <c r="AD13" i="1"/>
  <c r="AD14" i="1"/>
  <c r="M21" i="1"/>
  <c r="O20" i="1"/>
  <c r="AD19" i="1"/>
  <c r="N19" i="1"/>
  <c r="N20" i="1" s="1"/>
  <c r="J22" i="1"/>
  <c r="L18" i="1"/>
  <c r="G16" i="1"/>
  <c r="G17" i="1" s="1"/>
  <c r="F20" i="1"/>
  <c r="Q25" i="1" l="1"/>
  <c r="Q26" i="1" s="1"/>
  <c r="K25" i="1"/>
  <c r="K26" i="1" s="1"/>
  <c r="K27" i="1" s="1"/>
  <c r="E16" i="1"/>
  <c r="E17" i="1" s="1"/>
  <c r="H24" i="1"/>
  <c r="AD24" i="1"/>
  <c r="AD18" i="1"/>
  <c r="AD21" i="1"/>
  <c r="G18" i="1"/>
  <c r="G19" i="1" s="1"/>
  <c r="G20" i="1" s="1"/>
  <c r="AD26" i="1"/>
  <c r="I27" i="1"/>
  <c r="Q27" i="1"/>
  <c r="Q28" i="1" s="1"/>
  <c r="K28" i="1"/>
  <c r="M22" i="1"/>
  <c r="O21" i="1"/>
  <c r="N21" i="1"/>
  <c r="N22" i="1" s="1"/>
  <c r="P23" i="1"/>
  <c r="J23" i="1"/>
  <c r="J24" i="1" s="1"/>
  <c r="L19" i="1"/>
  <c r="L20" i="1" s="1"/>
  <c r="F21" i="1"/>
  <c r="G21" i="1" l="1"/>
  <c r="G22" i="1" s="1"/>
  <c r="G23" i="1" s="1"/>
  <c r="H25" i="1"/>
  <c r="E18" i="1"/>
  <c r="AD27" i="1"/>
  <c r="I28" i="1"/>
  <c r="Q29" i="1"/>
  <c r="K29" i="1"/>
  <c r="P24" i="1"/>
  <c r="M23" i="1"/>
  <c r="O22" i="1"/>
  <c r="J25" i="1"/>
  <c r="N23" i="1"/>
  <c r="L21" i="1"/>
  <c r="F22" i="1"/>
  <c r="H26" i="1" l="1"/>
  <c r="H27" i="1" s="1"/>
  <c r="H28" i="1" s="1"/>
  <c r="H29" i="1" s="1"/>
  <c r="E19" i="1"/>
  <c r="L22" i="1"/>
  <c r="L23" i="1" s="1"/>
  <c r="L24" i="1" s="1"/>
  <c r="M24" i="1"/>
  <c r="K30" i="1"/>
  <c r="Q30" i="1"/>
  <c r="AD25" i="1"/>
  <c r="I29" i="1"/>
  <c r="L25" i="1"/>
  <c r="L26" i="1" s="1"/>
  <c r="J26" i="1"/>
  <c r="J27" i="1" s="1"/>
  <c r="J28" i="1" s="1"/>
  <c r="J29" i="1" s="1"/>
  <c r="J30" i="1" s="1"/>
  <c r="J31" i="1" s="1"/>
  <c r="J32" i="1" s="1"/>
  <c r="J33" i="1" s="1"/>
  <c r="J34" i="1" s="1"/>
  <c r="J35" i="1" s="1"/>
  <c r="J36" i="1" s="1"/>
  <c r="J37" i="1" s="1"/>
  <c r="J38" i="1" s="1"/>
  <c r="J39" i="1" s="1"/>
  <c r="J40" i="1" s="1"/>
  <c r="J41" i="1" s="1"/>
  <c r="J42" i="1" s="1"/>
  <c r="J43" i="1" s="1"/>
  <c r="G24" i="1"/>
  <c r="P25" i="1"/>
  <c r="N24" i="1"/>
  <c r="AA9" i="1"/>
  <c r="O23" i="1"/>
  <c r="O24" i="1" s="1"/>
  <c r="AA18" i="1"/>
  <c r="F23" i="1"/>
  <c r="F24" i="1" s="1"/>
  <c r="W42" i="1" l="1"/>
  <c r="W43" i="1"/>
  <c r="W41" i="1"/>
  <c r="W39" i="1"/>
  <c r="W40" i="1"/>
  <c r="H30" i="1"/>
  <c r="H31" i="1" s="1"/>
  <c r="E20" i="1"/>
  <c r="M25" i="1"/>
  <c r="M26" i="1" s="1"/>
  <c r="H32" i="1"/>
  <c r="AD30" i="1"/>
  <c r="Q31" i="1"/>
  <c r="K31" i="1"/>
  <c r="I30" i="1"/>
  <c r="L27" i="1"/>
  <c r="AA13" i="1"/>
  <c r="G25" i="1"/>
  <c r="G26" i="1" s="1"/>
  <c r="W2" i="1"/>
  <c r="P26" i="1"/>
  <c r="N25" i="1"/>
  <c r="AC18" i="1"/>
  <c r="AC24" i="1"/>
  <c r="AC4" i="1"/>
  <c r="AC10" i="1"/>
  <c r="AC3" i="1"/>
  <c r="AC13" i="1"/>
  <c r="AC9" i="1"/>
  <c r="AC5" i="1"/>
  <c r="AC6" i="1"/>
  <c r="AC8" i="1"/>
  <c r="AC14" i="1"/>
  <c r="AC12" i="1"/>
  <c r="AC11" i="1"/>
  <c r="AC7" i="1"/>
  <c r="AC21" i="1"/>
  <c r="AC19" i="1"/>
  <c r="AC15" i="1"/>
  <c r="AA4" i="1"/>
  <c r="AA21" i="1"/>
  <c r="AA15" i="1"/>
  <c r="AA8" i="1"/>
  <c r="AA12" i="1"/>
  <c r="AA10" i="1"/>
  <c r="AA3" i="1"/>
  <c r="AA6" i="1"/>
  <c r="AA24" i="1"/>
  <c r="AA11" i="1"/>
  <c r="AA5" i="1"/>
  <c r="AA14" i="1"/>
  <c r="AA19" i="1"/>
  <c r="O25" i="1"/>
  <c r="O26" i="1" s="1"/>
  <c r="F25" i="1"/>
  <c r="E21" i="1" l="1"/>
  <c r="Q32" i="1"/>
  <c r="Q33" i="1" s="1"/>
  <c r="AD17" i="1" s="1"/>
  <c r="G27" i="1"/>
  <c r="G28" i="1" s="1"/>
  <c r="H33" i="1"/>
  <c r="H34" i="1" s="1"/>
  <c r="H35" i="1" s="1"/>
  <c r="H36" i="1" s="1"/>
  <c r="H37" i="1" s="1"/>
  <c r="H38" i="1" s="1"/>
  <c r="H39" i="1" s="1"/>
  <c r="H40" i="1" s="1"/>
  <c r="H41" i="1" s="1"/>
  <c r="H42" i="1" s="1"/>
  <c r="H43" i="1" s="1"/>
  <c r="I31" i="1"/>
  <c r="I32" i="1" s="1"/>
  <c r="I33" i="1" s="1"/>
  <c r="I34" i="1" s="1"/>
  <c r="I35" i="1" s="1"/>
  <c r="I36" i="1" s="1"/>
  <c r="I37" i="1" s="1"/>
  <c r="I38" i="1" s="1"/>
  <c r="I39" i="1" s="1"/>
  <c r="I40" i="1" s="1"/>
  <c r="I41" i="1" s="1"/>
  <c r="I42" i="1" s="1"/>
  <c r="I43" i="1" s="1"/>
  <c r="K32" i="1"/>
  <c r="K33" i="1" s="1"/>
  <c r="K34" i="1" s="1"/>
  <c r="K35" i="1" s="1"/>
  <c r="K36" i="1" s="1"/>
  <c r="K37" i="1" s="1"/>
  <c r="K38" i="1" s="1"/>
  <c r="K39" i="1" s="1"/>
  <c r="K40" i="1" s="1"/>
  <c r="K41" i="1" s="1"/>
  <c r="K42" i="1" s="1"/>
  <c r="AD31" i="1"/>
  <c r="AD29" i="1"/>
  <c r="AD28" i="1"/>
  <c r="L28" i="1"/>
  <c r="L29" i="1" s="1"/>
  <c r="M27" i="1"/>
  <c r="AB26" i="1"/>
  <c r="O27" i="1"/>
  <c r="AC26" i="1"/>
  <c r="P27" i="1"/>
  <c r="F26" i="1"/>
  <c r="F27" i="1" s="1"/>
  <c r="N26" i="1"/>
  <c r="AB2" i="1"/>
  <c r="AB5" i="1"/>
  <c r="AB4" i="1"/>
  <c r="AB3" i="1"/>
  <c r="AB7" i="1"/>
  <c r="AB6" i="1"/>
  <c r="AB8" i="1"/>
  <c r="AB9" i="1"/>
  <c r="AB13" i="1"/>
  <c r="AB12" i="1"/>
  <c r="AB10" i="1"/>
  <c r="AB11" i="1"/>
  <c r="AB15" i="1"/>
  <c r="AB14" i="1"/>
  <c r="AB18" i="1"/>
  <c r="AB24" i="1"/>
  <c r="AB21" i="1"/>
  <c r="AB19" i="1"/>
  <c r="K43" i="1" l="1"/>
  <c r="X43" i="1" s="1"/>
  <c r="V42" i="1"/>
  <c r="V43" i="1"/>
  <c r="U42" i="1"/>
  <c r="U43" i="1"/>
  <c r="X2" i="1"/>
  <c r="V39" i="1"/>
  <c r="V40" i="1"/>
  <c r="V41" i="1"/>
  <c r="U41" i="1"/>
  <c r="U39" i="1"/>
  <c r="U40" i="1"/>
  <c r="V2" i="1"/>
  <c r="U2" i="1"/>
  <c r="E22" i="1"/>
  <c r="E23" i="1" s="1"/>
  <c r="E24" i="1" s="1"/>
  <c r="Q34" i="1"/>
  <c r="N27" i="1"/>
  <c r="AA27" i="1" s="1"/>
  <c r="M28" i="1"/>
  <c r="M29" i="1" s="1"/>
  <c r="L30" i="1"/>
  <c r="G29" i="1"/>
  <c r="F28" i="1"/>
  <c r="N28" i="1"/>
  <c r="AC27" i="1"/>
  <c r="P28" i="1"/>
  <c r="AB27" i="1"/>
  <c r="O28" i="1"/>
  <c r="AA26" i="1"/>
  <c r="AA7" i="1"/>
  <c r="X40" i="1" l="1"/>
  <c r="X42" i="1"/>
  <c r="X41" i="1"/>
  <c r="X39" i="1"/>
  <c r="G30" i="1"/>
  <c r="Q35" i="1"/>
  <c r="Q36" i="1" s="1"/>
  <c r="Q37" i="1" s="1"/>
  <c r="Q38" i="1" s="1"/>
  <c r="Q39" i="1" s="1"/>
  <c r="Q40" i="1" s="1"/>
  <c r="Q41" i="1" s="1"/>
  <c r="Q42" i="1" s="1"/>
  <c r="E25" i="1"/>
  <c r="AD16" i="1"/>
  <c r="AD35" i="1"/>
  <c r="AD34" i="1"/>
  <c r="AD20" i="1"/>
  <c r="AD23" i="1"/>
  <c r="AD22" i="1"/>
  <c r="G31" i="1"/>
  <c r="G32" i="1" s="1"/>
  <c r="G33" i="1" s="1"/>
  <c r="G34" i="1" s="1"/>
  <c r="G35" i="1" s="1"/>
  <c r="G36" i="1" s="1"/>
  <c r="G37" i="1" s="1"/>
  <c r="G38" i="1" s="1"/>
  <c r="G39" i="1" s="1"/>
  <c r="G40" i="1" s="1"/>
  <c r="G41" i="1" s="1"/>
  <c r="L31" i="1"/>
  <c r="L32" i="1" s="1"/>
  <c r="M30" i="1"/>
  <c r="F29" i="1"/>
  <c r="F30" i="1" s="1"/>
  <c r="N29" i="1"/>
  <c r="P29" i="1"/>
  <c r="O29" i="1"/>
  <c r="G42" i="1" l="1"/>
  <c r="AD42" i="1"/>
  <c r="AD43" i="1"/>
  <c r="Q43" i="1"/>
  <c r="G43" i="1"/>
  <c r="T39" i="1" s="1"/>
  <c r="AD41" i="1"/>
  <c r="AD39" i="1"/>
  <c r="AD40" i="1"/>
  <c r="T41" i="1"/>
  <c r="AD37" i="1"/>
  <c r="AD38" i="1"/>
  <c r="AD36" i="1"/>
  <c r="E26" i="1"/>
  <c r="F31" i="1"/>
  <c r="F32" i="1" s="1"/>
  <c r="F33" i="1" s="1"/>
  <c r="F34" i="1" s="1"/>
  <c r="F35" i="1" s="1"/>
  <c r="F36" i="1" s="1"/>
  <c r="F37" i="1" s="1"/>
  <c r="F38" i="1" s="1"/>
  <c r="F39" i="1" s="1"/>
  <c r="F40" i="1" s="1"/>
  <c r="F41" i="1" s="1"/>
  <c r="F42" i="1" s="1"/>
  <c r="F43" i="1" s="1"/>
  <c r="L33" i="1"/>
  <c r="M31" i="1"/>
  <c r="N30" i="1"/>
  <c r="O30" i="1"/>
  <c r="P30" i="1"/>
  <c r="AC25" i="1"/>
  <c r="AB25" i="1"/>
  <c r="AA25" i="1"/>
  <c r="S42" i="1" l="1"/>
  <c r="S43" i="1"/>
  <c r="T43" i="1"/>
  <c r="T2" i="1"/>
  <c r="T40" i="1"/>
  <c r="T42" i="1"/>
  <c r="S40" i="1"/>
  <c r="S41" i="1"/>
  <c r="S39" i="1"/>
  <c r="AD33" i="1"/>
  <c r="AD32" i="1"/>
  <c r="E27" i="1"/>
  <c r="M32" i="1"/>
  <c r="M33" i="1" s="1"/>
  <c r="L34" i="1"/>
  <c r="S2" i="1"/>
  <c r="AC30" i="1"/>
  <c r="P31" i="1"/>
  <c r="AB30" i="1"/>
  <c r="O31" i="1"/>
  <c r="AA30" i="1"/>
  <c r="N31" i="1"/>
  <c r="E28" i="1" l="1"/>
  <c r="L35" i="1"/>
  <c r="M34" i="1"/>
  <c r="AB31" i="1"/>
  <c r="O32" i="1"/>
  <c r="O33" i="1" s="1"/>
  <c r="AA31" i="1"/>
  <c r="N32" i="1"/>
  <c r="N33" i="1" s="1"/>
  <c r="AC31" i="1"/>
  <c r="P32" i="1"/>
  <c r="P33" i="1" s="1"/>
  <c r="AA29" i="1"/>
  <c r="AB29" i="1"/>
  <c r="AC29" i="1"/>
  <c r="AC28" i="1"/>
  <c r="AA28" i="1"/>
  <c r="AB28" i="1"/>
  <c r="E29" i="1" l="1"/>
  <c r="E30" i="1" s="1"/>
  <c r="E31" i="1" s="1"/>
  <c r="L36" i="1"/>
  <c r="M35" i="1"/>
  <c r="AC17" i="1"/>
  <c r="P34" i="1"/>
  <c r="P35" i="1" s="1"/>
  <c r="P36" i="1" s="1"/>
  <c r="P37" i="1" s="1"/>
  <c r="P38" i="1" s="1"/>
  <c r="P39" i="1" s="1"/>
  <c r="P40" i="1" s="1"/>
  <c r="P41" i="1" s="1"/>
  <c r="P42" i="1" s="1"/>
  <c r="AA17" i="1"/>
  <c r="N34" i="1"/>
  <c r="N35" i="1" s="1"/>
  <c r="N36" i="1" s="1"/>
  <c r="N37" i="1" s="1"/>
  <c r="N38" i="1" s="1"/>
  <c r="N39" i="1" s="1"/>
  <c r="N40" i="1" s="1"/>
  <c r="N41" i="1" s="1"/>
  <c r="N42" i="1" s="1"/>
  <c r="AB17" i="1"/>
  <c r="O34" i="1"/>
  <c r="O35" i="1" s="1"/>
  <c r="O36" i="1" s="1"/>
  <c r="O37" i="1" s="1"/>
  <c r="O38" i="1" s="1"/>
  <c r="O39" i="1" s="1"/>
  <c r="O40" i="1" s="1"/>
  <c r="O41" i="1" s="1"/>
  <c r="O42" i="1" s="1"/>
  <c r="AB42" i="1" l="1"/>
  <c r="AB43" i="1"/>
  <c r="O43" i="1"/>
  <c r="AA42" i="1"/>
  <c r="N43" i="1"/>
  <c r="AA43" i="1"/>
  <c r="AC42" i="1"/>
  <c r="P43" i="1"/>
  <c r="AC43" i="1" s="1"/>
  <c r="AA41" i="1"/>
  <c r="AA40" i="1"/>
  <c r="AA39" i="1"/>
  <c r="AB39" i="1"/>
  <c r="AB40" i="1"/>
  <c r="AB41" i="1"/>
  <c r="AC40" i="1"/>
  <c r="AC41" i="1"/>
  <c r="AC39" i="1"/>
  <c r="AB38" i="1"/>
  <c r="AB32" i="1"/>
  <c r="AA38" i="1"/>
  <c r="AA32" i="1"/>
  <c r="AC38" i="1"/>
  <c r="AC32" i="1"/>
  <c r="E32" i="1"/>
  <c r="E33" i="1" s="1"/>
  <c r="E34" i="1" s="1"/>
  <c r="L37" i="1"/>
  <c r="AA37" i="1"/>
  <c r="AA16" i="1"/>
  <c r="AC37" i="1"/>
  <c r="AC16" i="1"/>
  <c r="AB37" i="1"/>
  <c r="AB16" i="1"/>
  <c r="M36" i="1"/>
  <c r="AB36" i="1"/>
  <c r="AB35" i="1"/>
  <c r="AA36" i="1"/>
  <c r="AA35" i="1"/>
  <c r="AC36" i="1"/>
  <c r="AC35" i="1"/>
  <c r="AB20" i="1"/>
  <c r="AB23" i="1"/>
  <c r="AA23" i="1"/>
  <c r="AA20" i="1"/>
  <c r="AC23" i="1"/>
  <c r="AC20" i="1"/>
  <c r="AB34" i="1"/>
  <c r="AB22" i="1"/>
  <c r="AA34" i="1"/>
  <c r="AA22" i="1"/>
  <c r="AC34" i="1"/>
  <c r="AC22" i="1"/>
  <c r="AA33" i="1" l="1"/>
  <c r="L38" i="1"/>
  <c r="L39" i="1" s="1"/>
  <c r="AC33" i="1"/>
  <c r="AB33" i="1"/>
  <c r="E35" i="1"/>
  <c r="E36" i="1" s="1"/>
  <c r="M37" i="1"/>
  <c r="L40" i="1" l="1"/>
  <c r="E37" i="1"/>
  <c r="E38" i="1" s="1"/>
  <c r="E39" i="1" s="1"/>
  <c r="E40" i="1" s="1"/>
  <c r="E41" i="1" s="1"/>
  <c r="E42" i="1" s="1"/>
  <c r="E43" i="1" s="1"/>
  <c r="M38" i="1"/>
  <c r="M39" i="1" s="1"/>
  <c r="M40" i="1" s="1"/>
  <c r="R42" i="1" l="1"/>
  <c r="R43" i="1"/>
  <c r="R40" i="1"/>
  <c r="R41" i="1"/>
  <c r="R39" i="1"/>
  <c r="M41" i="1"/>
  <c r="Z16" i="1"/>
  <c r="Z25" i="1"/>
  <c r="Z10" i="1"/>
  <c r="Z13" i="1"/>
  <c r="Z24" i="1"/>
  <c r="Z29" i="1"/>
  <c r="Z14" i="1"/>
  <c r="Z15" i="1"/>
  <c r="Z12" i="1"/>
  <c r="Z4" i="1"/>
  <c r="Z21" i="1"/>
  <c r="Z27" i="1"/>
  <c r="Z6" i="1"/>
  <c r="Z8" i="1"/>
  <c r="L41" i="1"/>
  <c r="Z36" i="1"/>
  <c r="R25" i="1"/>
  <c r="Z38" i="1"/>
  <c r="R2" i="1"/>
  <c r="R30" i="1"/>
  <c r="R38" i="1"/>
  <c r="R4" i="1"/>
  <c r="R32" i="1"/>
  <c r="R35" i="1"/>
  <c r="R21" i="1"/>
  <c r="R13" i="1"/>
  <c r="R7" i="1"/>
  <c r="R29" i="1"/>
  <c r="R17" i="1"/>
  <c r="R3" i="1"/>
  <c r="R18" i="1"/>
  <c r="R24" i="1"/>
  <c r="R26" i="1"/>
  <c r="R5" i="1"/>
  <c r="R23" i="1"/>
  <c r="R6" i="1"/>
  <c r="R22" i="1"/>
  <c r="R10" i="1"/>
  <c r="R19" i="1"/>
  <c r="R12" i="1"/>
  <c r="R15" i="1"/>
  <c r="R27" i="1"/>
  <c r="R16" i="1"/>
  <c r="R20" i="1"/>
  <c r="R8" i="1"/>
  <c r="R9" i="1"/>
  <c r="R34" i="1"/>
  <c r="R33" i="1"/>
  <c r="R36" i="1"/>
  <c r="R37" i="1"/>
  <c r="R28" i="1"/>
  <c r="R31" i="1"/>
  <c r="R11" i="1"/>
  <c r="R14" i="1"/>
  <c r="Z2" i="1" l="1"/>
  <c r="M42" i="1"/>
  <c r="L42" i="1"/>
  <c r="Y2" i="1"/>
  <c r="Z23" i="1"/>
  <c r="Z32" i="1"/>
  <c r="Z30" i="1"/>
  <c r="Z7" i="1"/>
  <c r="Z35" i="1"/>
  <c r="Z19" i="1"/>
  <c r="Z5" i="1"/>
  <c r="Z22" i="1"/>
  <c r="Z18" i="1"/>
  <c r="Z34" i="1"/>
  <c r="Z9" i="1"/>
  <c r="Z11" i="1"/>
  <c r="Z17" i="1"/>
  <c r="Z26" i="1"/>
  <c r="Z37" i="1"/>
  <c r="Z20" i="1"/>
  <c r="Z3" i="1"/>
  <c r="Z39" i="1"/>
  <c r="Z41" i="1"/>
  <c r="Z40" i="1"/>
  <c r="Z31" i="1"/>
  <c r="Z28" i="1"/>
  <c r="Z33"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Z42" i="1" l="1"/>
  <c r="M43" i="1"/>
  <c r="Z43" i="1" s="1"/>
  <c r="L43" i="1"/>
  <c r="Y42" i="1" s="1"/>
  <c r="T5" i="1"/>
  <c r="T3" i="1"/>
  <c r="T4" i="1"/>
  <c r="T37" i="1"/>
  <c r="T34" i="1"/>
  <c r="T35" i="1"/>
  <c r="T15" i="1"/>
  <c r="T24" i="1"/>
  <c r="T6" i="1"/>
  <c r="T11" i="1"/>
  <c r="T25" i="1"/>
  <c r="T12" i="1"/>
  <c r="T9" i="1"/>
  <c r="T23" i="1"/>
  <c r="T16" i="1"/>
  <c r="T20" i="1"/>
  <c r="T30" i="1"/>
  <c r="T33" i="1"/>
  <c r="T38" i="1"/>
  <c r="T36" i="1"/>
  <c r="T19" i="1"/>
  <c r="T21" i="1"/>
  <c r="T14" i="1"/>
  <c r="T17" i="1"/>
  <c r="T28" i="1"/>
  <c r="T7" i="1"/>
  <c r="T8" i="1"/>
  <c r="T26" i="1"/>
  <c r="T13" i="1"/>
  <c r="T22" i="1"/>
  <c r="T18" i="1"/>
  <c r="T10" i="1"/>
  <c r="T27" i="1"/>
  <c r="T29" i="1"/>
  <c r="T31" i="1"/>
  <c r="T32" i="1"/>
  <c r="Y6" i="1" l="1"/>
  <c r="Y14" i="1"/>
  <c r="Y43" i="1"/>
  <c r="Y11" i="1"/>
  <c r="Y38" i="1"/>
  <c r="Y39" i="1"/>
  <c r="Y15" i="1"/>
  <c r="Y28" i="1"/>
  <c r="Y24" i="1"/>
  <c r="Y4" i="1"/>
  <c r="Y27" i="1"/>
  <c r="Y16" i="1"/>
  <c r="Y31" i="1"/>
  <c r="Y36" i="1"/>
  <c r="Y32" i="1"/>
  <c r="Y26" i="1"/>
  <c r="Y25" i="1"/>
  <c r="Y9" i="1"/>
  <c r="Y13" i="1"/>
  <c r="Y30" i="1"/>
  <c r="Y34" i="1"/>
  <c r="Y41" i="1"/>
  <c r="Y40" i="1"/>
  <c r="Y20" i="1"/>
  <c r="Y8" i="1"/>
  <c r="Y10" i="1"/>
  <c r="Y12" i="1"/>
  <c r="Y3" i="1"/>
  <c r="Y37" i="1"/>
  <c r="Y29" i="1"/>
  <c r="Y17" i="1"/>
  <c r="Y18" i="1"/>
  <c r="Y21" i="1"/>
  <c r="Y22" i="1"/>
  <c r="Y35" i="1"/>
  <c r="Y23" i="1"/>
  <c r="Y33" i="1"/>
  <c r="Y19" i="1"/>
  <c r="Y5" i="1"/>
  <c r="Y7" i="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X8" i="1" l="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V3" i="1" l="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W14" i="1" l="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<sst xmlns="http://schemas.openxmlformats.org/spreadsheetml/2006/main" count="724" uniqueCount="466">
  <si>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</si>
  <si>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</si>
  <si>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</si>
  <si>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</si>
  <si>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</si>
  <si>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</si>
  <si>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</si>
  <si>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</si>
  <si>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</si>
  <si>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</si>
  <si>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</si>
  <si>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</si>
  <si>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</si>
  <si>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</si>
  <si>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</si>
  <si>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</si>
  <si>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</si>
  <si>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</si>
  <si>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</si>
  <si>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</si>
  <si>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</si>
  <si>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</si>
  <si>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</si>
  <si>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</si>
  <si>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</si>
  <si>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</si>
  <si>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</si>
  <si>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</si>
  <si>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</si>
  <si>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</si>
  <si>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</si>
  <si>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</si>
  <si>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</si>
  <si>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</si>
  <si>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</si>
  <si>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</si>
  <si>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</si>
  <si>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</si>
  <si>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</si>
  <si>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</si>
  <si>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</si>
  <si>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</si>
  <si>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</si>
  <si>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</si>
  <si>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</si>
  <si>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</si>
  <si>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</si>
  <si>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</si>
  <si>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</si>
  <si>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</si>
  <si>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</si>
  <si>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</si>
  <si>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</si>
  <si>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</si>
  <si>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</si>
  <si>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</si>
  <si>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</si>
  <si>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</si>
  <si>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</si>
  <si>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</si>
  <si>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</si>
  <si>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</si>
  <si>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</si>
  <si>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</si>
  <si>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</si>
  <si>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</si>
  <si>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</si>
  <si>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</si>
  <si>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</si>
  <si>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</si>
  <si>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</si>
  <si>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</si>
  <si>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</si>
  <si>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</si>
  <si>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</si>
  <si>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</si>
  <si>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</si>
  <si>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</si>
  <si>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</si>
  <si>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</si>
  <si>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</si>
  <si>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</si>
  <si>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</si>
  <si>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</si>
  <si>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</si>
  <si>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</si>
  <si>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</si>
  <si>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</si>
  <si>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</si>
  <si>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</si>
  <si>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</si>
  <si>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</si>
  <si>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</si>
  <si>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</si>
  <si>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</si>
  <si>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</si>
  <si>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</si>
  <si>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</si>
  <si>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</si>
  <si>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</si>
  <si>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</si>
  <si>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</si>
  <si>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</si>
  <si>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</si>
  <si>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</si>
  <si>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</si>
  <si>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</si>
  <si>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</si>
  <si>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</si>
  <si>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</si>
  <si>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</si>
  <si>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</si>
  <si>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</si>
  <si>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</si>
  <si>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</si>
  <si>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</si>
  <si>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</si>
  <si>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</si>
  <si>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</si>
  <si>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</si>
  <si>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</si>
  <si>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</si>
  <si>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</si>
  <si>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</si>
  <si>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</si>
  <si>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</si>
  <si>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</si>
  <si>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</si>
  <si>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</si>
  <si>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</si>
  <si>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</si>
  <si>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</si>
  <si>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</si>
  <si>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</si>
  <si>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</si>
  <si>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</si>
  <si>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</si>
  <si>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</si>
  <si>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</si>
  <si>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</si>
  <si>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</si>
  <si>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</si>
  <si>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</si>
  <si>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</si>
  <si>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</si>
  <si>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</si>
  <si>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</si>
  <si>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</si>
  <si>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</si>
  <si>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</si>
  <si>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</si>
  <si>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</si>
  <si>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</si>
  <si>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</si>
  <si>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</si>
  <si>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</si>
  <si>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Коронарный проводник</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</si>
  <si>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</si>
  <si>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</si>
  <si>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</si>
  <si>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</si>
  <si>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</si>
  <si>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</si>
  <si>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</si>
  <si>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</si>
  <si>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</si>
  <si>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</si>
  <si>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</si>
  <si>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</si>
  <si>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</si>
  <si>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</si>
  <si>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</si>
  <si>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</si>
  <si>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</si>
  <si>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</si>
  <si>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</si>
  <si>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</si>
  <si>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</si>
  <si>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</si>
  <si>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</si>
  <si>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</si>
  <si>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</si>
  <si>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</si>
  <si>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</si>
  <si>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</si>
  <si>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</si>
  <si>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</si>
  <si>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</si>
  <si>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</si>
  <si>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</si>
  <si>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</si>
  <si>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</si>
  <si>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</si>
  <si>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</si>
  <si>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</si>
  <si>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</si>
  <si>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</si>
  <si>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</si>
  <si>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</si>
  <si>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</si>
  <si>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</si>
  <si>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</si>
  <si>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</si>
  <si>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</si>
  <si>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</si>
  <si>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</si>
  <si>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</si>
  <si>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</si>
  <si>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</si>
  <si>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</si>
  <si>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</si>
  <si>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</si>
  <si>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</si>
  <si>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</si>
  <si>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</si>
  <si>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</si>
  <si>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</si>
  <si>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</si>
  <si>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</si>
  <si>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</si>
  <si>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</si>
  <si>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</si>
  <si>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</si>
  <si>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</si>
  <si>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</si>
  <si>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</si>
  <si>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</si>
  <si>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</si>
  <si>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</si>
  <si>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</si>
  <si>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</si>
  <si>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</si>
  <si>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</si>
  <si>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</si>
  <si>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</si>
  <si>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</si>
  <si>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</si>
  <si>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</si>
  <si>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</si>
  <si>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</si>
  <si>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</si>
  <si>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</si>
  <si>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</si>
  <si>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</si>
  <si>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</si>
  <si>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</si>
  <si>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</si>
  <si>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</si>
  <si>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</si>
  <si>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</si>
  <si>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</si>
  <si>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</si>
  <si>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</si>
  <si>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</si>
  <si>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</si>
  <si>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</si>
  <si>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</si>
  <si>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</si>
  <si>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</si>
  <si>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</si>
  <si>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</si>
  <si>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</si>
  <si>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</si>
  <si>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</si>
  <si>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</si>
  <si>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</si>
  <si>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</si>
  <si>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</si>
  <si>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</si>
  <si>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</si>
  <si>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</si>
  <si>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</si>
  <si>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</si>
  <si>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</si>
  <si>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</si>
  <si>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</si>
  <si>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</si>
  <si>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</si>
  <si>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</si>
  <si>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</si>
  <si>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</si>
  <si>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</si>
  <si>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</si>
  <si>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</si>
  <si>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</si>
  <si>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</si>
  <si>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</si>
  <si>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</si>
  <si>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</si>
  <si>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</si>
  <si>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</si>
  <si>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</si>
  <si>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</si>
  <si>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</si>
  <si>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</si>
  <si>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</si>
  <si>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</si>
  <si>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</si>
  <si>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</si>
  <si>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</si>
  <si>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</si>
  <si>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</si>
  <si>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</si>
  <si>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</si>
  <si>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</si>
  <si>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</si>
  <si>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</si>
  <si>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</si>
  <si>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</si>
  <si>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</si>
  <si>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</si>
  <si>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</si>
  <si>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</si>
  <si>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</si>
  <si>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</si>
  <si>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</si>
  <si>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</si>
  <si>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</si>
  <si>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</si>
  <si>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</si>
  <si>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</si>
  <si>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</si>
  <si>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</si>
  <si>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</si>
  <si>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</si>
  <si>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</si>
  <si>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</si>
  <si>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</si>
  <si>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</si>
  <si>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</si>
  <si>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</si>
  <si>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</si>
  <si>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</si>
  <si>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</si>
  <si>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</si>
  <si>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</si>
  <si>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</si>
  <si>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</si>
  <si>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</si>
  <si>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</si>
  <si>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</si>
  <si>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</si>
  <si>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</si>
  <si>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Старшая мед.сетра: О.Н. Черткова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</si>
  <si>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</si>
  <si>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</si>
  <si>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</si>
  <si>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</si>
  <si>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</si>
  <si>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</si>
  <si>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</si>
  <si>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</si>
  <si>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</si>
  <si>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</si>
  <si>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</si>
  <si>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</si>
  <si>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</si>
  <si>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</si>
  <si>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</si>
  <si>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</si>
  <si>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</si>
  <si>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</si>
  <si>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</si>
  <si>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</si>
  <si>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</si>
  <si>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</si>
  <si>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</si>
  <si>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</si>
  <si>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</si>
  <si>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</si>
  <si>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</si>
  <si>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</si>
  <si>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</si>
  <si>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</si>
  <si>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</si>
  <si>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</si>
  <si>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</si>
  <si>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</si>
  <si>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</si>
  <si>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</si>
  <si>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</si>
  <si>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</si>
  <si>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</si>
  <si>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</si>
  <si>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</si>
  <si>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</si>
  <si>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</si>
  <si>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</si>
  <si>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</si>
  <si>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</si>
  <si>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</si>
  <si>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</si>
  <si>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</si>
  <si>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</si>
  <si>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</si>
  <si>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</si>
  <si>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</si>
  <si>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</si>
  <si>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</si>
  <si>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</si>
  <si>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</si>
  <si>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</si>
  <si>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</si>
  <si>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</si>
  <si>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</si>
  <si>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</si>
  <si>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</si>
  <si>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</si>
  <si>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</si>
  <si>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</si>
  <si>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</si>
  <si>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</si>
  <si>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</si>
  <si>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</si>
  <si>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</si>
  <si>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</si>
  <si>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</si>
  <si>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</si>
  <si>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</si>
  <si>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</si>
  <si>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</si>
  <si>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</si>
  <si>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</si>
  <si>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</si>
  <si>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</si>
  <si>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</si>
  <si>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</si>
  <si>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</si>
  <si>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</si>
  <si>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</si>
  <si>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</si>
  <si>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</si>
  <si>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</si>
  <si>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</si>
  <si>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</si>
  <si>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</si>
  <si>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</si>
  <si>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</si>
  <si>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</si>
  <si>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</si>
  <si>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</si>
  <si>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</si>
  <si>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</si>
  <si>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</si>
  <si>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</si>
  <si>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</si>
  <si>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</si>
  <si>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</si>
  <si>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</si>
  <si>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 xml:space="preserve">Заведующий отделения: Д.В. Карчевский </t>
  </si>
  <si>
    <t>Runthrough NS (Floppy)</t>
  </si>
  <si>
    <t>Dolphin</t>
  </si>
  <si>
    <t>50 ml</t>
  </si>
  <si>
    <t>ОКС с ↑ ST</t>
  </si>
  <si>
    <t>15:10</t>
  </si>
  <si>
    <t>Соколова Н.В.</t>
  </si>
  <si>
    <t>12:48</t>
  </si>
  <si>
    <t xml:space="preserve">Сбалансированный </t>
  </si>
  <si>
    <t>проходим, контуры ровные.</t>
  </si>
  <si>
    <t>стеноз среднего сегмента 50%. Антеградный кровоток  TIMI III</t>
  </si>
  <si>
    <t xml:space="preserve">С учётом клинических данных, ЭКГ, КАГ совместно с деж.кардиологом Дубровской Я.А. принято решение  о целесообразности реваскуляризации бассейна ПКА и ПНА. </t>
  </si>
  <si>
    <t xml:space="preserve">стенозы проксимального и среднего сегментов 30%. Окклюзия на уровне устья ЗМЖВ.  Коллатеральный кровоток из 1 СВ ПНА с ретроградным контрастированием дистальной и средней трети ЗМЖВ. Антеградный кровоток TIMI 0. </t>
  </si>
  <si>
    <t xml:space="preserve">стеноз устья 30%, стеноз проксимального сегмента 50%, окклюзия на уровне границы проксимального и среднего сегментов.  Антеградный кровоток  TIMI 0. Слабые межсистемные коллатерали с контрастированием ср/3 ДВ и ПНА. Умеренные коллатерали из ПКА с ретроградным контрастированием дистального сегмента ПНА. </t>
  </si>
  <si>
    <t>1. Контроль места пункции, повязка  на руке 6ч. 2) Консультация кардиохирурга.</t>
  </si>
  <si>
    <t>150 ml</t>
  </si>
  <si>
    <t>Устье ПКА катетеризировано проводниковым катетером Launcher JR 4,0 6Fr. Предприняты многократные попытки проведения  коронарного проводника Runthrough NS за зону окклюзии ЗМЖВ. Попыки без успешны. Устье ствола ЛКА катетеризировано проводниковым катетером Launcher EBU 3,5 6Fr Предприняты многократные попытки проведения  коронарного проводника Runthrough NS за зону окклюзии ПНА. Попыки без успешны.  На контрольных съёмках пангиографическая картина без динамики, ангиографический результат не достигнут. Дальнейшие попытки реканализации ЗМЖВ и ПНА прекращены. Пациентка в стабильном состоянии переводится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</si>
</sst>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5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3"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7" fillId="9" borderId="21" applyNumberFormat="0" applyAlignment="0" applyProtection="0"/>
  </cellStyleXfs>
  <cellXfs count="22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1"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Border="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pplyProtection="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Border="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Border="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Border="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4" fillId="0" borderId="12" xfId="0" applyFont="1" applyBorder="1"/>
    <xf numFmtId="0" fontId="0" fillId="0" borderId="0" xfId="0" applyBorder="1" applyProtection="1">
      <protection locked="0"/>
    </xf>
    <xf numFmtId="165" fontId="15" fillId="0" borderId="7" xfId="0" applyNumberFormat="1" applyFont="1" applyBorder="1" applyAlignment="1" applyProtection="1">
      <alignment horizontal="left" vertical="center"/>
    </xf>
    <xf numFmtId="0" fontId="28" fillId="0" borderId="6" xfId="0" applyFont="1" applyBorder="1" applyAlignment="1" applyProtection="1">
      <alignment vertical="center"/>
    </xf>
    <xf numFmtId="0" fontId="29" fillId="0" borderId="7" xfId="0" applyNumberFormat="1" applyFont="1" applyBorder="1" applyAlignment="1" applyProtection="1">
      <alignment horizontal="left" vertical="center"/>
    </xf>
    <xf numFmtId="0" fontId="15" fillId="0" borderId="7" xfId="0" applyNumberFormat="1" applyFont="1" applyBorder="1" applyAlignment="1" applyProtection="1">
      <alignment horizontal="left" vertical="center"/>
    </xf>
    <xf numFmtId="0" fontId="34" fillId="0" borderId="12" xfId="0" applyFont="1" applyBorder="1" applyProtection="1"/>
    <xf numFmtId="0" fontId="27" fillId="0" borderId="0" xfId="0" applyFont="1" applyBorder="1" applyAlignment="1">
      <alignment horizontal="centerContinuous" vertical="top" wrapText="1"/>
    </xf>
    <xf numFmtId="0" fontId="15" fillId="0" borderId="12" xfId="0" applyFont="1" applyBorder="1" applyAlignment="1" applyProtection="1">
      <alignment vertical="top" wrapText="1"/>
      <protection locked="0"/>
    </xf>
    <xf numFmtId="0" fontId="15" fillId="0" borderId="0" xfId="0" applyFont="1" applyBorder="1" applyAlignment="1" applyProtection="1">
      <alignment vertical="top" wrapText="1"/>
      <protection locked="0"/>
    </xf>
    <xf numFmtId="0" fontId="34" fillId="0" borderId="3" xfId="0" applyNumberFormat="1" applyFont="1" applyBorder="1" applyAlignment="1" applyProtection="1">
      <alignment horizontal="center" vertical="center"/>
      <protection locked="0"/>
    </xf>
    <xf numFmtId="0" fontId="15" fillId="0" borderId="0" xfId="0" applyFont="1" applyBorder="1" applyAlignment="1" applyProtection="1">
      <alignment horizontal="centerContinuous" vertical="top" wrapText="1"/>
      <protection locked="0"/>
    </xf>
    <xf numFmtId="20" fontId="29" fillId="0" borderId="13" xfId="0" applyNumberFormat="1" applyFont="1" applyBorder="1" applyAlignment="1">
      <alignment horizontal="left" vertical="center" wrapText="1"/>
    </xf>
    <xf numFmtId="0" fontId="18" fillId="0" borderId="0" xfId="0" applyFont="1" applyBorder="1" applyAlignment="1">
      <alignment horizontal="centerContinuous" vertical="center"/>
    </xf>
    <xf numFmtId="0" fontId="32" fillId="0" borderId="0" xfId="0" applyFont="1" applyBorder="1" applyAlignment="1">
      <alignment vertical="top"/>
    </xf>
    <xf numFmtId="0" fontId="32" fillId="0" borderId="13" xfId="0" applyFont="1" applyBorder="1" applyAlignment="1">
      <alignment vertical="top"/>
    </xf>
    <xf numFmtId="0" fontId="22" fillId="0" borderId="0" xfId="0" applyFont="1" applyBorder="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4" fillId="0" borderId="0" xfId="0" applyFont="1" applyAlignment="1">
      <alignment horizontal="left" vertical="center"/>
    </xf>
    <xf numFmtId="0" fontId="15" fillId="0" borderId="3" xfId="0" applyFont="1" applyBorder="1" applyAlignment="1" applyProtection="1">
      <alignment vertical="center"/>
    </xf>
    <xf numFmtId="0" fontId="15" fillId="0" borderId="4" xfId="0" applyFont="1" applyBorder="1" applyAlignment="1" applyProtection="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Border="1" applyAlignment="1">
      <alignment horizontal="left" vertical="center"/>
    </xf>
    <xf numFmtId="0" fontId="35" fillId="0" borderId="13" xfId="0" applyFont="1" applyBorder="1" applyAlignment="1" applyProtection="1">
      <alignment horizontal="left"/>
      <protection locked="0"/>
    </xf>
    <xf numFmtId="0" fontId="22" fillId="0" borderId="19" xfId="0" applyFont="1" applyBorder="1" applyAlignment="1" applyProtection="1">
      <alignment horizontal="center" vertical="center"/>
      <protection locked="0"/>
    </xf>
    <xf numFmtId="0" fontId="35" fillId="0" borderId="0" xfId="0" applyFont="1" applyBorder="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pplyProtection="1">
      <alignment vertical="center"/>
    </xf>
    <xf numFmtId="0" fontId="15" fillId="0" borderId="7" xfId="0" applyFont="1" applyBorder="1" applyAlignment="1" applyProtection="1">
      <alignment vertical="center"/>
    </xf>
    <xf numFmtId="0" fontId="22" fillId="0" borderId="20" xfId="0" applyFont="1" applyBorder="1" applyAlignment="1" applyProtection="1">
      <alignment horizontal="center" vertical="center"/>
      <protection locked="0"/>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45" fillId="0" borderId="19" xfId="0" applyFont="1" applyBorder="1" applyAlignment="1" applyProtection="1">
      <alignment horizontal="center" vertical="center"/>
      <protection locked="0"/>
    </xf>
    <xf numFmtId="0" fontId="45" fillId="0" borderId="20" xfId="0" applyFont="1" applyBorder="1" applyAlignment="1" applyProtection="1">
      <alignment horizontal="center"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46" fillId="0" borderId="20"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Border="1" applyAlignment="1">
      <alignment horizontal="centerContinuous"/>
    </xf>
    <xf numFmtId="0" fontId="49" fillId="9" borderId="21" xfId="7" applyFont="1" applyBorder="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22" fillId="0" borderId="12" xfId="0" applyFont="1" applyBorder="1" applyAlignment="1">
      <alignment horizontal="left"/>
    </xf>
    <xf numFmtId="0" fontId="16" fillId="0" borderId="0" xfId="0" applyFont="1" applyBorder="1" applyAlignment="1">
      <alignment horizontal="center"/>
    </xf>
    <xf numFmtId="0" fontId="49" fillId="9" borderId="21" xfId="7" applyFont="1" applyBorder="1" applyAlignment="1" applyProtection="1">
      <alignment horizontal="left" vertical="center"/>
    </xf>
    <xf numFmtId="0" fontId="23" fillId="0" borderId="12" xfId="0" applyNumberFormat="1" applyFont="1" applyFill="1" applyBorder="1" applyAlignment="1">
      <alignment horizontal="justify" vertical="center" wrapText="1"/>
    </xf>
    <xf numFmtId="0" fontId="24" fillId="0" borderId="13" xfId="0" applyFont="1" applyFill="1" applyBorder="1" applyAlignment="1" applyProtection="1">
      <alignment horizontal="center" vertical="center"/>
      <protection locked="0"/>
    </xf>
    <xf numFmtId="0" fontId="24" fillId="0" borderId="0" xfId="0" applyFont="1" applyFill="1" applyBorder="1" applyAlignment="1" applyProtection="1">
      <alignment horizontal="justify" vertical="center" wrapText="1"/>
      <protection locked="0"/>
    </xf>
    <xf numFmtId="0" fontId="24" fillId="0" borderId="0" xfId="0" applyFont="1" applyFill="1" applyBorder="1" applyAlignment="1" applyProtection="1">
      <alignment vertical="center"/>
      <protection locked="0"/>
    </xf>
    <xf numFmtId="0" fontId="22" fillId="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2" fillId="0" borderId="0" xfId="0" applyFont="1" applyFill="1" applyBorder="1" applyAlignment="1" applyProtection="1">
      <alignment horizontal="left" vertical="center" wrapText="1"/>
    </xf>
    <xf numFmtId="0" fontId="0" fillId="0" borderId="0" xfId="0" applyNumberFormat="1" applyAlignment="1">
      <alignment shrinkToFit="1"/>
    </xf>
    <xf numFmtId="20" fontId="16"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1" fillId="0" borderId="0" xfId="0" applyFont="1" applyBorder="1" applyAlignment="1" applyProtection="1">
      <alignment vertical="top" wrapText="1"/>
      <protection locked="0"/>
    </xf>
    <xf numFmtId="0" fontId="53" fillId="0" borderId="0" xfId="0" applyFont="1" applyBorder="1" applyAlignment="1">
      <alignment vertical="top"/>
    </xf>
    <xf numFmtId="0" fontId="54"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8" fillId="0" borderId="0" xfId="0" applyFont="1" applyBorder="1" applyAlignment="1">
      <alignment horizontal="centerContinuous" vertical="center"/>
    </xf>
    <xf numFmtId="0" fontId="50" fillId="0" borderId="0" xfId="0" applyFont="1" applyBorder="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Border="1" applyAlignment="1">
      <alignment horizontal="centerContinuous" vertical="center" wrapText="1"/>
    </xf>
    <xf numFmtId="0" fontId="15" fillId="0" borderId="13" xfId="0" applyFont="1" applyBorder="1" applyAlignment="1" applyProtection="1">
      <alignment vertical="top" wrapText="1"/>
      <protection locked="0"/>
    </xf>
    <xf numFmtId="49" fontId="46"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26"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Fill="1" applyBorder="1" applyAlignment="1" applyProtection="1">
      <alignment horizontal="center" vertical="center"/>
      <protection locked="0"/>
    </xf>
    <xf numFmtId="0" fontId="11" fillId="0" borderId="32" xfId="0" applyNumberFormat="1" applyFont="1" applyFill="1" applyBorder="1" applyAlignment="1">
      <alignment horizontal="justify" vertical="center" wrapText="1"/>
    </xf>
    <xf numFmtId="0" fontId="23" fillId="0" borderId="32" xfId="0" applyNumberFormat="1" applyFont="1" applyFill="1" applyBorder="1" applyAlignment="1">
      <alignment horizontal="justify" vertical="center" wrapText="1"/>
    </xf>
    <xf numFmtId="0" fontId="23" fillId="0" borderId="34" xfId="0" applyNumberFormat="1" applyFont="1" applyFill="1" applyBorder="1" applyAlignment="1">
      <alignment horizontal="justify" vertical="center" wrapText="1"/>
    </xf>
    <xf numFmtId="0" fontId="56" fillId="0" borderId="35" xfId="0" applyFont="1" applyFill="1" applyBorder="1" applyAlignment="1" applyProtection="1">
      <alignment horizontal="center" vertical="center"/>
      <protection locked="0"/>
    </xf>
    <xf numFmtId="0" fontId="56" fillId="0" borderId="36" xfId="0" applyFont="1" applyFill="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pplyProtection="1">
      <alignment horizontal="center"/>
    </xf>
    <xf numFmtId="0" fontId="36" fillId="8" borderId="18" xfId="6" applyFont="1" applyBorder="1" applyAlignment="1" applyProtection="1">
      <alignment horizontal="left" vertical="center"/>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25" xfId="0" applyFont="1" applyFill="1" applyBorder="1" applyAlignment="1" applyProtection="1">
      <alignment horizontal="justify" vertical="center" wrapText="1"/>
      <protection locked="0"/>
    </xf>
    <xf numFmtId="0" fontId="56" fillId="0" borderId="35" xfId="0" applyFont="1" applyFill="1" applyBorder="1" applyAlignment="1" applyProtection="1">
      <alignment horizontal="justify" vertical="center" wrapText="1"/>
      <protection locked="0"/>
    </xf>
    <xf numFmtId="0" fontId="3" fillId="0" borderId="0" xfId="0" applyFont="1"/>
    <xf numFmtId="0" fontId="58" fillId="0" borderId="40" xfId="0" applyFont="1" applyBorder="1" applyProtection="1">
      <protection locked="0"/>
    </xf>
    <xf numFmtId="0" fontId="2" fillId="0" borderId="0" xfId="0" applyFont="1"/>
    <xf numFmtId="49" fontId="11" fillId="6" borderId="9" xfId="4" applyNumberFormat="1" applyFont="1" applyBorder="1" applyAlignment="1" applyProtection="1">
      <alignment horizontal="left" vertical="center"/>
      <protection locked="0"/>
    </xf>
    <xf numFmtId="16" fontId="56" fillId="0" borderId="26" xfId="0" applyNumberFormat="1" applyFont="1" applyBorder="1" applyAlignment="1" applyProtection="1">
      <alignment horizontal="justify" vertical="center" wrapText="1"/>
      <protection locked="0"/>
    </xf>
    <xf numFmtId="0" fontId="5" fillId="0" borderId="0" xfId="0" applyFont="1" applyBorder="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8" fillId="0" borderId="0" xfId="0" applyFont="1" applyBorder="1" applyAlignment="1">
      <alignment horizontal="left" vertical="center" wrapText="1"/>
    </xf>
    <xf numFmtId="0" fontId="52" fillId="0" borderId="0" xfId="0" applyFont="1" applyBorder="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Border="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16" fillId="0" borderId="0" xfId="0" applyFont="1" applyBorder="1" applyAlignment="1" applyProtection="1">
      <alignment horizontal="justify" vertical="top" wrapText="1"/>
      <protection locked="0"/>
    </xf>
    <xf numFmtId="0" fontId="16" fillId="0" borderId="13" xfId="0" applyFont="1" applyBorder="1" applyAlignment="1" applyProtection="1">
      <alignment horizontal="justify" vertical="top" wrapText="1"/>
      <protection locked="0"/>
    </xf>
    <xf numFmtId="0" fontId="16" fillId="0" borderId="3" xfId="0" applyFont="1" applyBorder="1" applyAlignment="1" applyProtection="1">
      <alignment horizontal="justify" vertical="top" wrapText="1"/>
      <protection locked="0"/>
    </xf>
    <xf numFmtId="0" fontId="16" fillId="0" borderId="9" xfId="0" applyFont="1" applyBorder="1" applyAlignment="1" applyProtection="1">
      <alignment horizontal="justify" vertical="top" wrapText="1"/>
      <protection locked="0"/>
    </xf>
    <xf numFmtId="0" fontId="46" fillId="0" borderId="5" xfId="0" applyFont="1" applyBorder="1" applyAlignment="1" applyProtection="1">
      <alignment horizontal="justify" vertical="top" wrapText="1"/>
      <protection locked="0"/>
    </xf>
    <xf numFmtId="0" fontId="46" fillId="0" borderId="11" xfId="0" applyFont="1" applyBorder="1" applyAlignment="1" applyProtection="1">
      <alignment horizontal="justify" vertical="top" wrapText="1"/>
      <protection locked="0"/>
    </xf>
    <xf numFmtId="0" fontId="46" fillId="0" borderId="0" xfId="0" applyFont="1" applyBorder="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xf numFmtId="0" fontId="46" fillId="0" borderId="3" xfId="0" applyFont="1" applyBorder="1" applyAlignment="1" applyProtection="1">
      <alignment horizontal="justify" vertical="top" wrapText="1"/>
      <protection locked="0"/>
    </xf>
    <xf numFmtId="0" fontId="46" fillId="0" borderId="9" xfId="0" applyFont="1" applyBorder="1" applyAlignment="1" applyProtection="1">
      <alignment horizontal="justify" vertical="top" wrapText="1"/>
      <protection locked="0"/>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Border="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41" fillId="0" borderId="0" xfId="0" applyFont="1" applyBorder="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3" xfId="0" applyFont="1" applyBorder="1" applyAlignment="1" applyProtection="1">
      <alignment horizontal="justify" vertical="top" wrapText="1"/>
      <protection locked="0"/>
    </xf>
    <xf numFmtId="0" fontId="15" fillId="0" borderId="12"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3">
    <dxf>
      <numFmt numFmtId="0" formatCode="General"/>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2" dataDxfId="91" tableBorderDxfId="90" totalsRowBorderDxfId="89">
  <tableColumns count="5">
    <tableColumn id="1" name="Должность" headerRowDxfId="88" dataDxfId="87"/>
    <tableColumn id="5" name="Столбец2" headerRowDxfId="86" dataDxfId="85"/>
    <tableColumn id="4" name="Столбец1" headerRowDxfId="84" dataDxfId="83"/>
    <tableColumn id="2" name="Бригада_1" headerRowDxfId="82" dataDxfId="81"/>
    <tableColumn id="3" name="Бригада_2" headerRowDxfId="80" dataDxfId="79"/>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2">
  <tableColumns count="4">
    <tableColumn id="1" name="Модель"/>
    <tableColumn id="2" name="Код модели" dataDxfId="31"/>
    <tableColumn id="3" name="Метод"/>
    <tableColumn id="4" name="Код метода" dataDxfId="30"/>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43" totalsRowShown="0">
  <sortState ref="A2:C26">
    <sortCondition ref="B2:B2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78" totalsRowShown="0" headerRowDxfId="29">
  <sortState ref="AF2:AG57">
    <sortCondition ref="AF2:AF57"/>
    <sortCondition ref="AG2:AG57"/>
  </sortState>
  <tableColumns count="2">
    <tableColumn id="3" name="Тип" dataDxfId="28"/>
    <tableColumn id="1" name="Размеры" dataDxfId="27"/>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43" totalsRowShown="0">
  <tableColumns count="26">
    <tableColumn id="1" name="Индекс1" dataDxfId="26">
      <calculatedColumnFormula>IF(ISNUMBER(SEARCH('Карта учёта'!$B$13,Расходка[[#This Row],[Наименование расходного материала]])),MAX($E$1:E1)+1,0)</calculatedColumnFormula>
    </tableColumn>
    <tableColumn id="2" name="Индекс2" dataDxfId="25">
      <calculatedColumnFormula>IF(ISNUMBER(SEARCH('Карта учёта'!$B$14,Расходка[[#This Row],[Наименование расходного материала]])),MAX($F$1:F1)+1,0)</calculatedColumnFormula>
    </tableColumn>
    <tableColumn id="3" name="Индекс3" dataDxfId="24">
      <calculatedColumnFormula>IF(ISNUMBER(SEARCH('Карта учёта'!$B$15,Расходка[Наименование расходного материала])),MAX($G$1:G1)+1,0)</calculatedColumnFormula>
    </tableColumn>
    <tableColumn id="4" name="Индекс4" dataDxfId="23">
      <calculatedColumnFormula>IF(ISNUMBER(SEARCH('Карта учёта'!$B$16,Расходка[Наименование расходного материала])),MAX($H$1:H1)+1,0)</calculatedColumnFormula>
    </tableColumn>
    <tableColumn id="5" name="Индекс5" dataDxfId="22">
      <calculatedColumnFormula>IF(ISNUMBER(SEARCH('Карта учёта'!$B$17,Расходка[Наименование расходного материала])),MAX($I$1:I1)+1,0)</calculatedColumnFormula>
    </tableColumn>
    <tableColumn id="6" name="Индекс6" dataDxfId="21">
      <calculatedColumnFormula>IF(ISNUMBER(SEARCH('Карта учёта'!$B$18,Расходка[Наименование расходного материала])),MAX($J$1:J1)+1,0)</calculatedColumnFormula>
    </tableColumn>
    <tableColumn id="7" name="Индекс7" dataDxfId="20">
      <calculatedColumnFormula>IF(ISNUMBER(SEARCH('Карта учёта'!$B$19,Расходка[Наименование расходного материала])),MAX($K$1:K1)+1,0)</calculatedColumnFormula>
    </tableColumn>
    <tableColumn id="8" name="Индекс8" dataDxfId="19">
      <calculatedColumnFormula>IF(ISNUMBER(SEARCH('Карта учёта'!$B$20,Расходка[Наименование расходного материала])),MAX($L$1:L1)+1,0)</calculatedColumnFormula>
    </tableColumn>
    <tableColumn id="9" name="Индекс9" dataDxfId="18">
      <calculatedColumnFormula>IF(ISNUMBER(SEARCH('Карта учёта'!$B$21,Расходка[Наименование расходного материала])),MAX($M$1:M1)+1,0)</calculatedColumnFormula>
    </tableColumn>
    <tableColumn id="10" name="Индекс10" dataDxfId="17">
      <calculatedColumnFormula>IF(ISNUMBER(SEARCH('Карта учёта'!$B$22,Расходка[Наименование расходного материала])),MAX($N$1:N1)+1,0)</calculatedColumnFormula>
    </tableColumn>
    <tableColumn id="11" name="Индекс11" dataDxfId="16">
      <calculatedColumnFormula>IF(ISNUMBER(SEARCH('Карта учёта'!$B$23,Расходка[Наименование расходного материала])),MAX($O$1:O1)+1,0)</calculatedColumnFormula>
    </tableColumn>
    <tableColumn id="12" name="Индекс12" dataDxfId="15">
      <calculatedColumnFormula>IF(ISNUMBER(SEARCH('Карта учёта'!$B$24,Расходка[Наименование расходного материала])),MAX($P$1:P1)+1,0)</calculatedColumnFormula>
    </tableColumn>
    <tableColumn id="13" name="Индекс13" dataDxfId="14">
      <calculatedColumnFormula>IF(ISNUMBER(SEARCH('Карта учёта'!$B$25,Расходка[Наименование расходного материала])),MAX($Q$1:Q1)+1,0)</calculatedColumnFormula>
    </tableColumn>
    <tableColumn id="14" name="Фильтр1" dataDxfId="13">
      <calculatedColumnFormula>IFERROR(INDEX(Расходка[Наименование расходного материала],MATCH(Расходка[№],Поиск_расходки[Индекс1],0)),"")</calculatedColumnFormula>
    </tableColumn>
    <tableColumn id="15" name="Фильтр2" dataDxfId="12">
      <calculatedColumnFormula>IFERROR(INDEX(Расходка[Наименование расходного материала],MATCH(Расходка[№],Поиск_расходки[Индекс2],0)),"")</calculatedColumnFormula>
    </tableColumn>
    <tableColumn id="16" name="Фильтр3" dataDxfId="11">
      <calculatedColumnFormula>IFERROR(INDEX(Расходка[Наименование расходного материала],MATCH(Расходка[№],Поиск_расходки[Индекс3],0)),"")</calculatedColumnFormula>
    </tableColumn>
    <tableColumn id="17" name="Фильтр4" dataDxfId="10">
      <calculatedColumnFormula>IFERROR(INDEX(Расходка[Наименование расходного материала],MATCH(Расходка[№],Поиск_расходки[Индекс4],0)),"")</calculatedColumnFormula>
    </tableColumn>
    <tableColumn id="18" name="Фильтр5" dataDxfId="9">
      <calculatedColumnFormula>IFERROR(INDEX(Расходка[Наименование расходного материала],MATCH(Расходка[№],Поиск_расходки[Индекс5],0)),"")</calculatedColumnFormula>
    </tableColumn>
    <tableColumn id="19" name="Фильтр6" dataDxfId="8">
      <calculatedColumnFormula>IFERROR(INDEX(Расходка[Наименование расходного материала],MATCH(Расходка[№],Поиск_расходки[Индекс6],0)),"")</calculatedColumnFormula>
    </tableColumn>
    <tableColumn id="20" name="Фильтр7" dataDxfId="7">
      <calculatedColumnFormula>IFERROR(INDEX(Расходка[Наименование расходного материала],MATCH(Расходка[№],Поиск_расходки[Индекс7],0)),"")</calculatedColumnFormula>
    </tableColumn>
    <tableColumn id="21" name="Фильтр8" dataDxfId="6">
      <calculatedColumnFormula>IFERROR(INDEX(Расходка[Наименование расходного материала],MATCH(Расходка[№],Поиск_расходки[Индекс8],0)),"")</calculatedColumnFormula>
    </tableColumn>
    <tableColumn id="22" name="Фильтр9" dataDxfId="5">
      <calculatedColumnFormula>IFERROR(INDEX(Расходка[Наименование расходного материала],MATCH(Расходка[№],Поиск_расходки[Индекс9],0)),"")</calculatedColumnFormula>
    </tableColumn>
    <tableColumn id="23" name="Фильтр10" dataDxfId="4">
      <calculatedColumnFormula>IFERROR(INDEX(Расходка[Наименование расходного материала],MATCH(Расходка[№],Поиск_расходки[Индекс10],0)),"")</calculatedColumnFormula>
    </tableColumn>
    <tableColumn id="24" name="Фильтр11" dataDxfId="3">
      <calculatedColumnFormula>IFERROR(INDEX(Расходка[Наименование расходного материала],MATCH(Расходка[№],Поиск_расходки[Индекс11],0)),"")</calculatedColumnFormula>
    </tableColumn>
    <tableColumn id="25" name="Фильтр12" dataDxfId="2">
      <calculatedColumnFormula>IFERROR(INDEX(Расходка[Наименование расходного материала],MATCH(Расходка[№],Поиск_расходки[Индекс12],0)),"")</calculatedColumnFormula>
    </tableColumn>
    <tableColumn id="26" name="Фильтр13" dataDxfId="1">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18.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78" dataDxfId="77">
  <tableColumns count="2">
    <tableColumn id="1" name="Столбец1" headerRowDxfId="76" dataDxfId="75"/>
    <tableColumn id="2" name="Столбец2" headerRowDxfId="74" dataDxfId="73"/>
  </tableColumns>
  <tableStyleInfo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2" dataDxfId="71" tableBorderDxfId="70" totalsRowBorderDxfId="69">
  <tableColumns count="5">
    <tableColumn id="1" name="Должность" headerRowDxfId="68" dataDxfId="67"/>
    <tableColumn id="5" name="Столбец2" headerRowDxfId="66" dataDxfId="65"/>
    <tableColumn id="4" name="Столбец1" headerRowDxfId="64" dataDxfId="63"/>
    <tableColumn id="2" name="Бригада_1" headerRowDxfId="62" dataDxfId="61"/>
    <tableColumn id="3" name="Бригада_2" headerRowDxfId="60" dataDxfId="59">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58" dataDxfId="57">
  <tableColumns count="2">
    <tableColumn id="1" name="Столбец1" headerRowDxfId="56" dataDxfId="55"/>
    <tableColumn id="2" name="Столбец2" headerRowDxfId="54" dataDxfId="53">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2" headerRowBorderDxfId="51" tableBorderDxfId="50">
  <tableColumns count="4">
    <tableColumn id="1" name="Тип материала " dataDxfId="49">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48"/>
    <tableColumn id="3" name="Размер" dataDxfId="47"/>
    <tableColumn id="4" name="Количество" dataDxfId="46"/>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5" dataDxfId="44">
  <tableColumns count="2">
    <tableColumn id="1" name="Код ЕНМУ" totalsRowFunction="custom" dataDxfId="43">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2"/>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1" tableBorderDxfId="40">
  <tableColumns count="4">
    <tableColumn id="1" name="№" dataDxfId="39"/>
    <tableColumn id="2" name="Код услуги" dataDxfId="38"/>
    <tableColumn id="3" name="Номенклатура мед.услуги" dataDxfId="37"/>
    <tableColumn id="4" name="Рентгенэндоваскулярная диагностика и лечение" dataDxfId="36"/>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8" totalsRowShown="0" headerRowDxfId="35">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0:F18" totalsRowShown="0" dataDxfId="34">
  <tableColumns count="1">
    <tableColumn id="1" name="Диагноз"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5.bin"/><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showWhiteSpace="0" view="pageBreakPreview" topLeftCell="A16" zoomScaleNormal="100" zoomScaleSheetLayoutView="100" zoomScalePageLayoutView="90" workbookViewId="0">
      <selection activeCell="L38" sqref="L38"/>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198</v>
      </c>
      <c r="B1" s="49"/>
      <c r="C1" s="49"/>
      <c r="D1" s="49"/>
      <c r="E1" s="49"/>
      <c r="F1" s="49"/>
      <c r="G1" s="49"/>
      <c r="H1" s="50"/>
    </row>
    <row r="2" spans="1:8">
      <c r="A2" s="51" t="s">
        <v>199</v>
      </c>
      <c r="B2" s="52"/>
      <c r="C2" s="52"/>
      <c r="D2" s="52"/>
      <c r="E2" s="52"/>
      <c r="F2" s="52"/>
      <c r="G2" s="52"/>
      <c r="H2" s="53"/>
    </row>
    <row r="3" spans="1:8">
      <c r="A3" s="51" t="s">
        <v>200</v>
      </c>
      <c r="B3" s="52"/>
      <c r="C3" s="52"/>
      <c r="D3" s="52"/>
      <c r="E3" s="52"/>
      <c r="F3" s="52"/>
      <c r="G3" s="52"/>
      <c r="H3" s="53"/>
    </row>
    <row r="4" spans="1:8">
      <c r="A4" s="54" t="s">
        <v>201</v>
      </c>
      <c r="B4" s="55"/>
      <c r="C4" s="55"/>
      <c r="D4" s="55"/>
      <c r="E4" s="55"/>
      <c r="F4" s="55"/>
      <c r="G4" s="55"/>
      <c r="H4" s="56"/>
    </row>
    <row r="5" spans="1:8">
      <c r="A5" s="43"/>
      <c r="B5" s="18"/>
      <c r="C5" s="18"/>
      <c r="D5" s="18"/>
      <c r="E5" s="18"/>
      <c r="F5" s="18"/>
      <c r="G5" s="18"/>
      <c r="H5" s="44"/>
    </row>
    <row r="6" spans="1:8">
      <c r="A6" s="205" t="s">
        <v>277</v>
      </c>
      <c r="B6" s="206"/>
      <c r="C6" s="206"/>
      <c r="D6" s="206"/>
      <c r="E6" s="206"/>
      <c r="F6" s="206"/>
      <c r="G6" s="206"/>
      <c r="H6" s="207"/>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255</v>
      </c>
      <c r="B8" s="25">
        <v>44771</v>
      </c>
      <c r="C8" s="60"/>
      <c r="D8" s="21" t="s">
        <v>249</v>
      </c>
      <c r="E8" s="34"/>
      <c r="F8" s="34"/>
      <c r="G8" s="22"/>
      <c r="H8" s="23"/>
    </row>
    <row r="9" spans="1:8" ht="15.6" customHeight="1">
      <c r="A9" s="26" t="s">
        <v>257</v>
      </c>
      <c r="B9" s="27">
        <v>0.57986111111111105</v>
      </c>
      <c r="C9" s="60"/>
      <c r="D9" s="115" t="s">
        <v>235</v>
      </c>
      <c r="E9" s="111"/>
      <c r="F9" s="111"/>
      <c r="G9" s="28" t="s">
        <v>226</v>
      </c>
      <c r="H9" s="30"/>
    </row>
    <row r="10" spans="1:8" ht="15.6" customHeight="1" thickBot="1">
      <c r="A10" s="99" t="s">
        <v>258</v>
      </c>
      <c r="B10" s="100">
        <v>0.58333333333333337</v>
      </c>
      <c r="C10" s="61"/>
      <c r="D10" s="116" t="s">
        <v>236</v>
      </c>
      <c r="E10" s="112"/>
      <c r="F10" s="112"/>
      <c r="G10" s="29" t="s">
        <v>207</v>
      </c>
      <c r="H10" s="31"/>
    </row>
    <row r="11" spans="1:8" ht="18" thickTop="1" thickBot="1">
      <c r="A11" s="106" t="s">
        <v>256</v>
      </c>
      <c r="B11" s="107" t="s">
        <v>455</v>
      </c>
      <c r="C11" s="62"/>
      <c r="D11" s="116" t="s">
        <v>233</v>
      </c>
      <c r="E11" s="112"/>
      <c r="F11" s="112"/>
      <c r="G11" s="29" t="s">
        <v>313</v>
      </c>
      <c r="H11" s="31"/>
    </row>
    <row r="12" spans="1:8" ht="16.5" thickTop="1">
      <c r="A12" s="97" t="s">
        <v>8</v>
      </c>
      <c r="B12" s="98">
        <v>30153</v>
      </c>
      <c r="C12" s="63"/>
      <c r="D12" s="116" t="s">
        <v>371</v>
      </c>
      <c r="E12" s="112"/>
      <c r="F12" s="112"/>
      <c r="G12" s="29" t="s">
        <v>322</v>
      </c>
      <c r="H12" s="31"/>
    </row>
    <row r="13" spans="1:8" ht="15.75">
      <c r="A13" s="20" t="s">
        <v>10</v>
      </c>
      <c r="B13" s="35">
        <f>DATEDIF(B12,B8,"y")</f>
        <v>40</v>
      </c>
      <c r="C13" s="63"/>
      <c r="D13" s="116"/>
      <c r="E13" s="112"/>
      <c r="F13" s="112"/>
      <c r="G13" s="29"/>
      <c r="H13" s="31"/>
    </row>
    <row r="14" spans="1:8" ht="15.75">
      <c r="A14" s="20" t="s">
        <v>12</v>
      </c>
      <c r="B14" s="24">
        <v>12004</v>
      </c>
      <c r="C14" s="63"/>
      <c r="D14" s="41"/>
      <c r="E14" s="41"/>
      <c r="F14" s="41"/>
      <c r="G14" s="42"/>
      <c r="H14" s="64"/>
    </row>
    <row r="15" spans="1:8" ht="15.75">
      <c r="A15" s="20" t="s">
        <v>196</v>
      </c>
      <c r="B15" s="24">
        <v>35</v>
      </c>
      <c r="C15" s="18"/>
      <c r="D15" s="41"/>
      <c r="E15" s="41"/>
      <c r="F15" s="41"/>
      <c r="G15" s="113" t="s">
        <v>338</v>
      </c>
      <c r="H15" s="114" t="s">
        <v>342</v>
      </c>
    </row>
    <row r="16" spans="1:8" ht="15.6" customHeight="1">
      <c r="A16" s="20" t="s">
        <v>134</v>
      </c>
      <c r="B16" s="24" t="s">
        <v>453</v>
      </c>
      <c r="C16" s="18"/>
      <c r="D16" s="41"/>
      <c r="E16" s="41"/>
      <c r="F16" s="41"/>
      <c r="G16" s="159" t="s">
        <v>456</v>
      </c>
      <c r="H16" s="117">
        <v>504</v>
      </c>
    </row>
    <row r="17" spans="1:8" ht="14.45" customHeight="1">
      <c r="A17" s="45"/>
      <c r="B17" s="36"/>
      <c r="C17" s="36"/>
      <c r="D17" s="105"/>
      <c r="E17" s="105"/>
      <c r="F17" s="105"/>
      <c r="G17" s="36"/>
      <c r="H17" s="46"/>
    </row>
    <row r="18" spans="1:8" ht="14.45" customHeight="1">
      <c r="A18" s="65" t="s">
        <v>252</v>
      </c>
      <c r="B18" s="104" t="s">
        <v>457</v>
      </c>
      <c r="C18" s="18"/>
      <c r="D18" s="33" t="s">
        <v>274</v>
      </c>
      <c r="E18" s="33"/>
      <c r="F18" s="33"/>
      <c r="G18" s="101" t="s">
        <v>253</v>
      </c>
      <c r="H18" s="102" t="s">
        <v>382</v>
      </c>
    </row>
    <row r="19" spans="1:8" ht="14.45" customHeight="1">
      <c r="A19" s="45"/>
      <c r="B19" s="36"/>
      <c r="C19" s="36"/>
      <c r="D19" s="39"/>
      <c r="E19" s="39"/>
      <c r="F19" s="39"/>
      <c r="G19" s="36"/>
      <c r="H19" s="46"/>
    </row>
    <row r="20" spans="1:8" ht="14.45" customHeight="1">
      <c r="A20" s="65" t="s">
        <v>276</v>
      </c>
      <c r="B20" s="228" t="s">
        <v>458</v>
      </c>
      <c r="C20" s="208"/>
      <c r="D20" s="208"/>
      <c r="E20" s="208"/>
      <c r="F20" s="208"/>
      <c r="G20" s="208"/>
      <c r="H20" s="209"/>
    </row>
    <row r="21" spans="1:8">
      <c r="A21" s="66"/>
      <c r="B21" s="210"/>
      <c r="C21" s="210"/>
      <c r="D21" s="210"/>
      <c r="E21" s="210"/>
      <c r="F21" s="210"/>
      <c r="G21" s="210"/>
      <c r="H21" s="211"/>
    </row>
    <row r="22" spans="1:8" ht="15.6" customHeight="1">
      <c r="A22" s="67" t="s">
        <v>335</v>
      </c>
      <c r="B22" s="212" t="s">
        <v>462</v>
      </c>
      <c r="C22" s="212"/>
      <c r="D22" s="212"/>
      <c r="E22" s="212"/>
      <c r="F22" s="212"/>
      <c r="G22" s="212"/>
      <c r="H22" s="213"/>
    </row>
    <row r="23" spans="1:8" ht="14.45" customHeight="1">
      <c r="A23" s="43"/>
      <c r="B23" s="214"/>
      <c r="C23" s="214"/>
      <c r="D23" s="214"/>
      <c r="E23" s="214"/>
      <c r="F23" s="214"/>
      <c r="G23" s="214"/>
      <c r="H23" s="215"/>
    </row>
    <row r="24" spans="1:8" ht="14.45" customHeight="1">
      <c r="A24" s="68"/>
      <c r="B24" s="214"/>
      <c r="C24" s="214"/>
      <c r="D24" s="214"/>
      <c r="E24" s="214"/>
      <c r="F24" s="214"/>
      <c r="G24" s="214"/>
      <c r="H24" s="215"/>
    </row>
    <row r="25" spans="1:8" ht="14.45" customHeight="1">
      <c r="A25" s="43"/>
      <c r="B25" s="214"/>
      <c r="C25" s="214"/>
      <c r="D25" s="214"/>
      <c r="E25" s="214"/>
      <c r="F25" s="214"/>
      <c r="G25" s="214"/>
      <c r="H25" s="215"/>
    </row>
    <row r="26" spans="1:8" ht="14.45" customHeight="1">
      <c r="A26" s="45"/>
      <c r="B26" s="216"/>
      <c r="C26" s="216"/>
      <c r="D26" s="216"/>
      <c r="E26" s="216"/>
      <c r="F26" s="216"/>
      <c r="G26" s="216"/>
      <c r="H26" s="217"/>
    </row>
    <row r="27" spans="1:8" ht="14.45" customHeight="1">
      <c r="A27" s="67" t="s">
        <v>336</v>
      </c>
      <c r="B27" s="212" t="s">
        <v>459</v>
      </c>
      <c r="C27" s="212"/>
      <c r="D27" s="212"/>
      <c r="E27" s="212"/>
      <c r="F27" s="212"/>
      <c r="G27" s="212"/>
      <c r="H27" s="213"/>
    </row>
    <row r="28" spans="1:8" ht="15.6" customHeight="1">
      <c r="A28" s="43"/>
      <c r="B28" s="214"/>
      <c r="C28" s="214"/>
      <c r="D28" s="214"/>
      <c r="E28" s="214"/>
      <c r="F28" s="214"/>
      <c r="G28" s="214"/>
      <c r="H28" s="215"/>
    </row>
    <row r="29" spans="1:8" ht="14.45" customHeight="1">
      <c r="A29" s="43"/>
      <c r="B29" s="214"/>
      <c r="C29" s="214"/>
      <c r="D29" s="214"/>
      <c r="E29" s="214"/>
      <c r="F29" s="214"/>
      <c r="G29" s="214"/>
      <c r="H29" s="215"/>
    </row>
    <row r="30" spans="1:8" ht="14.45" customHeight="1">
      <c r="A30" s="37"/>
      <c r="B30" s="214"/>
      <c r="C30" s="214"/>
      <c r="D30" s="214"/>
      <c r="E30" s="214"/>
      <c r="F30" s="214"/>
      <c r="G30" s="214"/>
      <c r="H30" s="215"/>
    </row>
    <row r="31" spans="1:8" ht="14.45" customHeight="1">
      <c r="A31" s="38"/>
      <c r="B31" s="216"/>
      <c r="C31" s="216"/>
      <c r="D31" s="216"/>
      <c r="E31" s="216"/>
      <c r="F31" s="216"/>
      <c r="G31" s="216"/>
      <c r="H31" s="217"/>
    </row>
    <row r="32" spans="1:8" ht="14.45" customHeight="1">
      <c r="A32" s="67" t="s">
        <v>337</v>
      </c>
      <c r="B32" s="212" t="s">
        <v>461</v>
      </c>
      <c r="C32" s="212"/>
      <c r="D32" s="212"/>
      <c r="E32" s="212"/>
      <c r="F32" s="212"/>
      <c r="G32" s="212"/>
      <c r="H32" s="213"/>
    </row>
    <row r="33" spans="1:8" ht="14.45" customHeight="1">
      <c r="A33" s="43"/>
      <c r="B33" s="214"/>
      <c r="C33" s="214"/>
      <c r="D33" s="214"/>
      <c r="E33" s="214"/>
      <c r="F33" s="214"/>
      <c r="G33" s="214"/>
      <c r="H33" s="215"/>
    </row>
    <row r="34" spans="1:8" ht="15.6" customHeight="1">
      <c r="A34" s="43"/>
      <c r="B34" s="214"/>
      <c r="C34" s="214"/>
      <c r="D34" s="214"/>
      <c r="E34" s="214"/>
      <c r="F34" s="214"/>
      <c r="G34" s="214"/>
      <c r="H34" s="215"/>
    </row>
    <row r="35" spans="1:8" ht="14.45" customHeight="1">
      <c r="A35" s="43"/>
      <c r="B35" s="214"/>
      <c r="C35" s="214"/>
      <c r="D35" s="214"/>
      <c r="E35" s="214"/>
      <c r="F35" s="214"/>
      <c r="G35" s="214"/>
      <c r="H35" s="215"/>
    </row>
    <row r="36" spans="1:8" ht="15.6" customHeight="1">
      <c r="A36" s="151"/>
      <c r="B36" s="214"/>
      <c r="C36" s="214"/>
      <c r="D36" s="214"/>
      <c r="E36" s="214"/>
      <c r="F36" s="214"/>
      <c r="G36" s="214"/>
      <c r="H36" s="215"/>
    </row>
    <row r="37" spans="1:8" ht="14.45" customHeight="1">
      <c r="A37" s="43"/>
      <c r="B37" s="146"/>
      <c r="C37" s="18"/>
      <c r="D37" s="202" t="str">
        <f>IF($A$6=Вмешательства!$D$3,Вмешательства!$N$2,"")</f>
        <v/>
      </c>
      <c r="E37" s="202"/>
      <c r="F37" s="147"/>
      <c r="G37" s="147"/>
      <c r="H37" s="152"/>
    </row>
    <row r="38" spans="1:8" ht="14.45" customHeight="1">
      <c r="A38" s="43"/>
      <c r="B38" s="146"/>
      <c r="C38" s="153"/>
      <c r="D38" s="203"/>
      <c r="E38" s="203"/>
      <c r="F38" s="203"/>
      <c r="G38" s="203"/>
      <c r="H38" s="204"/>
    </row>
    <row r="39" spans="1:8" ht="14.45" customHeight="1">
      <c r="A39" s="40"/>
      <c r="B39" s="147"/>
      <c r="C39" s="153"/>
      <c r="D39" s="203"/>
      <c r="E39" s="203"/>
      <c r="F39" s="203"/>
      <c r="G39" s="203"/>
      <c r="H39" s="204"/>
    </row>
    <row r="40" spans="1:8" ht="14.45" customHeight="1">
      <c r="A40" s="40"/>
      <c r="B40" s="147"/>
      <c r="C40" s="153"/>
      <c r="D40" s="203"/>
      <c r="E40" s="203"/>
      <c r="F40" s="203"/>
      <c r="G40" s="203"/>
      <c r="H40" s="204"/>
    </row>
    <row r="41" spans="1:8" ht="14.45" customHeight="1">
      <c r="A41" s="40"/>
      <c r="B41" s="147"/>
      <c r="C41" s="153"/>
      <c r="D41" s="203"/>
      <c r="E41" s="203"/>
      <c r="F41" s="203"/>
      <c r="G41" s="203"/>
      <c r="H41" s="204"/>
    </row>
    <row r="42" spans="1:8" ht="14.45" customHeight="1">
      <c r="A42" s="40"/>
      <c r="B42" s="147"/>
      <c r="C42" s="154"/>
      <c r="D42" s="157" t="s">
        <v>251</v>
      </c>
      <c r="E42" s="47"/>
      <c r="F42" s="47"/>
      <c r="G42" s="47"/>
      <c r="H42" s="69"/>
    </row>
    <row r="43" spans="1:8" ht="14.45" customHeight="1">
      <c r="A43" s="40"/>
      <c r="B43" s="147"/>
      <c r="C43" s="155"/>
      <c r="D43" s="228" t="s">
        <v>460</v>
      </c>
      <c r="E43" s="200"/>
      <c r="F43" s="200"/>
      <c r="G43" s="200"/>
      <c r="H43" s="201"/>
    </row>
    <row r="44" spans="1:8" ht="14.45" customHeight="1">
      <c r="A44" s="40"/>
      <c r="B44" s="147"/>
      <c r="C44" s="155"/>
      <c r="D44" s="200"/>
      <c r="E44" s="200"/>
      <c r="F44" s="200"/>
      <c r="G44" s="200"/>
      <c r="H44" s="201"/>
    </row>
    <row r="45" spans="1:8" ht="14.45" customHeight="1">
      <c r="A45" s="40"/>
      <c r="B45" s="147"/>
      <c r="C45" s="155"/>
      <c r="D45" s="200"/>
      <c r="E45" s="200"/>
      <c r="F45" s="200"/>
      <c r="G45" s="200"/>
      <c r="H45" s="201"/>
    </row>
    <row r="46" spans="1:8">
      <c r="A46" s="40"/>
      <c r="B46" s="147"/>
      <c r="C46" s="155"/>
      <c r="D46" s="200"/>
      <c r="E46" s="200"/>
      <c r="F46" s="200"/>
      <c r="G46" s="200"/>
      <c r="H46" s="201"/>
    </row>
    <row r="47" spans="1:8">
      <c r="A47" s="43"/>
      <c r="B47" s="18"/>
      <c r="C47" s="155"/>
      <c r="D47" s="200"/>
      <c r="E47" s="200"/>
      <c r="F47" s="200"/>
      <c r="G47" s="200"/>
      <c r="H47" s="201"/>
    </row>
    <row r="48" spans="1:8">
      <c r="A48" s="43"/>
      <c r="B48" s="18"/>
      <c r="C48" s="155"/>
      <c r="D48" s="200"/>
      <c r="E48" s="200"/>
      <c r="F48" s="200"/>
      <c r="G48" s="200"/>
      <c r="H48" s="201"/>
    </row>
    <row r="49" spans="1:13">
      <c r="A49" s="45"/>
      <c r="B49" s="36"/>
      <c r="C49" s="156"/>
      <c r="D49" s="200"/>
      <c r="E49" s="200"/>
      <c r="F49" s="200"/>
      <c r="G49" s="200"/>
      <c r="H49" s="201"/>
    </row>
    <row r="50" spans="1:13">
      <c r="A50" s="43"/>
      <c r="B50" s="18"/>
      <c r="C50" s="18"/>
      <c r="D50" s="200"/>
      <c r="E50" s="200"/>
      <c r="F50" s="200"/>
      <c r="G50" s="200"/>
      <c r="H50" s="201"/>
      <c r="M50" t="s">
        <v>275</v>
      </c>
    </row>
    <row r="51" spans="1:13">
      <c r="A51" s="70" t="s">
        <v>263</v>
      </c>
      <c r="B51" s="71" t="s">
        <v>452</v>
      </c>
      <c r="C51" s="18"/>
      <c r="D51" s="18"/>
      <c r="E51" s="18"/>
      <c r="F51" s="18"/>
      <c r="G51" s="89" t="str">
        <f>$G$9</f>
        <v>Щербаков А.С.</v>
      </c>
      <c r="H51" s="72"/>
    </row>
    <row r="52" spans="1:13">
      <c r="A52" s="43"/>
      <c r="B52" s="18"/>
      <c r="C52" s="18"/>
      <c r="D52" s="18"/>
      <c r="E52" s="18"/>
      <c r="F52" s="18"/>
      <c r="G52" s="18"/>
      <c r="H52" s="44"/>
    </row>
    <row r="53" spans="1:13">
      <c r="A53" s="73" t="s">
        <v>270</v>
      </c>
      <c r="B53" s="74" t="s">
        <v>383</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tabSelected="1" showWhiteSpace="0" view="pageBreakPreview" topLeftCell="A4" zoomScaleNormal="100" zoomScaleSheetLayoutView="100" zoomScalePageLayoutView="90" workbookViewId="0">
      <selection activeCell="O26" sqref="O26"/>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198</v>
      </c>
      <c r="B1" s="49"/>
      <c r="C1" s="49"/>
      <c r="D1" s="49"/>
      <c r="E1" s="49"/>
      <c r="F1" s="49"/>
      <c r="G1" s="49"/>
      <c r="H1" s="50"/>
    </row>
    <row r="2" spans="1:8">
      <c r="A2" s="51" t="s">
        <v>199</v>
      </c>
      <c r="B2" s="52"/>
      <c r="C2" s="52"/>
      <c r="D2" s="52"/>
      <c r="E2" s="52"/>
      <c r="F2" s="52"/>
      <c r="G2" s="52"/>
      <c r="H2" s="53"/>
    </row>
    <row r="3" spans="1:8">
      <c r="A3" s="51" t="s">
        <v>200</v>
      </c>
      <c r="B3" s="52"/>
      <c r="C3" s="52"/>
      <c r="D3" s="52"/>
      <c r="E3" s="52"/>
      <c r="F3" s="52"/>
      <c r="G3" s="52"/>
      <c r="H3" s="53"/>
    </row>
    <row r="4" spans="1:8">
      <c r="A4" s="54" t="s">
        <v>201</v>
      </c>
      <c r="B4" s="55"/>
      <c r="C4" s="55"/>
      <c r="D4" s="55"/>
      <c r="E4" s="55"/>
      <c r="F4" s="55"/>
      <c r="G4" s="55"/>
      <c r="H4" s="56"/>
    </row>
    <row r="5" spans="1:8">
      <c r="A5" s="43"/>
      <c r="B5" s="18"/>
      <c r="C5" s="18"/>
      <c r="D5" s="18"/>
      <c r="E5" s="18"/>
      <c r="F5" s="18"/>
      <c r="G5" s="18"/>
      <c r="H5" s="44"/>
    </row>
    <row r="6" spans="1:8" ht="15.6" customHeight="1">
      <c r="A6" s="219" t="s">
        <v>311</v>
      </c>
      <c r="B6" s="220"/>
      <c r="C6" s="220"/>
      <c r="D6" s="220"/>
      <c r="E6" s="220"/>
      <c r="F6" s="220"/>
      <c r="G6" s="220"/>
      <c r="H6" s="221"/>
    </row>
    <row r="7" spans="1:8" ht="21.6" customHeight="1">
      <c r="A7" s="219"/>
      <c r="B7" s="220"/>
      <c r="C7" s="220"/>
      <c r="D7" s="220"/>
      <c r="E7" s="220"/>
      <c r="F7" s="220"/>
      <c r="G7" s="220"/>
      <c r="H7" s="221"/>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A16.12.028.017</v>
      </c>
      <c r="B8" s="18"/>
      <c r="C8" s="218" t="s">
        <v>280</v>
      </c>
      <c r="D8" s="218"/>
      <c r="E8" s="218"/>
      <c r="F8" s="83"/>
      <c r="G8" s="145"/>
      <c r="H8" s="196"/>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 xml:space="preserve">Код модели: </v>
      </c>
      <c r="B9" s="18"/>
      <c r="C9" s="218" t="s">
        <v>285</v>
      </c>
      <c r="D9" s="218"/>
      <c r="E9" s="218"/>
      <c r="F9" s="83"/>
      <c r="G9" s="93"/>
      <c r="H9" s="44"/>
    </row>
    <row r="10" spans="1:8">
      <c r="A10" s="57" t="str">
        <f>"Код метода:"&amp;" "&amp;IF(ISBLANK(H8),IF(SUM(F8:F10)=1,47,IF(SUM(F8:F10)=2,46,IF(SUM(F8:F10)&gt;=3,45,""))),"")</f>
        <v xml:space="preserve">Код метода: </v>
      </c>
      <c r="B10" s="18"/>
      <c r="C10" s="218"/>
      <c r="D10" s="218"/>
      <c r="E10" s="218"/>
      <c r="F10" s="83"/>
      <c r="G10" s="93"/>
      <c r="H10" s="44"/>
    </row>
    <row r="11" spans="1:8">
      <c r="A11" s="43"/>
      <c r="B11" s="18"/>
      <c r="C11" s="62"/>
      <c r="D11" s="18"/>
      <c r="E11" s="18"/>
      <c r="F11" s="18"/>
      <c r="G11" s="18"/>
      <c r="H11" s="44"/>
    </row>
    <row r="12" spans="1:8" ht="18.75">
      <c r="A12" s="90" t="s">
        <v>255</v>
      </c>
      <c r="B12" s="25">
        <f>КАГ!B8</f>
        <v>44771</v>
      </c>
      <c r="C12" s="63"/>
      <c r="D12" s="21" t="s">
        <v>249</v>
      </c>
      <c r="E12" s="34"/>
      <c r="F12" s="34"/>
      <c r="G12" s="22"/>
      <c r="H12" s="23"/>
    </row>
    <row r="13" spans="1:8" ht="15.75">
      <c r="A13" s="91" t="s">
        <v>257</v>
      </c>
      <c r="B13" s="27">
        <v>0.58333333333333337</v>
      </c>
      <c r="C13" s="63"/>
      <c r="D13" s="115" t="s">
        <v>235</v>
      </c>
      <c r="E13" s="111"/>
      <c r="F13" s="111"/>
      <c r="G13" s="95" t="str">
        <f>КАГ!G9</f>
        <v>Щербаков А.С.</v>
      </c>
      <c r="H13" s="108" t="str">
        <f>IF(ISBLANK(КАГ!H9),"",КАГ!H9)</f>
        <v/>
      </c>
    </row>
    <row r="14" spans="1:8" ht="16.5" thickBot="1">
      <c r="A14" s="91" t="s">
        <v>258</v>
      </c>
      <c r="B14" s="198" t="s">
        <v>454</v>
      </c>
      <c r="C14" s="63"/>
      <c r="D14" s="116" t="s">
        <v>236</v>
      </c>
      <c r="E14" s="112"/>
      <c r="F14" s="112"/>
      <c r="G14" s="96" t="str">
        <f>КАГ!G10</f>
        <v>Александрова И.А.</v>
      </c>
      <c r="H14" s="109" t="str">
        <f>IF(ISBLANK(КАГ!H10),"",КАГ!H10)</f>
        <v/>
      </c>
    </row>
    <row r="15" spans="1:8" ht="18" thickTop="1" thickBot="1">
      <c r="A15" s="106" t="s">
        <v>256</v>
      </c>
      <c r="B15" s="190" t="str">
        <f>КАГ!B11</f>
        <v>Соколова Н.В.</v>
      </c>
      <c r="C15" s="18"/>
      <c r="D15" s="116" t="s">
        <v>233</v>
      </c>
      <c r="E15" s="112"/>
      <c r="F15" s="112"/>
      <c r="G15" s="96" t="str">
        <f>КАГ!G11</f>
        <v>Равинская Я.А.</v>
      </c>
      <c r="H15" s="109" t="str">
        <f>IF(ISBLANK(КАГ!H11),"",КАГ!H11)</f>
        <v/>
      </c>
    </row>
    <row r="16" spans="1:8" ht="16.5" thickTop="1">
      <c r="A16" s="76" t="s">
        <v>8</v>
      </c>
      <c r="B16" s="75">
        <f>КАГ!B12</f>
        <v>30153</v>
      </c>
      <c r="C16" s="18"/>
      <c r="D16" s="116" t="s">
        <v>371</v>
      </c>
      <c r="E16" s="112"/>
      <c r="F16" s="112"/>
      <c r="G16" s="96" t="str">
        <f>КАГ!G12</f>
        <v>Капралова Е.А.</v>
      </c>
      <c r="H16" s="109" t="str">
        <f>IF(ISBLANK(КАГ!H12),"",КАГ!H12)</f>
        <v/>
      </c>
    </row>
    <row r="17" spans="1:8" ht="15.75">
      <c r="A17" s="76" t="s">
        <v>10</v>
      </c>
      <c r="B17" s="77">
        <f>КАГ!B13</f>
        <v>40</v>
      </c>
      <c r="C17" s="18"/>
      <c r="D17" s="116" t="s">
        <v>247</v>
      </c>
      <c r="E17" s="112"/>
      <c r="F17" s="112"/>
      <c r="G17" s="96" t="str">
        <f>IF(ISBLANK(КАГ!G13),"",КАГ!G13)</f>
        <v/>
      </c>
      <c r="H17" s="109" t="str">
        <f>IF(ISBLANK(КАГ!H13),"",КАГ!H13)</f>
        <v/>
      </c>
    </row>
    <row r="18" spans="1:8" ht="15.75">
      <c r="A18" s="76" t="s">
        <v>12</v>
      </c>
      <c r="B18" s="78">
        <f>КАГ!B14</f>
        <v>12004</v>
      </c>
      <c r="C18" s="18"/>
      <c r="D18" s="18"/>
      <c r="E18" s="18"/>
      <c r="F18" s="18"/>
      <c r="G18" s="18"/>
      <c r="H18" s="44"/>
    </row>
    <row r="19" spans="1:8" ht="14.45" customHeight="1">
      <c r="A19" s="76" t="s">
        <v>196</v>
      </c>
      <c r="B19" s="78">
        <f>КАГ!B15</f>
        <v>35</v>
      </c>
      <c r="C19" s="80"/>
      <c r="D19" s="80"/>
      <c r="E19" s="80"/>
      <c r="F19" s="80"/>
      <c r="G19" s="103" t="s">
        <v>338</v>
      </c>
      <c r="H19" s="110" t="s">
        <v>339</v>
      </c>
    </row>
    <row r="20" spans="1:8" ht="14.45" customHeight="1">
      <c r="A20" s="76" t="s">
        <v>134</v>
      </c>
      <c r="B20" s="75" t="str">
        <f>КАГ!B16</f>
        <v>ОКС с ↑ ST</v>
      </c>
      <c r="C20" s="82"/>
      <c r="D20" s="82"/>
      <c r="E20" s="82"/>
      <c r="F20" s="82"/>
      <c r="G20" s="160" t="str">
        <f>КАГ!G16</f>
        <v>12:48</v>
      </c>
      <c r="H20" s="118">
        <f>КАГ!H16</f>
        <v>504</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Реканализация:</v>
      </c>
      <c r="H22" s="85">
        <f>IFERROR(SUM(IF($B$20=Вмешательства!F11,SUM(КАГ!$B$9+0.01),"")),"")</f>
        <v>0.58986111111111106</v>
      </c>
    </row>
    <row r="23" spans="1:8" ht="14.45" customHeight="1">
      <c r="A23" s="224" t="s">
        <v>465</v>
      </c>
      <c r="B23" s="225"/>
      <c r="C23" s="225"/>
      <c r="D23" s="225"/>
      <c r="E23" s="225"/>
      <c r="F23" s="225"/>
      <c r="G23" s="225"/>
      <c r="H23" s="226"/>
    </row>
    <row r="24" spans="1:8" ht="14.45" customHeight="1">
      <c r="A24" s="227"/>
      <c r="B24" s="225"/>
      <c r="C24" s="225"/>
      <c r="D24" s="225"/>
      <c r="E24" s="225"/>
      <c r="F24" s="225"/>
      <c r="G24" s="225"/>
      <c r="H24" s="226"/>
    </row>
    <row r="25" spans="1:8" ht="14.45" customHeight="1">
      <c r="A25" s="227"/>
      <c r="B25" s="225"/>
      <c r="C25" s="225"/>
      <c r="D25" s="225"/>
      <c r="E25" s="225"/>
      <c r="F25" s="225"/>
      <c r="G25" s="225"/>
      <c r="H25" s="226"/>
    </row>
    <row r="26" spans="1:8" ht="14.45" customHeight="1">
      <c r="A26" s="227"/>
      <c r="B26" s="225"/>
      <c r="C26" s="225"/>
      <c r="D26" s="225"/>
      <c r="E26" s="225"/>
      <c r="F26" s="225"/>
      <c r="G26" s="225"/>
      <c r="H26" s="226"/>
    </row>
    <row r="27" spans="1:8" ht="14.45" customHeight="1">
      <c r="A27" s="227"/>
      <c r="B27" s="225"/>
      <c r="C27" s="225"/>
      <c r="D27" s="225"/>
      <c r="E27" s="225"/>
      <c r="F27" s="225"/>
      <c r="G27" s="225"/>
      <c r="H27" s="226"/>
    </row>
    <row r="28" spans="1:8" ht="14.45" customHeight="1">
      <c r="A28" s="227"/>
      <c r="B28" s="225"/>
      <c r="C28" s="225"/>
      <c r="D28" s="225"/>
      <c r="E28" s="225"/>
      <c r="F28" s="225"/>
      <c r="G28" s="225"/>
      <c r="H28" s="226"/>
    </row>
    <row r="29" spans="1:8" ht="14.45" customHeight="1">
      <c r="A29" s="227"/>
      <c r="B29" s="225"/>
      <c r="C29" s="225"/>
      <c r="D29" s="225"/>
      <c r="E29" s="225"/>
      <c r="F29" s="225"/>
      <c r="G29" s="225"/>
      <c r="H29" s="226"/>
    </row>
    <row r="30" spans="1:8" ht="14.45" customHeight="1">
      <c r="A30" s="227"/>
      <c r="B30" s="225"/>
      <c r="C30" s="225"/>
      <c r="D30" s="225"/>
      <c r="E30" s="225"/>
      <c r="F30" s="225"/>
      <c r="G30" s="225"/>
      <c r="H30" s="226"/>
    </row>
    <row r="31" spans="1:8" ht="14.45" customHeight="1">
      <c r="A31" s="227"/>
      <c r="B31" s="225"/>
      <c r="C31" s="225"/>
      <c r="D31" s="225"/>
      <c r="E31" s="225"/>
      <c r="F31" s="225"/>
      <c r="G31" s="225"/>
      <c r="H31" s="226"/>
    </row>
    <row r="32" spans="1:8" ht="14.45" customHeight="1">
      <c r="A32" s="227"/>
      <c r="B32" s="225"/>
      <c r="C32" s="225"/>
      <c r="D32" s="225"/>
      <c r="E32" s="225"/>
      <c r="F32" s="225"/>
      <c r="G32" s="225"/>
      <c r="H32" s="226"/>
    </row>
    <row r="33" spans="1:8" ht="14.45" customHeight="1">
      <c r="A33" s="227"/>
      <c r="B33" s="225"/>
      <c r="C33" s="225"/>
      <c r="D33" s="225"/>
      <c r="E33" s="225"/>
      <c r="F33" s="225"/>
      <c r="G33" s="225"/>
      <c r="H33" s="226"/>
    </row>
    <row r="34" spans="1:8" ht="14.45" customHeight="1">
      <c r="A34" s="227"/>
      <c r="B34" s="225"/>
      <c r="C34" s="225"/>
      <c r="D34" s="225"/>
      <c r="E34" s="225"/>
      <c r="F34" s="225"/>
      <c r="G34" s="225"/>
      <c r="H34" s="226"/>
    </row>
    <row r="35" spans="1:8" ht="14.45" customHeight="1">
      <c r="A35" s="227"/>
      <c r="B35" s="225"/>
      <c r="C35" s="225"/>
      <c r="D35" s="225"/>
      <c r="E35" s="225"/>
      <c r="F35" s="225"/>
      <c r="G35" s="225"/>
      <c r="H35" s="226"/>
    </row>
    <row r="36" spans="1:8" ht="14.45" customHeight="1">
      <c r="A36" s="227"/>
      <c r="B36" s="225"/>
      <c r="C36" s="225"/>
      <c r="D36" s="225"/>
      <c r="E36" s="225"/>
      <c r="F36" s="225"/>
      <c r="G36" s="225"/>
      <c r="H36" s="226"/>
    </row>
    <row r="37" spans="1:8" ht="14.45" customHeight="1">
      <c r="A37" s="227"/>
      <c r="B37" s="225"/>
      <c r="C37" s="225"/>
      <c r="D37" s="225"/>
      <c r="E37" s="225"/>
      <c r="F37" s="225"/>
      <c r="G37" s="225"/>
      <c r="H37" s="226"/>
    </row>
    <row r="38" spans="1:8" ht="14.45" customHeight="1">
      <c r="A38" s="81"/>
      <c r="B38" s="82"/>
      <c r="C38" s="82"/>
      <c r="D38" s="82"/>
      <c r="E38" s="82"/>
      <c r="F38" s="82"/>
      <c r="G38" s="82"/>
      <c r="H38" s="158"/>
    </row>
    <row r="39" spans="1:8" ht="15.75">
      <c r="A39" s="37"/>
      <c r="B39" s="33"/>
      <c r="C39" s="149"/>
      <c r="D39" s="150" t="s">
        <v>251</v>
      </c>
      <c r="E39" s="87"/>
      <c r="F39" s="87"/>
      <c r="G39" s="87"/>
      <c r="H39" s="88"/>
    </row>
    <row r="40" spans="1:8" ht="14.45" customHeight="1">
      <c r="A40" s="37"/>
      <c r="B40" s="33"/>
      <c r="C40" s="148"/>
      <c r="D40" s="228" t="s">
        <v>463</v>
      </c>
      <c r="E40" s="222"/>
      <c r="F40" s="222"/>
      <c r="G40" s="222"/>
      <c r="H40" s="223"/>
    </row>
    <row r="41" spans="1:8" ht="14.45" customHeight="1">
      <c r="A41" s="37"/>
      <c r="B41" s="33"/>
      <c r="C41" s="148"/>
      <c r="D41" s="222"/>
      <c r="E41" s="222"/>
      <c r="F41" s="222"/>
      <c r="G41" s="222"/>
      <c r="H41" s="223"/>
    </row>
    <row r="42" spans="1:8" ht="14.45" customHeight="1">
      <c r="A42" s="37"/>
      <c r="B42" s="33"/>
      <c r="C42" s="148"/>
      <c r="D42" s="222"/>
      <c r="E42" s="222"/>
      <c r="F42" s="222"/>
      <c r="G42" s="222"/>
      <c r="H42" s="223"/>
    </row>
    <row r="43" spans="1:8" ht="14.45" customHeight="1">
      <c r="A43" s="37"/>
      <c r="B43" s="33"/>
      <c r="C43" s="148"/>
      <c r="D43" s="222"/>
      <c r="E43" s="222"/>
      <c r="F43" s="222"/>
      <c r="G43" s="222"/>
      <c r="H43" s="223"/>
    </row>
    <row r="44" spans="1:8" ht="14.45" customHeight="1">
      <c r="A44" s="37"/>
      <c r="B44" s="33"/>
      <c r="C44" s="148"/>
      <c r="D44" s="222"/>
      <c r="E44" s="222"/>
      <c r="F44" s="222"/>
      <c r="G44" s="222"/>
      <c r="H44" s="223"/>
    </row>
    <row r="45" spans="1:8" ht="14.45" customHeight="1">
      <c r="A45" s="37"/>
      <c r="B45" s="33"/>
      <c r="C45" s="148"/>
      <c r="D45" s="222"/>
      <c r="E45" s="222"/>
      <c r="F45" s="222"/>
      <c r="G45" s="222"/>
      <c r="H45" s="223"/>
    </row>
    <row r="46" spans="1:8" ht="14.45" customHeight="1">
      <c r="A46" s="37"/>
      <c r="B46" s="33"/>
      <c r="C46" s="148"/>
      <c r="D46" s="222"/>
      <c r="E46" s="222"/>
      <c r="F46" s="222"/>
      <c r="G46" s="222"/>
      <c r="H46" s="223"/>
    </row>
    <row r="47" spans="1:8" ht="14.45" customHeight="1">
      <c r="A47" s="43"/>
      <c r="B47" s="18"/>
      <c r="C47" s="148"/>
      <c r="D47" s="222"/>
      <c r="E47" s="222"/>
      <c r="F47" s="222"/>
      <c r="G47" s="222"/>
      <c r="H47" s="223"/>
    </row>
    <row r="48" spans="1:8" ht="14.45" customHeight="1">
      <c r="A48" s="43"/>
      <c r="B48" s="18"/>
      <c r="C48" s="148"/>
      <c r="D48" s="222"/>
      <c r="E48" s="222"/>
      <c r="F48" s="222"/>
      <c r="G48" s="222"/>
      <c r="H48" s="223"/>
    </row>
    <row r="49" spans="1:8" ht="14.45" customHeight="1">
      <c r="A49" s="43"/>
      <c r="B49" s="18"/>
      <c r="C49" s="148"/>
      <c r="D49" s="222"/>
      <c r="E49" s="222"/>
      <c r="F49" s="222"/>
      <c r="G49" s="222"/>
      <c r="H49" s="223"/>
    </row>
    <row r="50" spans="1:8">
      <c r="A50" s="43"/>
      <c r="B50" s="18"/>
      <c r="C50" s="18"/>
      <c r="D50" s="18"/>
      <c r="E50" s="18"/>
      <c r="F50" s="18"/>
      <c r="G50" s="18"/>
      <c r="H50" s="44"/>
    </row>
    <row r="51" spans="1:8">
      <c r="A51" s="70" t="s">
        <v>263</v>
      </c>
      <c r="B51" s="71" t="s">
        <v>464</v>
      </c>
      <c r="C51" s="18"/>
      <c r="D51" s="18"/>
      <c r="E51" s="18"/>
      <c r="F51" s="18"/>
      <c r="G51" s="89" t="str">
        <f>$G$13</f>
        <v>Щербаков А.С.</v>
      </c>
      <c r="H51" s="72"/>
    </row>
    <row r="52" spans="1:8">
      <c r="A52" s="43"/>
      <c r="B52" s="18"/>
      <c r="C52" s="18"/>
      <c r="D52" s="18"/>
      <c r="E52" s="18"/>
      <c r="F52" s="18"/>
      <c r="G52" s="18"/>
      <c r="H52" s="44"/>
    </row>
    <row r="53" spans="1:8">
      <c r="A53" s="79" t="s">
        <v>270</v>
      </c>
      <c r="B53" s="74" t="s">
        <v>383</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F17" sqref="F17"/>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44771</v>
      </c>
      <c r="C2" s="189" t="str">
        <f>IF(ЧКВ!A6=Вмешательства!D4,Вмешательства!K7,IF(ЧКВ!A6=Вмешательства!D5,Вмешательства!K7,Вмешательства!K9))</f>
        <v>ОМС</v>
      </c>
      <c r="D2" s="121" t="s">
        <v>127</v>
      </c>
    </row>
    <row r="3" spans="1:4" ht="20.45" customHeight="1">
      <c r="A3" s="122" t="s">
        <v>125</v>
      </c>
      <c r="B3" s="123"/>
      <c r="C3" s="18"/>
      <c r="D3" s="44"/>
    </row>
    <row r="4" spans="1:4" ht="17.25" thickBot="1">
      <c r="A4" s="183" t="s">
        <v>259</v>
      </c>
      <c r="B4" s="184" t="s">
        <v>133</v>
      </c>
      <c r="C4" s="185" t="s">
        <v>15</v>
      </c>
      <c r="D4" s="186" t="str">
        <f>КАГ!$B$11</f>
        <v>Соколова Н.В.</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30153</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A16.12.028.017</v>
      </c>
      <c r="B6" s="167" t="str">
        <f>ЧКВ!A6</f>
        <v>Попытка стентирования коронарных артерий</v>
      </c>
      <c r="C6" s="164" t="s">
        <v>10</v>
      </c>
      <c r="D6" s="126">
        <f>DATEDIF(D5,D10,"y")</f>
        <v>40</v>
      </c>
    </row>
    <row r="7" spans="1:4">
      <c r="A7" s="43"/>
      <c r="B7" s="18"/>
      <c r="C7" s="124" t="s">
        <v>12</v>
      </c>
      <c r="D7" s="126">
        <f>КАГ!$B$14</f>
        <v>12004</v>
      </c>
    </row>
    <row r="8" spans="1:4">
      <c r="A8" s="127" t="str">
        <f>ЧКВ!$A$9</f>
        <v xml:space="preserve">Код модели: </v>
      </c>
      <c r="B8" s="128"/>
      <c r="C8" s="124" t="s">
        <v>196</v>
      </c>
      <c r="D8" s="126">
        <f>КАГ!$B$15</f>
        <v>35</v>
      </c>
    </row>
    <row r="9" spans="1:4">
      <c r="A9" s="127" t="str">
        <f>ЧКВ!$A$10</f>
        <v xml:space="preserve">Код метода: </v>
      </c>
      <c r="B9" s="18"/>
      <c r="C9" s="129" t="s">
        <v>134</v>
      </c>
      <c r="D9" s="126" t="str">
        <f>КАГ!$B$16</f>
        <v>ОКС с ↑ ST</v>
      </c>
    </row>
    <row r="10" spans="1:4">
      <c r="A10" s="45"/>
      <c r="B10" s="36"/>
      <c r="C10" s="187" t="s">
        <v>13</v>
      </c>
      <c r="D10" s="188">
        <f>КАГ!$B$8</f>
        <v>44771</v>
      </c>
    </row>
    <row r="11" spans="1:4">
      <c r="A11" s="32"/>
      <c r="B11" s="136"/>
      <c r="C11" s="136"/>
      <c r="D11" s="137"/>
    </row>
    <row r="12" spans="1:4" ht="18.75" customHeight="1">
      <c r="A12" s="171" t="s">
        <v>412</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99" t="s">
        <v>407</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91" t="s">
        <v>402</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1" t="s">
        <v>450</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c>
      <c r="B16" s="191"/>
      <c r="C16" s="168"/>
      <c r="D16" s="175"/>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
      </c>
      <c r="B17" s="191"/>
      <c r="C17" s="168"/>
      <c r="D17" s="175"/>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
      </c>
      <c r="B18" s="191"/>
      <c r="C18" s="168"/>
      <c r="D18" s="175"/>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c>
      <c r="B19" s="191"/>
      <c r="C19" s="168"/>
      <c r="D19" s="175"/>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2"/>
      <c r="C20" s="168"/>
      <c r="D20" s="175"/>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1"/>
      <c r="C21" s="168"/>
      <c r="D21" s="177"/>
    </row>
    <row r="22" spans="1:4" ht="27.75" customHeight="1">
      <c r="A22" s="178" t="str">
        <f>IFERROR(INDEX(Расходка[[Тип расходного материала ]],MATCH(Карта_Учёта[[#This Row],[Наименование расходного материала]],Расходка[Наименование расходного материала],0)),"")</f>
        <v/>
      </c>
      <c r="B22" s="193"/>
      <c r="C22" s="168"/>
      <c r="D22" s="177"/>
    </row>
    <row r="23" spans="1:4" ht="27.75" customHeight="1">
      <c r="A23" s="178" t="str">
        <f>IFERROR(INDEX(Расходка[[Тип расходного материала ]],MATCH(Карта_Учёта[[#This Row],[Наименование расходного материала]],Расходка[Наименование расходного материала],0)),"")</f>
        <v/>
      </c>
      <c r="B23" s="193"/>
      <c r="C23" s="168"/>
      <c r="D23" s="177"/>
    </row>
    <row r="24" spans="1:4" ht="27.75" customHeight="1">
      <c r="A24" s="179" t="str">
        <f>IFERROR(INDEX(Расходка[[Тип расходного материала ]],MATCH(Карта_Учёта[[#This Row],[Наименование расходного материала]],Расходка[Наименование расходного материала],0)),"")</f>
        <v/>
      </c>
      <c r="B24" s="193"/>
      <c r="C24" s="169"/>
      <c r="D24" s="177"/>
    </row>
    <row r="25" spans="1:4" ht="27.75" customHeight="1">
      <c r="A25" s="180" t="str">
        <f>IFERROR(INDEX(Расходка[[Тип расходного материала ]],MATCH(Карта_Учёта[[#This Row],[Наименование расходного материала]],Расходка[Наименование расходного материала],0)),"")</f>
        <v/>
      </c>
      <c r="B25" s="194"/>
      <c r="C25" s="181"/>
      <c r="D25" s="182"/>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449</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343</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материал'!$C$2:$C$51</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0" activePane="bottomLeft" state="frozen"/>
      <selection pane="bottomLeft" activeCell="D4" sqref="D4"/>
    </sheetView>
  </sheetViews>
  <sheetFormatPr defaultRowHeight="15"/>
  <cols>
    <col min="1" max="1" width="5" customWidth="1"/>
    <col min="2" max="2" width="13.28515625" hidden="1" customWidth="1"/>
    <col min="3" max="3" width="25.5703125" bestFit="1" customWidth="1"/>
    <col min="4" max="4" width="56.7109375" customWidth="1"/>
    <col min="6" max="6" width="40"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190</v>
      </c>
      <c r="J1" s="2" t="s">
        <v>193</v>
      </c>
      <c r="K1" s="2" t="s">
        <v>191</v>
      </c>
      <c r="L1" s="2" t="s">
        <v>194</v>
      </c>
    </row>
    <row r="2" spans="1:15">
      <c r="A2" s="10">
        <v>1</v>
      </c>
      <c r="B2" s="2" t="s">
        <v>9</v>
      </c>
      <c r="C2" s="10" t="s">
        <v>292</v>
      </c>
      <c r="D2" s="5" t="s">
        <v>277</v>
      </c>
      <c r="F2" t="s">
        <v>91</v>
      </c>
      <c r="G2">
        <v>155800</v>
      </c>
      <c r="I2" t="s">
        <v>98</v>
      </c>
      <c r="J2" s="2">
        <v>21166</v>
      </c>
      <c r="K2" t="s">
        <v>100</v>
      </c>
      <c r="L2" s="2">
        <v>47</v>
      </c>
      <c r="M2" s="12"/>
      <c r="N2" t="s">
        <v>279</v>
      </c>
    </row>
    <row r="3" spans="1:15">
      <c r="A3" s="10">
        <v>2</v>
      </c>
      <c r="B3" s="2" t="s">
        <v>18</v>
      </c>
      <c r="C3" s="10" t="s">
        <v>85</v>
      </c>
      <c r="D3" s="5" t="s">
        <v>278</v>
      </c>
      <c r="F3" t="s">
        <v>92</v>
      </c>
      <c r="G3">
        <v>218190</v>
      </c>
      <c r="I3" t="s">
        <v>385</v>
      </c>
      <c r="J3" s="2">
        <v>21167</v>
      </c>
      <c r="K3" t="s">
        <v>101</v>
      </c>
      <c r="L3" s="2">
        <v>46</v>
      </c>
      <c r="N3" t="s">
        <v>271</v>
      </c>
    </row>
    <row r="4" spans="1:15" ht="30">
      <c r="A4" s="10">
        <v>3</v>
      </c>
      <c r="B4" s="2" t="s">
        <v>38</v>
      </c>
      <c r="C4" s="10" t="s">
        <v>39</v>
      </c>
      <c r="D4" s="5" t="s">
        <v>272</v>
      </c>
      <c r="F4" t="s">
        <v>93</v>
      </c>
      <c r="G4">
        <v>218140</v>
      </c>
      <c r="I4" t="s">
        <v>192</v>
      </c>
      <c r="J4" s="2">
        <v>21168</v>
      </c>
      <c r="K4" t="s">
        <v>102</v>
      </c>
      <c r="L4" s="2">
        <v>45</v>
      </c>
      <c r="N4" t="s">
        <v>441</v>
      </c>
    </row>
    <row r="5" spans="1:15" ht="30">
      <c r="A5" s="10">
        <v>4</v>
      </c>
      <c r="B5" s="2"/>
      <c r="C5" s="10" t="s">
        <v>39</v>
      </c>
      <c r="D5" s="5" t="s">
        <v>440</v>
      </c>
      <c r="F5" t="s">
        <v>94</v>
      </c>
      <c r="G5">
        <v>218160</v>
      </c>
    </row>
    <row r="6" spans="1:15" ht="30">
      <c r="A6" s="10">
        <v>5</v>
      </c>
      <c r="B6" s="2" t="s">
        <v>36</v>
      </c>
      <c r="C6" s="10" t="s">
        <v>37</v>
      </c>
      <c r="D6" s="5" t="s">
        <v>250</v>
      </c>
      <c r="F6" t="s">
        <v>95</v>
      </c>
      <c r="G6">
        <v>194510</v>
      </c>
    </row>
    <row r="7" spans="1:15" ht="30">
      <c r="A7" s="10">
        <v>6</v>
      </c>
      <c r="B7" s="9"/>
      <c r="C7" s="10" t="s">
        <v>99</v>
      </c>
      <c r="D7" s="5" t="s">
        <v>377</v>
      </c>
      <c r="F7" t="s">
        <v>96</v>
      </c>
      <c r="G7">
        <v>323500</v>
      </c>
      <c r="I7" t="s">
        <v>291</v>
      </c>
      <c r="K7" t="s">
        <v>376</v>
      </c>
    </row>
    <row r="8" spans="1:15" ht="30">
      <c r="A8" s="10">
        <v>7</v>
      </c>
      <c r="B8" s="2"/>
      <c r="C8" s="10" t="s">
        <v>293</v>
      </c>
      <c r="D8" s="5" t="s">
        <v>195</v>
      </c>
      <c r="F8" t="s">
        <v>97</v>
      </c>
      <c r="G8">
        <v>323510</v>
      </c>
      <c r="I8" t="s">
        <v>281</v>
      </c>
      <c r="K8" t="s">
        <v>413</v>
      </c>
    </row>
    <row r="9" spans="1:15">
      <c r="A9" s="10">
        <v>8</v>
      </c>
      <c r="B9" s="9"/>
      <c r="C9" s="10" t="s">
        <v>80</v>
      </c>
      <c r="D9" s="5" t="s">
        <v>311</v>
      </c>
      <c r="I9" t="s">
        <v>282</v>
      </c>
      <c r="K9" t="s">
        <v>414</v>
      </c>
    </row>
    <row r="10" spans="1:15">
      <c r="A10" s="10">
        <v>9</v>
      </c>
      <c r="B10" s="2" t="s">
        <v>35</v>
      </c>
      <c r="C10" s="10" t="s">
        <v>86</v>
      </c>
      <c r="D10" s="5" t="s">
        <v>87</v>
      </c>
      <c r="F10" t="s">
        <v>134</v>
      </c>
      <c r="I10" t="s">
        <v>283</v>
      </c>
    </row>
    <row r="11" spans="1:15">
      <c r="A11" s="10">
        <v>10</v>
      </c>
      <c r="B11" s="2"/>
      <c r="C11" s="10" t="s">
        <v>294</v>
      </c>
      <c r="D11" s="5" t="s">
        <v>202</v>
      </c>
      <c r="F11" s="16" t="s">
        <v>98</v>
      </c>
      <c r="G11" s="16"/>
      <c r="H11" s="16"/>
      <c r="I11" t="s">
        <v>284</v>
      </c>
    </row>
    <row r="12" spans="1:15">
      <c r="A12" s="10">
        <v>11</v>
      </c>
      <c r="B12" s="2" t="s">
        <v>25</v>
      </c>
      <c r="C12" s="10" t="s">
        <v>295</v>
      </c>
      <c r="D12" s="5" t="s">
        <v>26</v>
      </c>
      <c r="F12" s="16" t="s">
        <v>384</v>
      </c>
      <c r="G12" s="16"/>
      <c r="H12" s="16"/>
      <c r="I12" t="s">
        <v>285</v>
      </c>
      <c r="O12" s="10"/>
    </row>
    <row r="13" spans="1:15">
      <c r="A13" s="10">
        <v>12</v>
      </c>
      <c r="B13" s="2" t="s">
        <v>19</v>
      </c>
      <c r="C13" s="10" t="s">
        <v>296</v>
      </c>
      <c r="D13" s="5" t="s">
        <v>20</v>
      </c>
      <c r="F13" s="16" t="s">
        <v>192</v>
      </c>
      <c r="G13" s="16"/>
      <c r="H13" s="16"/>
      <c r="I13" t="s">
        <v>286</v>
      </c>
      <c r="N13" s="12"/>
      <c r="O13" s="12"/>
    </row>
    <row r="14" spans="1:15">
      <c r="A14" s="10">
        <v>13</v>
      </c>
      <c r="B14" s="2" t="s">
        <v>21</v>
      </c>
      <c r="C14" s="10" t="s">
        <v>297</v>
      </c>
      <c r="D14" s="5" t="s">
        <v>22</v>
      </c>
      <c r="F14" s="16" t="s">
        <v>153</v>
      </c>
      <c r="G14" s="16"/>
      <c r="H14" s="16"/>
      <c r="I14" t="s">
        <v>287</v>
      </c>
    </row>
    <row r="15" spans="1:15">
      <c r="A15" s="10">
        <v>14</v>
      </c>
      <c r="B15" s="2" t="s">
        <v>23</v>
      </c>
      <c r="C15" s="10" t="s">
        <v>298</v>
      </c>
      <c r="D15" s="5" t="s">
        <v>24</v>
      </c>
      <c r="F15" s="16" t="s">
        <v>155</v>
      </c>
      <c r="G15" s="16"/>
      <c r="H15" s="16"/>
      <c r="I15" t="s">
        <v>273</v>
      </c>
    </row>
    <row r="16" spans="1:15">
      <c r="A16" s="10">
        <v>15</v>
      </c>
      <c r="B16" s="2" t="s">
        <v>27</v>
      </c>
      <c r="C16" s="10" t="s">
        <v>299</v>
      </c>
      <c r="D16" s="5" t="s">
        <v>28</v>
      </c>
      <c r="F16" s="16" t="s">
        <v>154</v>
      </c>
      <c r="G16" s="16"/>
      <c r="H16" s="16"/>
      <c r="I16" t="s">
        <v>288</v>
      </c>
    </row>
    <row r="17" spans="1:9">
      <c r="A17" s="10">
        <v>16</v>
      </c>
      <c r="B17" s="2" t="s">
        <v>29</v>
      </c>
      <c r="C17" s="10" t="s">
        <v>300</v>
      </c>
      <c r="D17" s="5" t="s">
        <v>30</v>
      </c>
      <c r="F17" s="16" t="s">
        <v>157</v>
      </c>
      <c r="I17" t="s">
        <v>280</v>
      </c>
    </row>
    <row r="18" spans="1:9">
      <c r="A18" s="10">
        <v>17</v>
      </c>
      <c r="B18" s="2" t="s">
        <v>31</v>
      </c>
      <c r="C18" s="10" t="s">
        <v>301</v>
      </c>
      <c r="D18" s="5" t="s">
        <v>32</v>
      </c>
      <c r="F18" s="16"/>
      <c r="I18" t="s">
        <v>289</v>
      </c>
    </row>
    <row r="19" spans="1:9">
      <c r="A19" s="10">
        <v>18</v>
      </c>
      <c r="B19" s="2" t="s">
        <v>33</v>
      </c>
      <c r="C19" s="10" t="s">
        <v>302</v>
      </c>
      <c r="D19" s="5" t="s">
        <v>34</v>
      </c>
      <c r="I19" t="s">
        <v>290</v>
      </c>
    </row>
    <row r="20" spans="1:9" ht="30">
      <c r="A20" s="10">
        <v>19</v>
      </c>
      <c r="B20" s="2" t="s">
        <v>40</v>
      </c>
      <c r="C20" s="10" t="s">
        <v>41</v>
      </c>
      <c r="D20" s="5" t="s">
        <v>42</v>
      </c>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308</v>
      </c>
      <c r="D29" s="5" t="s">
        <v>309</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304</v>
      </c>
      <c r="D32" s="5" t="s">
        <v>75</v>
      </c>
      <c r="F32" s="13"/>
      <c r="G32" s="13"/>
      <c r="H32" s="13"/>
      <c r="I32" s="13"/>
    </row>
    <row r="33" spans="1:9">
      <c r="A33" s="10">
        <v>32</v>
      </c>
      <c r="B33" s="2" t="s">
        <v>76</v>
      </c>
      <c r="C33" s="94" t="s">
        <v>303</v>
      </c>
      <c r="D33" s="5" t="s">
        <v>77</v>
      </c>
      <c r="F33" s="13"/>
      <c r="G33" s="13"/>
      <c r="H33" s="13"/>
      <c r="I33" s="13"/>
    </row>
    <row r="34" spans="1:9">
      <c r="A34" s="10">
        <v>33</v>
      </c>
      <c r="B34" s="2" t="s">
        <v>78</v>
      </c>
      <c r="C34" s="94" t="s">
        <v>305</v>
      </c>
      <c r="D34" s="5" t="s">
        <v>79</v>
      </c>
      <c r="F34" s="13"/>
      <c r="G34" s="13"/>
      <c r="H34" s="13"/>
      <c r="I34" s="13"/>
    </row>
    <row r="35" spans="1:9">
      <c r="A35" s="10">
        <v>34</v>
      </c>
      <c r="B35" s="2" t="s">
        <v>81</v>
      </c>
      <c r="C35" s="94" t="s">
        <v>82</v>
      </c>
      <c r="D35" s="5" t="s">
        <v>306</v>
      </c>
      <c r="F35" s="13"/>
      <c r="G35" s="13"/>
      <c r="H35" s="13"/>
      <c r="I35" s="13"/>
    </row>
    <row r="36" spans="1:9">
      <c r="A36" s="10">
        <v>35</v>
      </c>
      <c r="B36" s="2" t="s">
        <v>83</v>
      </c>
      <c r="C36" s="94" t="s">
        <v>84</v>
      </c>
      <c r="D36" s="5" t="s">
        <v>307</v>
      </c>
      <c r="F36" s="13"/>
      <c r="G36" s="13"/>
      <c r="H36" s="13"/>
      <c r="I36" s="13"/>
    </row>
    <row r="37" spans="1:9">
      <c r="A37" s="10">
        <v>36</v>
      </c>
      <c r="B37" s="9"/>
      <c r="C37" s="94" t="s">
        <v>310</v>
      </c>
      <c r="D37" s="6" t="s">
        <v>88</v>
      </c>
      <c r="F37" s="13"/>
      <c r="G37" s="13"/>
      <c r="H37" s="13"/>
      <c r="I37" s="13"/>
    </row>
  </sheetData>
  <sheetProtection sheet="1" objects="1" scenarios="1" formatCells="0" formatColumns="0"/>
  <phoneticPr fontId="14"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8"/>
  <sheetViews>
    <sheetView topLeftCell="A25" zoomScaleNormal="100" workbookViewId="0">
      <selection activeCell="D39" sqref="D39"/>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9.85546875" customWidth="1"/>
    <col min="37" max="37" width="24.85546875" bestFit="1" customWidth="1"/>
  </cols>
  <sheetData>
    <row r="1" spans="1:37">
      <c r="A1" t="s">
        <v>2</v>
      </c>
      <c r="B1" t="s">
        <v>1</v>
      </c>
      <c r="C1" t="s">
        <v>0</v>
      </c>
      <c r="E1" s="139" t="s">
        <v>129</v>
      </c>
      <c r="F1" s="139" t="s">
        <v>130</v>
      </c>
      <c r="G1" s="139" t="s">
        <v>347</v>
      </c>
      <c r="H1" s="139" t="s">
        <v>348</v>
      </c>
      <c r="I1" s="139" t="s">
        <v>349</v>
      </c>
      <c r="J1" s="139" t="s">
        <v>350</v>
      </c>
      <c r="K1" s="140" t="s">
        <v>351</v>
      </c>
      <c r="L1" s="140" t="s">
        <v>352</v>
      </c>
      <c r="M1" s="140" t="s">
        <v>353</v>
      </c>
      <c r="N1" s="140" t="s">
        <v>354</v>
      </c>
      <c r="O1" s="140" t="s">
        <v>355</v>
      </c>
      <c r="P1" s="140" t="s">
        <v>356</v>
      </c>
      <c r="Q1" s="140" t="s">
        <v>357</v>
      </c>
      <c r="R1" s="139" t="s">
        <v>131</v>
      </c>
      <c r="S1" s="139" t="s">
        <v>132</v>
      </c>
      <c r="T1" s="139" t="s">
        <v>358</v>
      </c>
      <c r="U1" s="139" t="s">
        <v>359</v>
      </c>
      <c r="V1" s="139" t="s">
        <v>360</v>
      </c>
      <c r="W1" s="139" t="s">
        <v>361</v>
      </c>
      <c r="X1" s="139" t="s">
        <v>362</v>
      </c>
      <c r="Y1" s="139" t="s">
        <v>363</v>
      </c>
      <c r="Z1" s="139" t="s">
        <v>364</v>
      </c>
      <c r="AA1" s="139" t="s">
        <v>365</v>
      </c>
      <c r="AB1" s="139" t="s">
        <v>366</v>
      </c>
      <c r="AC1" s="139" t="s">
        <v>367</v>
      </c>
      <c r="AD1" s="139" t="s">
        <v>368</v>
      </c>
      <c r="AF1" s="2" t="s">
        <v>159</v>
      </c>
      <c r="AG1" s="2" t="s">
        <v>189</v>
      </c>
      <c r="AI1" t="s">
        <v>260</v>
      </c>
      <c r="AJ1" t="s">
        <v>261</v>
      </c>
      <c r="AK1" t="s">
        <v>262</v>
      </c>
    </row>
    <row r="2" spans="1:37">
      <c r="A2">
        <v>1</v>
      </c>
      <c r="B2" t="s">
        <v>122</v>
      </c>
      <c r="C2" s="1" t="s">
        <v>381</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1</v>
      </c>
      <c r="I2" s="140">
        <f>IF(ISNUMBER(SEARCH('Карта учёта'!$B$17,Расходка[Наименование расходного материала])),MAX($I$1:I1)+1,0)</f>
        <v>1</v>
      </c>
      <c r="J2" s="140">
        <f>IF(ISNUMBER(SEARCH('Карта учёта'!$B$18,Расходка[Наименование расходного материала])),MAX($J$1:J1)+1,0)</f>
        <v>1</v>
      </c>
      <c r="K2" s="140">
        <f>IF(ISNUMBER(SEARCH('Карта учёта'!$B$19,Расходка[Наименование расходного материала])),MAX($K$1:K1)+1,0)</f>
        <v>1</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Launcher 6F JR 4.0</v>
      </c>
      <c r="S2" s="139" t="str">
        <f>IFERROR(INDEX(Расходка[Наименование расходного материала],MATCH(Расходка[№],Поиск_расходки[Индекс2],0)),"")</f>
        <v>Launcher 6F EBU 3.5</v>
      </c>
      <c r="T2" s="139" t="str">
        <f>IFERROR(INDEX(Расходка[Наименование расходного материала],MATCH(Расходка[№],Поиск_расходки[Индекс3],0)),"")</f>
        <v>Runthrough NS (Floppy)</v>
      </c>
      <c r="U2" s="139" t="str">
        <f>IFERROR(INDEX(Расходка[Наименование расходного материала],MATCH(Расходка[№],Поиск_расходки[Индекс4],0)),"")</f>
        <v>Hunter® 6F</v>
      </c>
      <c r="V2" s="139" t="str">
        <f>IFERROR(INDEX(Расходка[Наименование расходного материала],MATCH(Расходка[№],Поиск_расходки[Индекс5],0)),"")</f>
        <v>Hunter® 6F</v>
      </c>
      <c r="W2" s="139" t="str">
        <f>IFERROR(INDEX(Расходка[Наименование расходного материала],MATCH(Расходка[№],Поиск_расходки[Индекс6],0)),"")</f>
        <v>Hunter® 6F</v>
      </c>
      <c r="X2" s="139" t="str">
        <f>IFERROR(INDEX(Расходка[Наименование расходного материала],MATCH(Расходка[№],Поиск_расходки[Индекс7],0)),"")</f>
        <v>Hunter® 6F</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254</v>
      </c>
      <c r="AJ2" t="s">
        <v>263</v>
      </c>
      <c r="AK2" t="str">
        <f>CONCATENATE(AI2,AJ2)</f>
        <v xml:space="preserve">Контраст: Ультравист 370 </v>
      </c>
    </row>
    <row r="3" spans="1:37">
      <c r="A3">
        <v>2</v>
      </c>
      <c r="B3" t="s">
        <v>5</v>
      </c>
      <c r="C3" t="s">
        <v>389</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2</v>
      </c>
      <c r="I3" s="140">
        <f>IF(ISNUMBER(SEARCH('Карта учёта'!$B$17,Расходка[Наименование расходного материала])),MAX($I$1:I2)+1,0)</f>
        <v>2</v>
      </c>
      <c r="J3" s="140">
        <f>IF(ISNUMBER(SEARCH('Карта учёта'!$B$18,Расходка[Наименование расходного материала])),MAX($J$1:J2)+1,0)</f>
        <v>2</v>
      </c>
      <c r="K3" s="140">
        <f>IF(ISNUMBER(SEARCH('Карта учёта'!$B$19,Расходка[Наименование расходного материала])),MAX($K$1:K2)+1,0)</f>
        <v>2</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NC Accuforce</v>
      </c>
      <c r="V3" s="139" t="str">
        <f>IFERROR(INDEX(Расходка[Наименование расходного материала],MATCH(Расходка[№],Поиск_расходки[Индекс5],0)),"")</f>
        <v>NC Accuforce</v>
      </c>
      <c r="W3" s="139" t="str">
        <f>IFERROR(INDEX(Расходка[Наименование расходного материала],MATCH(Расходка[№],Поиск_расходки[Индекс6],0)),"")</f>
        <v>NC Accuforce</v>
      </c>
      <c r="X3" s="139" t="str">
        <f>IFERROR(INDEX(Расходка[Наименование расходного материала],MATCH(Расходка[№],Поиск_расходки[Индекс7],0)),"")</f>
        <v>NC Accuforce</v>
      </c>
      <c r="Y3" s="139" t="str">
        <f>IFERROR(INDEX(Расходка[Наименование расходного материала],MATCH(Расходка[№],Поиск_расходки[Индекс8],0)),"")</f>
        <v>NC Accuforce</v>
      </c>
      <c r="Z3" s="139" t="str">
        <f>IFERROR(INDEX(Расходка[Наименование расходного материала],MATCH(Расходка[№],Поиск_расходки[Индекс9],0)),"")</f>
        <v>NC Accuforce</v>
      </c>
      <c r="AA3" s="139" t="str">
        <f>IFERROR(INDEX(Расходка[Наименование расходного материала],MATCH(Расходка[№],Поиск_расходки[Индекс10],0)),"")</f>
        <v>NC Accuforce</v>
      </c>
      <c r="AB3" s="139" t="str">
        <f>IFERROR(INDEX(Расходка[Наименование расходного материала],MATCH(Расходка[№],Поиск_расходки[Индекс11],0)),"")</f>
        <v>NC Accuforce</v>
      </c>
      <c r="AC3" s="139" t="str">
        <f>IFERROR(INDEX(Расходка[Наименование расходного материала],MATCH(Расходка[№],Поиск_расходки[Индекс12],0)),"")</f>
        <v>NC Accuforce</v>
      </c>
      <c r="AD3" s="139" t="str">
        <f>IFERROR(INDEX(Расходка[Наименование расходного материала],MATCH(Расходка[№],Поиск_расходки[Индекс13],0)),"")</f>
        <v>NC Accuforce</v>
      </c>
      <c r="AF3" s="4" t="s">
        <v>5</v>
      </c>
      <c r="AG3" s="4" t="s">
        <v>442</v>
      </c>
      <c r="AI3" t="s">
        <v>254</v>
      </c>
      <c r="AJ3" t="s">
        <v>264</v>
      </c>
      <c r="AK3" t="str">
        <f t="shared" ref="AK3:AK6" si="0">CONCATENATE(AI3,AJ3)</f>
        <v>Контраст: Омнипак 350</v>
      </c>
    </row>
    <row r="4" spans="1:37">
      <c r="A4">
        <v>3</v>
      </c>
      <c r="B4" t="s">
        <v>5</v>
      </c>
      <c r="C4" t="s">
        <v>390</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3</v>
      </c>
      <c r="I4" s="140">
        <f>IF(ISNUMBER(SEARCH('Карта учёта'!$B$17,Расходка[Наименование расходного материала])),MAX($I$1:I3)+1,0)</f>
        <v>3</v>
      </c>
      <c r="J4" s="140">
        <f>IF(ISNUMBER(SEARCH('Карта учёта'!$B$18,Расходка[Наименование расходного материала])),MAX($J$1:J3)+1,0)</f>
        <v>3</v>
      </c>
      <c r="K4" s="140">
        <f>IF(ISNUMBER(SEARCH('Карта учёта'!$B$19,Расходка[Наименование расходного материала])),MAX($K$1:K3)+1,0)</f>
        <v>3</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Sprinter Legend</v>
      </c>
      <c r="V4" s="139" t="str">
        <f>IFERROR(INDEX(Расходка[Наименование расходного материала],MATCH(Расходка[№],Поиск_расходки[Индекс5],0)),"")</f>
        <v>Sprinter Legend</v>
      </c>
      <c r="W4" s="139" t="str">
        <f>IFERROR(INDEX(Расходка[Наименование расходного материала],MATCH(Расходка[№],Поиск_расходки[Индекс6],0)),"")</f>
        <v>Sprinter Legend</v>
      </c>
      <c r="X4" s="139" t="str">
        <f>IFERROR(INDEX(Расходка[Наименование расходного материала],MATCH(Расходка[№],Поиск_расходки[Индекс7],0)),"")</f>
        <v>Sprinter Legend</v>
      </c>
      <c r="Y4" s="139" t="str">
        <f>IFERROR(INDEX(Расходка[Наименование расходного материала],MATCH(Расходка[№],Поиск_расходки[Индекс8],0)),"")</f>
        <v>Sprinter Legend</v>
      </c>
      <c r="Z4" s="139" t="str">
        <f>IFERROR(INDEX(Расходка[Наименование расходного материала],MATCH(Расходка[№],Поиск_расходки[Индекс9],0)),"")</f>
        <v>Sprinter Legend</v>
      </c>
      <c r="AA4" s="139" t="str">
        <f>IFERROR(INDEX(Расходка[Наименование расходного материала],MATCH(Расходка[№],Поиск_расходки[Индекс10],0)),"")</f>
        <v>Sprinter Legend</v>
      </c>
      <c r="AB4" s="139" t="str">
        <f>IFERROR(INDEX(Расходка[Наименование расходного материала],MATCH(Расходка[№],Поиск_расходки[Индекс11],0)),"")</f>
        <v>Sprinter Legend</v>
      </c>
      <c r="AC4" s="139" t="str">
        <f>IFERROR(INDEX(Расходка[Наименование расходного материала],MATCH(Расходка[№],Поиск_расходки[Индекс12],0)),"")</f>
        <v>Sprinter Legend</v>
      </c>
      <c r="AD4" s="139" t="str">
        <f>IFERROR(INDEX(Расходка[Наименование расходного материала],MATCH(Расходка[№],Поиск_расходки[Индекс13],0)),"")</f>
        <v>Sprinter Legend</v>
      </c>
      <c r="AF4" s="4" t="s">
        <v>5</v>
      </c>
      <c r="AG4" s="4" t="s">
        <v>104</v>
      </c>
      <c r="AI4" t="s">
        <v>254</v>
      </c>
      <c r="AJ4" t="s">
        <v>265</v>
      </c>
      <c r="AK4" t="str">
        <f t="shared" si="0"/>
        <v>Контраст: Оптирей 350</v>
      </c>
    </row>
    <row r="5" spans="1:37">
      <c r="A5">
        <v>4</v>
      </c>
      <c r="B5" t="s">
        <v>5</v>
      </c>
      <c r="C5" t="s">
        <v>344</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4</v>
      </c>
      <c r="I5" s="140">
        <f>IF(ISNUMBER(SEARCH('Карта учёта'!$B$17,Расходка[Наименование расходного материала])),MAX($I$1:I4)+1,0)</f>
        <v>4</v>
      </c>
      <c r="J5" s="140">
        <f>IF(ISNUMBER(SEARCH('Карта учёта'!$B$18,Расходка[Наименование расходного материала])),MAX($J$1:J4)+1,0)</f>
        <v>4</v>
      </c>
      <c r="K5" s="140">
        <f>IF(ISNUMBER(SEARCH('Карта учёта'!$B$19,Расходка[Наименование расходного материала])),MAX($K$1:K4)+1,0)</f>
        <v>4</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Sapphire</v>
      </c>
      <c r="V5" s="139" t="str">
        <f>IFERROR(INDEX(Расходка[Наименование расходного материала],MATCH(Расходка[№],Поиск_расходки[Индекс5],0)),"")</f>
        <v>Sapphire</v>
      </c>
      <c r="W5" s="139" t="str">
        <f>IFERROR(INDEX(Расходка[Наименование расходного материала],MATCH(Расходка[№],Поиск_расходки[Индекс6],0)),"")</f>
        <v>Sapphire</v>
      </c>
      <c r="X5" s="139" t="str">
        <f>IFERROR(INDEX(Расходка[Наименование расходного материала],MATCH(Расходка[№],Поиск_расходки[Индекс7],0)),"")</f>
        <v>Sapphire</v>
      </c>
      <c r="Y5" s="139" t="str">
        <f>IFERROR(INDEX(Расходка[Наименование расходного материала],MATCH(Расходка[№],Поиск_расходки[Индекс8],0)),"")</f>
        <v>Sapphire</v>
      </c>
      <c r="Z5" s="139" t="str">
        <f>IFERROR(INDEX(Расходка[Наименование расходного материала],MATCH(Расходка[№],Поиск_расходки[Индекс9],0)),"")</f>
        <v>Sapphire</v>
      </c>
      <c r="AA5" s="139" t="str">
        <f>IFERROR(INDEX(Расходка[Наименование расходного материала],MATCH(Расходка[№],Поиск_расходки[Индекс10],0)),"")</f>
        <v>Sapphire</v>
      </c>
      <c r="AB5" s="139" t="str">
        <f>IFERROR(INDEX(Расходка[Наименование расходного материала],MATCH(Расходка[№],Поиск_расходки[Индекс11],0)),"")</f>
        <v>Sapphire</v>
      </c>
      <c r="AC5" s="139" t="str">
        <f>IFERROR(INDEX(Расходка[Наименование расходного материала],MATCH(Расходка[№],Поиск_расходки[Индекс12],0)),"")</f>
        <v>Sapphire</v>
      </c>
      <c r="AD5" s="139" t="str">
        <f>IFERROR(INDEX(Расходка[Наименование расходного материала],MATCH(Расходка[№],Поиск_расходки[Индекс13],0)),"")</f>
        <v>Sapphire</v>
      </c>
      <c r="AF5" s="4" t="s">
        <v>5</v>
      </c>
      <c r="AG5" s="4" t="s">
        <v>158</v>
      </c>
      <c r="AI5" t="s">
        <v>254</v>
      </c>
      <c r="AJ5" t="s">
        <v>266</v>
      </c>
      <c r="AK5" t="str">
        <f t="shared" si="0"/>
        <v>Контраст: Юнигексол 350</v>
      </c>
    </row>
    <row r="6" spans="1:37">
      <c r="A6">
        <v>5</v>
      </c>
      <c r="B6" t="s">
        <v>5</v>
      </c>
      <c r="C6" s="1" t="s">
        <v>345</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5</v>
      </c>
      <c r="I6" s="140">
        <f>IF(ISNUMBER(SEARCH('Карта учёта'!$B$17,Расходка[Наименование расходного материала])),MAX($I$1:I5)+1,0)</f>
        <v>5</v>
      </c>
      <c r="J6" s="140">
        <f>IF(ISNUMBER(SEARCH('Карта учёта'!$B$18,Расходка[Наименование расходного материала])),MAX($J$1:J5)+1,0)</f>
        <v>5</v>
      </c>
      <c r="K6" s="140">
        <f>IF(ISNUMBER(SEARCH('Карта учёта'!$B$19,Расходка[Наименование расходного материала])),MAX($K$1:K5)+1,0)</f>
        <v>5</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Euphora</v>
      </c>
      <c r="V6" s="139" t="str">
        <f>IFERROR(INDEX(Расходка[Наименование расходного материала],MATCH(Расходка[№],Поиск_расходки[Индекс5],0)),"")</f>
        <v>Euphora</v>
      </c>
      <c r="W6" s="139" t="str">
        <f>IFERROR(INDEX(Расходка[Наименование расходного материала],MATCH(Расходка[№],Поиск_расходки[Индекс6],0)),"")</f>
        <v>Euphora</v>
      </c>
      <c r="X6" s="139" t="str">
        <f>IFERROR(INDEX(Расходка[Наименование расходного материала],MATCH(Расходка[№],Поиск_расходки[Индекс7],0)),"")</f>
        <v>Euphora</v>
      </c>
      <c r="Y6" s="139" t="str">
        <f>IFERROR(INDEX(Расходка[Наименование расходного материала],MATCH(Расходка[№],Поиск_расходки[Индекс8],0)),"")</f>
        <v>Euphora</v>
      </c>
      <c r="Z6" s="139" t="str">
        <f>IFERROR(INDEX(Расходка[Наименование расходного материала],MATCH(Расходка[№],Поиск_расходки[Индекс9],0)),"")</f>
        <v>Euphora</v>
      </c>
      <c r="AA6" s="139" t="str">
        <f>IFERROR(INDEX(Расходка[Наименование расходного материала],MATCH(Расходка[№],Поиск_расходки[Индекс10],0)),"")</f>
        <v>Euphora</v>
      </c>
      <c r="AB6" s="139" t="str">
        <f>IFERROR(INDEX(Расходка[Наименование расходного материала],MATCH(Расходка[№],Поиск_расходки[Индекс11],0)),"")</f>
        <v>Euphora</v>
      </c>
      <c r="AC6" s="139" t="str">
        <f>IFERROR(INDEX(Расходка[Наименование расходного материала],MATCH(Расходка[№],Поиск_расходки[Индекс12],0)),"")</f>
        <v>Euphora</v>
      </c>
      <c r="AD6" s="139" t="str">
        <f>IFERROR(INDEX(Расходка[Наименование расходного материала],MATCH(Расходка[№],Поиск_расходки[Индекс13],0)),"")</f>
        <v>Euphora</v>
      </c>
      <c r="AF6" s="4" t="s">
        <v>5</v>
      </c>
      <c r="AG6" s="4" t="s">
        <v>105</v>
      </c>
      <c r="AI6" t="s">
        <v>254</v>
      </c>
      <c r="AJ6" t="s">
        <v>267</v>
      </c>
      <c r="AK6" t="str">
        <f t="shared" si="0"/>
        <v>Контраст: Сканлюкс 370</v>
      </c>
    </row>
    <row r="7" spans="1:37">
      <c r="A7">
        <v>6</v>
      </c>
      <c r="B7" t="s">
        <v>5</v>
      </c>
      <c r="C7" s="1" t="s">
        <v>379</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6</v>
      </c>
      <c r="I7" s="140">
        <f>IF(ISNUMBER(SEARCH('Карта учёта'!$B$17,Расходка[Наименование расходного материала])),MAX($I$1:I6)+1,0)</f>
        <v>6</v>
      </c>
      <c r="J7" s="140">
        <f>IF(ISNUMBER(SEARCH('Карта учёта'!$B$18,Расходка[Наименование расходного материала])),MAX($J$1:J6)+1,0)</f>
        <v>6</v>
      </c>
      <c r="K7" s="140">
        <f>IF(ISNUMBER(SEARCH('Карта учёта'!$B$19,Расходка[Наименование расходного материала])),MAX($K$1:K6)+1,0)</f>
        <v>6</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NC Euphora</v>
      </c>
      <c r="V7" s="139" t="str">
        <f>IFERROR(INDEX(Расходка[Наименование расходного материала],MATCH(Расходка[№],Поиск_расходки[Индекс5],0)),"")</f>
        <v>NC Euphora</v>
      </c>
      <c r="W7" s="139" t="str">
        <f>IFERROR(INDEX(Расходка[Наименование расходного материала],MATCH(Расходка[№],Поиск_расходки[Индекс6],0)),"")</f>
        <v>NC Euphora</v>
      </c>
      <c r="X7" s="139" t="str">
        <f>IFERROR(INDEX(Расходка[Наименование расходного материала],MATCH(Расходка[№],Поиск_расходки[Индекс7],0)),"")</f>
        <v>NC Euphora</v>
      </c>
      <c r="Y7" s="139" t="str">
        <f>IFERROR(INDEX(Расходка[Наименование расходного материала],MATCH(Расходка[№],Поиск_расходки[Индекс8],0)),"")</f>
        <v>NC Euphora</v>
      </c>
      <c r="Z7" s="139" t="str">
        <f>IFERROR(INDEX(Расходка[Наименование расходного материала],MATCH(Расходка[№],Поиск_расходки[Индекс9],0)),"")</f>
        <v>NC Euphora</v>
      </c>
      <c r="AA7" s="139" t="str">
        <f>IFERROR(INDEX(Расходка[Наименование расходного материала],MATCH(Расходка[№],Поиск_расходки[Индекс10],0)),"")</f>
        <v>NC Euphora</v>
      </c>
      <c r="AB7" s="139" t="str">
        <f>IFERROR(INDEX(Расходка[Наименование расходного материала],MATCH(Расходка[№],Поиск_расходки[Индекс11],0)),"")</f>
        <v>NC Euphora</v>
      </c>
      <c r="AC7" s="139" t="str">
        <f>IFERROR(INDEX(Расходка[Наименование расходного материала],MATCH(Расходка[№],Поиск_расходки[Индекс12],0)),"")</f>
        <v>NC Euphora</v>
      </c>
      <c r="AD7" s="139" t="str">
        <f>IFERROR(INDEX(Расходка[Наименование расходного материала],MATCH(Расходка[№],Поиск_расходки[Индекс13],0)),"")</f>
        <v>NC Euphora</v>
      </c>
      <c r="AF7" s="4" t="s">
        <v>5</v>
      </c>
      <c r="AG7" s="4" t="s">
        <v>113</v>
      </c>
      <c r="AI7" t="s">
        <v>254</v>
      </c>
      <c r="AJ7" t="s">
        <v>268</v>
      </c>
      <c r="AK7" t="str">
        <f t="shared" ref="AK7:AK8" si="1">CONCATENATE(AI7,AJ7)</f>
        <v>Контраст: Йогексол 350</v>
      </c>
    </row>
    <row r="8" spans="1:37">
      <c r="A8">
        <v>7</v>
      </c>
      <c r="B8" t="s">
        <v>156</v>
      </c>
      <c r="C8" t="s">
        <v>391</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7</v>
      </c>
      <c r="I8" s="140">
        <f>IF(ISNUMBER(SEARCH('Карта учёта'!$B$17,Расходка[Наименование расходного материала])),MAX($I$1:I7)+1,0)</f>
        <v>7</v>
      </c>
      <c r="J8" s="140">
        <f>IF(ISNUMBER(SEARCH('Карта учёта'!$B$18,Расходка[Наименование расходного материала])),MAX($J$1:J7)+1,0)</f>
        <v>7</v>
      </c>
      <c r="K8" s="140">
        <f>IF(ISNUMBER(SEARCH('Карта учёта'!$B$19,Расходка[Наименование расходного материала])),MAX($K$1:K7)+1,0)</f>
        <v>7</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Fielder</v>
      </c>
      <c r="V8" s="139" t="str">
        <f>IFERROR(INDEX(Расходка[Наименование расходного материала],MATCH(Расходка[№],Поиск_расходки[Индекс5],0)),"")</f>
        <v>Fielder</v>
      </c>
      <c r="W8" s="139" t="str">
        <f>IFERROR(INDEX(Расходка[Наименование расходного материала],MATCH(Расходка[№],Поиск_расходки[Индекс6],0)),"")</f>
        <v>Fielder</v>
      </c>
      <c r="X8" s="139" t="str">
        <f>IFERROR(INDEX(Расходка[Наименование расходного материала],MATCH(Расходка[№],Поиск_расходки[Индекс7],0)),"")</f>
        <v>Fielder</v>
      </c>
      <c r="Y8" s="139" t="str">
        <f>IFERROR(INDEX(Расходка[Наименование расходного материала],MATCH(Расходка[№],Поиск_расходки[Индекс8],0)),"")</f>
        <v>Fielder</v>
      </c>
      <c r="Z8" s="139" t="str">
        <f>IFERROR(INDEX(Расходка[Наименование расходного материала],MATCH(Расходка[№],Поиск_расходки[Индекс9],0)),"")</f>
        <v>Fielder</v>
      </c>
      <c r="AA8" s="139" t="str">
        <f>IFERROR(INDEX(Расходка[Наименование расходного материала],MATCH(Расходка[№],Поиск_расходки[Индекс10],0)),"")</f>
        <v>Fielder</v>
      </c>
      <c r="AB8" s="139" t="str">
        <f>IFERROR(INDEX(Расходка[Наименование расходного материала],MATCH(Расходка[№],Поиск_расходки[Индекс11],0)),"")</f>
        <v>Fielder</v>
      </c>
      <c r="AC8" s="139" t="str">
        <f>IFERROR(INDEX(Расходка[Наименование расходного материала],MATCH(Расходка[№],Поиск_расходки[Индекс12],0)),"")</f>
        <v>Fielder</v>
      </c>
      <c r="AD8" s="139" t="str">
        <f>IFERROR(INDEX(Расходка[Наименование расходного материала],MATCH(Расходка[№],Поиск_расходки[Индекс13],0)),"")</f>
        <v>Fielder</v>
      </c>
      <c r="AF8" s="4" t="s">
        <v>5</v>
      </c>
      <c r="AG8" s="4" t="s">
        <v>106</v>
      </c>
      <c r="AI8" t="s">
        <v>254</v>
      </c>
      <c r="AJ8" t="s">
        <v>269</v>
      </c>
      <c r="AK8" t="str">
        <f t="shared" si="1"/>
        <v>Контраст: Визипак 320</v>
      </c>
    </row>
    <row r="9" spans="1:37">
      <c r="A9">
        <v>8</v>
      </c>
      <c r="B9" t="s">
        <v>3</v>
      </c>
      <c r="C9" t="s">
        <v>392</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8</v>
      </c>
      <c r="I9" s="140">
        <f>IF(ISNUMBER(SEARCH('Карта учёта'!$B$17,Расходка[Наименование расходного материала])),MAX($I$1:I8)+1,0)</f>
        <v>8</v>
      </c>
      <c r="J9" s="140">
        <f>IF(ISNUMBER(SEARCH('Карта учёта'!$B$18,Расходка[Наименование расходного материала])),MAX($J$1:J8)+1,0)</f>
        <v>8</v>
      </c>
      <c r="K9" s="140">
        <f>IF(ISNUMBER(SEARCH('Карта учёта'!$B$19,Расходка[Наименование расходного материала])),MAX($K$1:K8)+1,0)</f>
        <v>8</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Sion</v>
      </c>
      <c r="V9" s="139" t="str">
        <f>IFERROR(INDEX(Расходка[Наименование расходного материала],MATCH(Расходка[№],Поиск_расходки[Индекс5],0)),"")</f>
        <v>Sion</v>
      </c>
      <c r="W9" s="139" t="str">
        <f>IFERROR(INDEX(Расходка[Наименование расходного материала],MATCH(Расходка[№],Поиск_расходки[Индекс6],0)),"")</f>
        <v>Sion</v>
      </c>
      <c r="X9" s="139" t="str">
        <f>IFERROR(INDEX(Расходка[Наименование расходного материала],MATCH(Расходка[№],Поиск_расходки[Индекс7],0)),"")</f>
        <v>Sion</v>
      </c>
      <c r="Y9" s="139" t="str">
        <f>IFERROR(INDEX(Расходка[Наименование расходного материала],MATCH(Расходка[№],Поиск_расходки[Индекс8],0)),"")</f>
        <v>Sion</v>
      </c>
      <c r="Z9" s="139" t="str">
        <f>IFERROR(INDEX(Расходка[Наименование расходного материала],MATCH(Расходка[№],Поиск_расходки[Индекс9],0)),"")</f>
        <v>Sion</v>
      </c>
      <c r="AA9" s="139" t="str">
        <f>IFERROR(INDEX(Расходка[Наименование расходного материала],MATCH(Расходка[№],Поиск_расходки[Индекс10],0)),"")</f>
        <v>Sion</v>
      </c>
      <c r="AB9" s="139" t="str">
        <f>IFERROR(INDEX(Расходка[Наименование расходного материала],MATCH(Расходка[№],Поиск_расходки[Индекс11],0)),"")</f>
        <v>Sion</v>
      </c>
      <c r="AC9" s="139" t="str">
        <f>IFERROR(INDEX(Расходка[Наименование расходного материала],MATCH(Расходка[№],Поиск_расходки[Индекс12],0)),"")</f>
        <v>Sion</v>
      </c>
      <c r="AD9" s="139" t="str">
        <f>IFERROR(INDEX(Расходка[Наименование расходного материала],MATCH(Расходка[№],Поиск_расходки[Индекс13],0)),"")</f>
        <v>Sion</v>
      </c>
      <c r="AF9" s="4" t="s">
        <v>5</v>
      </c>
      <c r="AG9" s="4" t="s">
        <v>107</v>
      </c>
    </row>
    <row r="10" spans="1:37">
      <c r="A10">
        <v>9</v>
      </c>
      <c r="B10" t="s">
        <v>3</v>
      </c>
      <c r="C10" t="s">
        <v>393</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9</v>
      </c>
      <c r="I10" s="140">
        <f>IF(ISNUMBER(SEARCH('Карта учёта'!$B$17,Расходка[Наименование расходного материала])),MAX($I$1:I9)+1,0)</f>
        <v>9</v>
      </c>
      <c r="J10" s="140">
        <f>IF(ISNUMBER(SEARCH('Карта учёта'!$B$18,Расходка[Наименование расходного материала])),MAX($J$1:J9)+1,0)</f>
        <v>9</v>
      </c>
      <c r="K10" s="140">
        <f>IF(ISNUMBER(SEARCH('Карта учёта'!$B$19,Расходка[Наименование расходного материала])),MAX($K$1:K9)+1,0)</f>
        <v>9</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Rinato</v>
      </c>
      <c r="V10" s="139" t="str">
        <f>IFERROR(INDEX(Расходка[Наименование расходного материала],MATCH(Расходка[№],Поиск_расходки[Индекс5],0)),"")</f>
        <v>Rinato</v>
      </c>
      <c r="W10" s="139" t="str">
        <f>IFERROR(INDEX(Расходка[Наименование расходного материала],MATCH(Расходка[№],Поиск_расходки[Индекс6],0)),"")</f>
        <v>Rinato</v>
      </c>
      <c r="X10" s="139" t="str">
        <f>IFERROR(INDEX(Расходка[Наименование расходного материала],MATCH(Расходка[№],Поиск_расходки[Индекс7],0)),"")</f>
        <v>Rinato</v>
      </c>
      <c r="Y10" s="139" t="str">
        <f>IFERROR(INDEX(Расходка[Наименование расходного материала],MATCH(Расходка[№],Поиск_расходки[Индекс8],0)),"")</f>
        <v>Rinato</v>
      </c>
      <c r="Z10" s="139" t="str">
        <f>IFERROR(INDEX(Расходка[Наименование расходного материала],MATCH(Расходка[№],Поиск_расходки[Индекс9],0)),"")</f>
        <v>Rinato</v>
      </c>
      <c r="AA10" s="139" t="str">
        <f>IFERROR(INDEX(Расходка[Наименование расходного материала],MATCH(Расходка[№],Поиск_расходки[Индекс10],0)),"")</f>
        <v>Rinato</v>
      </c>
      <c r="AB10" s="139" t="str">
        <f>IFERROR(INDEX(Расходка[Наименование расходного материала],MATCH(Расходка[№],Поиск_расходки[Индекс11],0)),"")</f>
        <v>Rinato</v>
      </c>
      <c r="AC10" s="139" t="str">
        <f>IFERROR(INDEX(Расходка[Наименование расходного материала],MATCH(Расходка[№],Поиск_расходки[Индекс12],0)),"")</f>
        <v>Rinato</v>
      </c>
      <c r="AD10" s="139" t="str">
        <f>IFERROR(INDEX(Расходка[Наименование расходного материала],MATCH(Расходка[№],Поиск_расходки[Индекс13],0)),"")</f>
        <v>Rinato</v>
      </c>
      <c r="AF10" s="4" t="s">
        <v>5</v>
      </c>
      <c r="AG10" s="4" t="s">
        <v>108</v>
      </c>
    </row>
    <row r="11" spans="1:37">
      <c r="A11">
        <v>10</v>
      </c>
      <c r="B11" t="s">
        <v>3</v>
      </c>
      <c r="C11" t="s">
        <v>394</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10</v>
      </c>
      <c r="I11" s="140">
        <f>IF(ISNUMBER(SEARCH('Карта учёта'!$B$17,Расходка[Наименование расходного материала])),MAX($I$1:I10)+1,0)</f>
        <v>10</v>
      </c>
      <c r="J11" s="140">
        <f>IF(ISNUMBER(SEARCH('Карта учёта'!$B$18,Расходка[Наименование расходного материала])),MAX($J$1:J10)+1,0)</f>
        <v>10</v>
      </c>
      <c r="K11" s="140">
        <f>IF(ISNUMBER(SEARCH('Карта учёта'!$B$19,Расходка[Наименование расходного материала])),MAX($K$1:K10)+1,0)</f>
        <v>10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Thunder</v>
      </c>
      <c r="V11" s="139" t="str">
        <f>IFERROR(INDEX(Расходка[Наименование расходного материала],MATCH(Расходка[№],Поиск_расходки[Индекс5],0)),"")</f>
        <v>Thunder</v>
      </c>
      <c r="W11" s="139" t="str">
        <f>IFERROR(INDEX(Расходка[Наименование расходного материала],MATCH(Расходка[№],Поиск_расходки[Индекс6],0)),"")</f>
        <v>Thunder</v>
      </c>
      <c r="X11" s="139" t="str">
        <f>IFERROR(INDEX(Расходка[Наименование расходного материала],MATCH(Расходка[№],Поиск_расходки[Индекс7],0)),"")</f>
        <v>Thunder</v>
      </c>
      <c r="Y11" s="139" t="str">
        <f>IFERROR(INDEX(Расходка[Наименование расходного материала],MATCH(Расходка[№],Поиск_расходки[Индекс8],0)),"")</f>
        <v>Thunder</v>
      </c>
      <c r="Z11" s="139" t="str">
        <f>IFERROR(INDEX(Расходка[Наименование расходного материала],MATCH(Расходка[№],Поиск_расходки[Индекс9],0)),"")</f>
        <v>Thunder</v>
      </c>
      <c r="AA11" s="139" t="str">
        <f>IFERROR(INDEX(Расходка[Наименование расходного материала],MATCH(Расходка[№],Поиск_расходки[Индекс10],0)),"")</f>
        <v>Thunder</v>
      </c>
      <c r="AB11" s="139" t="str">
        <f>IFERROR(INDEX(Расходка[Наименование расходного материала],MATCH(Расходка[№],Поиск_расходки[Индекс11],0)),"")</f>
        <v>Thunder</v>
      </c>
      <c r="AC11" s="139" t="str">
        <f>IFERROR(INDEX(Расходка[Наименование расходного материала],MATCH(Расходка[№],Поиск_расходки[Индекс12],0)),"")</f>
        <v>Thunder</v>
      </c>
      <c r="AD11" s="139" t="str">
        <f>IFERROR(INDEX(Расходка[Наименование расходного материала],MATCH(Расходка[№],Поиск_расходки[Индекс13],0)),"")</f>
        <v>Thunder</v>
      </c>
      <c r="AF11" s="4" t="s">
        <v>5</v>
      </c>
      <c r="AG11" s="4" t="s">
        <v>176</v>
      </c>
    </row>
    <row r="12" spans="1:37">
      <c r="A12">
        <v>11</v>
      </c>
      <c r="B12" t="s">
        <v>3</v>
      </c>
      <c r="C12" t="s">
        <v>395</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11</v>
      </c>
      <c r="I12" s="140">
        <f>IF(ISNUMBER(SEARCH('Карта учёта'!$B$17,Расходка[Наименование расходного материала])),MAX($I$1:I11)+1,0)</f>
        <v>11</v>
      </c>
      <c r="J12" s="140">
        <f>IF(ISNUMBER(SEARCH('Карта учёта'!$B$18,Расходка[Наименование расходного материала])),MAX($J$1:J11)+1,0)</f>
        <v>11</v>
      </c>
      <c r="K12" s="140">
        <f>IF(ISNUMBER(SEARCH('Карта учёта'!$B$19,Расходка[Наименование расходного материала])),MAX($K$1:K11)+1,0)</f>
        <v>11</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ProVia 3 Hydro-Track®</v>
      </c>
      <c r="V12" s="139" t="str">
        <f>IFERROR(INDEX(Расходка[Наименование расходного материала],MATCH(Расходка[№],Поиск_расходки[Индекс5],0)),"")</f>
        <v>ProVia 3 Hydro-Track®</v>
      </c>
      <c r="W12" s="139" t="str">
        <f>IFERROR(INDEX(Расходка[Наименование расходного материала],MATCH(Расходка[№],Поиск_расходки[Индекс6],0)),"")</f>
        <v>ProVia 3 Hydro-Track®</v>
      </c>
      <c r="X12" s="139" t="str">
        <f>IFERROR(INDEX(Расходка[Наименование расходного материала],MATCH(Расходка[№],Поиск_расходки[Индекс7],0)),"")</f>
        <v>ProVia 3 Hydro-Track®</v>
      </c>
      <c r="Y12" s="139" t="str">
        <f>IFERROR(INDEX(Расходка[Наименование расходного материала],MATCH(Расходка[№],Поиск_расходки[Индекс8],0)),"")</f>
        <v>ProVia 3 Hydro-Track®</v>
      </c>
      <c r="Z12" s="139" t="str">
        <f>IFERROR(INDEX(Расходка[Наименование расходного материала],MATCH(Расходка[№],Поиск_расходки[Индекс9],0)),"")</f>
        <v>ProVia 3 Hydro-Track®</v>
      </c>
      <c r="AA12" s="139" t="str">
        <f>IFERROR(INDEX(Расходка[Наименование расходного материала],MATCH(Расходка[№],Поиск_расходки[Индекс10],0)),"")</f>
        <v>ProVia 3 Hydro-Track®</v>
      </c>
      <c r="AB12" s="139" t="str">
        <f>IFERROR(INDEX(Расходка[Наименование расходного материала],MATCH(Расходка[№],Поиск_расходки[Индекс11],0)),"")</f>
        <v>ProVia 3 Hydro-Track®</v>
      </c>
      <c r="AC12" s="139" t="str">
        <f>IFERROR(INDEX(Расходка[Наименование расходного материала],MATCH(Расходка[№],Поиск_расходки[Индекс12],0)),"")</f>
        <v>ProVia 3 Hydro-Track®</v>
      </c>
      <c r="AD12" s="139" t="str">
        <f>IFERROR(INDEX(Расходка[Наименование расходного материала],MATCH(Расходка[№],Поиск_расходки[Индекс13],0)),"")</f>
        <v>ProVia 3 Hydro-Track®</v>
      </c>
      <c r="AF12" s="4" t="s">
        <v>5</v>
      </c>
      <c r="AG12" s="4" t="s">
        <v>109</v>
      </c>
    </row>
    <row r="13" spans="1:37">
      <c r="A13">
        <v>12</v>
      </c>
      <c r="B13" t="s">
        <v>3</v>
      </c>
      <c r="C13" t="s">
        <v>396</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12</v>
      </c>
      <c r="I13" s="140">
        <f>IF(ISNUMBER(SEARCH('Карта учёта'!$B$17,Расходка[Наименование расходного материала])),MAX($I$1:I12)+1,0)</f>
        <v>12</v>
      </c>
      <c r="J13" s="140">
        <f>IF(ISNUMBER(SEARCH('Карта учёта'!$B$18,Расходка[Наименование расходного материала])),MAX($J$1:J12)+1,0)</f>
        <v>12</v>
      </c>
      <c r="K13" s="140">
        <f>IF(ISNUMBER(SEARCH('Карта учёта'!$B$19,Расходка[Наименование расходного материала])),MAX($K$1:K12)+1,0)</f>
        <v>12</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ProVia 6 Hydro-Track®</v>
      </c>
      <c r="V13" s="139" t="str">
        <f>IFERROR(INDEX(Расходка[Наименование расходного материала],MATCH(Расходка[№],Поиск_расходки[Индекс5],0)),"")</f>
        <v>ProVia 6 Hydro-Track®</v>
      </c>
      <c r="W13" s="139" t="str">
        <f>IFERROR(INDEX(Расходка[Наименование расходного материала],MATCH(Расходка[№],Поиск_расходки[Индекс6],0)),"")</f>
        <v>ProVia 6 Hydro-Track®</v>
      </c>
      <c r="X13" s="139" t="str">
        <f>IFERROR(INDEX(Расходка[Наименование расходного материала],MATCH(Расходка[№],Поиск_расходки[Индекс7],0)),"")</f>
        <v>ProVia 6 Hydro-Track®</v>
      </c>
      <c r="Y13" s="139" t="str">
        <f>IFERROR(INDEX(Расходка[Наименование расходного материала],MATCH(Расходка[№],Поиск_расходки[Индекс8],0)),"")</f>
        <v>ProVia 6 Hydro-Track®</v>
      </c>
      <c r="Z13" s="139" t="str">
        <f>IFERROR(INDEX(Расходка[Наименование расходного материала],MATCH(Расходка[№],Поиск_расходки[Индекс9],0)),"")</f>
        <v>ProVia 6 Hydro-Track®</v>
      </c>
      <c r="AA13" s="139" t="str">
        <f>IFERROR(INDEX(Расходка[Наименование расходного материала],MATCH(Расходка[№],Поиск_расходки[Индекс10],0)),"")</f>
        <v>ProVia 6 Hydro-Track®</v>
      </c>
      <c r="AB13" s="139" t="str">
        <f>IFERROR(INDEX(Расходка[Наименование расходного материала],MATCH(Расходка[№],Поиск_расходки[Индекс11],0)),"")</f>
        <v>ProVia 6 Hydro-Track®</v>
      </c>
      <c r="AC13" s="139" t="str">
        <f>IFERROR(INDEX(Расходка[Наименование расходного материала],MATCH(Расходка[№],Поиск_расходки[Индекс12],0)),"")</f>
        <v>ProVia 6 Hydro-Track®</v>
      </c>
      <c r="AD13" s="139" t="str">
        <f>IFERROR(INDEX(Расходка[Наименование расходного материала],MATCH(Расходка[№],Поиск_расходки[Индекс13],0)),"")</f>
        <v>ProVia 6 Hydro-Track®</v>
      </c>
      <c r="AF13" s="4" t="s">
        <v>5</v>
      </c>
      <c r="AG13" s="4" t="s">
        <v>110</v>
      </c>
      <c r="AI13">
        <v>155760</v>
      </c>
      <c r="AJ13" s="161" t="s">
        <v>386</v>
      </c>
    </row>
    <row r="14" spans="1:37">
      <c r="A14">
        <v>13</v>
      </c>
      <c r="B14" t="s">
        <v>3</v>
      </c>
      <c r="C14" t="s">
        <v>397</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13</v>
      </c>
      <c r="I14" s="140">
        <f>IF(ISNUMBER(SEARCH('Карта учёта'!$B$17,Расходка[Наименование расходного материала])),MAX($I$1:I13)+1,0)</f>
        <v>13</v>
      </c>
      <c r="J14" s="140">
        <f>IF(ISNUMBER(SEARCH('Карта учёта'!$B$18,Расходка[Наименование расходного материала])),MAX($J$1:J13)+1,0)</f>
        <v>13</v>
      </c>
      <c r="K14" s="140">
        <f>IF(ISNUMBER(SEARCH('Карта учёта'!$B$19,Расходка[Наименование расходного материала])),MAX($K$1:K13)+1,0)</f>
        <v>13</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ProVia 9 Hydro-Track®</v>
      </c>
      <c r="V14" s="139" t="str">
        <f>IFERROR(INDEX(Расходка[Наименование расходного материала],MATCH(Расходка[№],Поиск_расходки[Индекс5],0)),"")</f>
        <v>ProVia 9 Hydro-Track®</v>
      </c>
      <c r="W14" s="139" t="str">
        <f>IFERROR(INDEX(Расходка[Наименование расходного материала],MATCH(Расходка[№],Поиск_расходки[Индекс6],0)),"")</f>
        <v>ProVia 9 Hydro-Track®</v>
      </c>
      <c r="X14" s="139" t="str">
        <f>IFERROR(INDEX(Расходка[Наименование расходного материала],MATCH(Расходка[№],Поиск_расходки[Индекс7],0)),"")</f>
        <v>ProVia 9 Hydro-Track®</v>
      </c>
      <c r="Y14" s="139" t="str">
        <f>IFERROR(INDEX(Расходка[Наименование расходного материала],MATCH(Расходка[№],Поиск_расходки[Индекс8],0)),"")</f>
        <v>ProVia 9 Hydro-Track®</v>
      </c>
      <c r="Z14" s="139" t="str">
        <f>IFERROR(INDEX(Расходка[Наименование расходного материала],MATCH(Расходка[№],Поиск_расходки[Индекс9],0)),"")</f>
        <v>ProVia 9 Hydro-Track®</v>
      </c>
      <c r="AA14" s="139" t="str">
        <f>IFERROR(INDEX(Расходка[Наименование расходного материала],MATCH(Расходка[№],Поиск_расходки[Индекс10],0)),"")</f>
        <v>ProVia 9 Hydro-Track®</v>
      </c>
      <c r="AB14" s="139" t="str">
        <f>IFERROR(INDEX(Расходка[Наименование расходного материала],MATCH(Расходка[№],Поиск_расходки[Индекс11],0)),"")</f>
        <v>ProVia 9 Hydro-Track®</v>
      </c>
      <c r="AC14" s="139" t="str">
        <f>IFERROR(INDEX(Расходка[Наименование расходного материала],MATCH(Расходка[№],Поиск_расходки[Индекс12],0)),"")</f>
        <v>ProVia 9 Hydro-Track®</v>
      </c>
      <c r="AD14" s="139" t="str">
        <f>IFERROR(INDEX(Расходка[Наименование расходного материала],MATCH(Расходка[№],Поиск_расходки[Индекс13],0)),"")</f>
        <v>ProVia 9 Hydro-Track®</v>
      </c>
      <c r="AF14" s="4" t="s">
        <v>5</v>
      </c>
      <c r="AG14" s="4" t="s">
        <v>111</v>
      </c>
      <c r="AI14">
        <v>155800</v>
      </c>
      <c r="AJ14" s="162" t="s">
        <v>387</v>
      </c>
    </row>
    <row r="15" spans="1:37">
      <c r="A15">
        <v>14</v>
      </c>
      <c r="B15" t="s">
        <v>3</v>
      </c>
      <c r="C15" t="s">
        <v>436</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14</v>
      </c>
      <c r="I15" s="140">
        <f>IF(ISNUMBER(SEARCH('Карта учёта'!$B$17,Расходка[Наименование расходного материала])),MAX($I$1:I14)+1,0)</f>
        <v>14</v>
      </c>
      <c r="J15" s="140">
        <f>IF(ISNUMBER(SEARCH('Карта учёта'!$B$18,Расходка[Наименование расходного материала])),MAX($J$1:J14)+1,0)</f>
        <v>14</v>
      </c>
      <c r="K15" s="140">
        <f>IF(ISNUMBER(SEARCH('Карта учёта'!$B$19,Расходка[Наименование расходного материала])),MAX($K$1:K14)+1,0)</f>
        <v>14</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Проводник коронарный  1g, Angioline</v>
      </c>
      <c r="V15" s="139" t="str">
        <f>IFERROR(INDEX(Расходка[Наименование расходного материала],MATCH(Расходка[№],Поиск_расходки[Индекс5],0)),"")</f>
        <v>Проводник коронарный  1g, Angioline</v>
      </c>
      <c r="W15" s="139" t="str">
        <f>IFERROR(INDEX(Расходка[Наименование расходного материала],MATCH(Расходка[№],Поиск_расходки[Индекс6],0)),"")</f>
        <v>Проводник коронарный  1g, Angioline</v>
      </c>
      <c r="X15" s="139" t="str">
        <f>IFERROR(INDEX(Расходка[Наименование расходного материала],MATCH(Расходка[№],Поиск_расходки[Индекс7],0)),"")</f>
        <v>Проводник коронарный  1g, Angioline</v>
      </c>
      <c r="Y15" s="139" t="str">
        <f>IFERROR(INDEX(Расходка[Наименование расходного материала],MATCH(Расходка[№],Поиск_расходки[Индекс8],0)),"")</f>
        <v>Проводник коронарный  1g, Angioline</v>
      </c>
      <c r="Z15" s="139" t="str">
        <f>IFERROR(INDEX(Расходка[Наименование расходного материала],MATCH(Расходка[№],Поиск_расходки[Индекс9],0)),"")</f>
        <v>Проводник коронарный  1g, Angioline</v>
      </c>
      <c r="AA15" s="139" t="str">
        <f>IFERROR(INDEX(Расходка[Наименование расходного материала],MATCH(Расходка[№],Поиск_расходки[Индекс10],0)),"")</f>
        <v>Проводник коронарный  1g, Angioline</v>
      </c>
      <c r="AB15" s="139" t="str">
        <f>IFERROR(INDEX(Расходка[Наименование расходного материала],MATCH(Расходка[№],Поиск_расходки[Индекс11],0)),"")</f>
        <v>Проводник коронарный  1g, Angioline</v>
      </c>
      <c r="AC15" s="139" t="str">
        <f>IFERROR(INDEX(Расходка[Наименование расходного материала],MATCH(Расходка[№],Поиск_расходки[Индекс12],0)),"")</f>
        <v>Проводник коронарный  1g, Angioline</v>
      </c>
      <c r="AD15" s="139" t="str">
        <f>IFERROR(INDEX(Расходка[Наименование расходного материала],MATCH(Расходка[№],Поиск_расходки[Индекс13],0)),"")</f>
        <v>Проводник коронарный  1g, Angioline</v>
      </c>
      <c r="AF15" s="4" t="s">
        <v>5</v>
      </c>
      <c r="AG15" s="4" t="s">
        <v>112</v>
      </c>
      <c r="AI15">
        <v>218190</v>
      </c>
      <c r="AJ15" s="162" t="s">
        <v>388</v>
      </c>
    </row>
    <row r="16" spans="1:37">
      <c r="A16">
        <v>15</v>
      </c>
      <c r="B16" t="s">
        <v>3</v>
      </c>
      <c r="C16" t="s">
        <v>124</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15</v>
      </c>
      <c r="I16" s="140">
        <f>IF(ISNUMBER(SEARCH('Карта учёта'!$B$17,Расходка[Наименование расходного материала])),MAX($I$1:I15)+1,0)</f>
        <v>15</v>
      </c>
      <c r="J16" s="140">
        <f>IF(ISNUMBER(SEARCH('Карта учёта'!$B$18,Расходка[Наименование расходного материала])),MAX($J$1:J15)+1,0)</f>
        <v>15</v>
      </c>
      <c r="K16" s="140">
        <f>IF(ISNUMBER(SEARCH('Карта учёта'!$B$19,Расходка[Наименование расходного материала])),MAX($K$1:K15)+1,0)</f>
        <v>15</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Проводник коронарный  3g, Angioline</v>
      </c>
      <c r="V16" s="139" t="str">
        <f>IFERROR(INDEX(Расходка[Наименование расходного материала],MATCH(Расходка[№],Поиск_расходки[Индекс5],0)),"")</f>
        <v>Проводник коронарный  3g, Angioline</v>
      </c>
      <c r="W16" s="139" t="str">
        <f>IFERROR(INDEX(Расходка[Наименование расходного материала],MATCH(Расходка[№],Поиск_расходки[Индекс6],0)),"")</f>
        <v>Проводник коронарный  3g, Angioline</v>
      </c>
      <c r="X16" s="139" t="str">
        <f>IFERROR(INDEX(Расходка[Наименование расходного материала],MATCH(Расходка[№],Поиск_расходки[Индекс7],0)),"")</f>
        <v>Проводник коронарный  3g, Angioline</v>
      </c>
      <c r="Y16" s="139" t="str">
        <f>IFERROR(INDEX(Расходка[Наименование расходного материала],MATCH(Расходка[№],Поиск_расходки[Индекс8],0)),"")</f>
        <v>Проводник коронарный  3g, Angioline</v>
      </c>
      <c r="Z16" s="139" t="str">
        <f>IFERROR(INDEX(Расходка[Наименование расходного материала],MATCH(Расходка[№],Поиск_расходки[Индекс9],0)),"")</f>
        <v>Проводник коронарный  3g, Angioline</v>
      </c>
      <c r="AA16" s="139" t="str">
        <f>IFERROR(INDEX(Расходка[Наименование расходного материала],MATCH(Расходка[№],Поиск_расходки[Индекс10],0)),"")</f>
        <v>Проводник коронарный  3g, Angioline</v>
      </c>
      <c r="AB16" s="139" t="str">
        <f>IFERROR(INDEX(Расходка[Наименование расходного материала],MATCH(Расходка[№],Поиск_расходки[Индекс11],0)),"")</f>
        <v>Проводник коронарный  3g, Angioline</v>
      </c>
      <c r="AC16" s="139" t="str">
        <f>IFERROR(INDEX(Расходка[Наименование расходного материала],MATCH(Расходка[№],Поиск_расходки[Индекс12],0)),"")</f>
        <v>Проводник коронарный  3g, Angioline</v>
      </c>
      <c r="AD16" s="139" t="str">
        <f>IFERROR(INDEX(Расходка[Наименование расходного материала],MATCH(Расходка[№],Поиск_расходки[Индекс13],0)),"")</f>
        <v>Проводник коронарный  3g, Angioline</v>
      </c>
      <c r="AF16" s="4" t="s">
        <v>5</v>
      </c>
      <c r="AG16" s="4" t="s">
        <v>419</v>
      </c>
      <c r="AI16">
        <v>136170</v>
      </c>
      <c r="AJ16" t="s">
        <v>5</v>
      </c>
    </row>
    <row r="17" spans="1:33">
      <c r="A17">
        <v>16</v>
      </c>
      <c r="B17" t="s">
        <v>3</v>
      </c>
      <c r="C17" t="s">
        <v>398</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16</v>
      </c>
      <c r="I17" s="140">
        <f>IF(ISNUMBER(SEARCH('Карта учёта'!$B$17,Расходка[Наименование расходного материала])),MAX($I$1:I16)+1,0)</f>
        <v>16</v>
      </c>
      <c r="J17" s="140">
        <f>IF(ISNUMBER(SEARCH('Карта учёта'!$B$18,Расходка[Наименование расходного материала])),MAX($J$1:J16)+1,0)</f>
        <v>16</v>
      </c>
      <c r="K17" s="140">
        <f>IF(ISNUMBER(SEARCH('Карта учёта'!$B$19,Расходка[Наименование расходного материала])),MAX($K$1:K16)+1,0)</f>
        <v>16</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Cougar LS Hydro-Track®</v>
      </c>
      <c r="V17" s="139" t="str">
        <f>IFERROR(INDEX(Расходка[Наименование расходного материала],MATCH(Расходка[№],Поиск_расходки[Индекс5],0)),"")</f>
        <v>Cougar LS Hydro-Track®</v>
      </c>
      <c r="W17" s="139" t="str">
        <f>IFERROR(INDEX(Расходка[Наименование расходного материала],MATCH(Расходка[№],Поиск_расходки[Индекс6],0)),"")</f>
        <v>Cougar LS Hydro-Track®</v>
      </c>
      <c r="X17" s="139" t="str">
        <f>IFERROR(INDEX(Расходка[Наименование расходного материала],MATCH(Расходка[№],Поиск_расходки[Индекс7],0)),"")</f>
        <v>Cougar LS Hydro-Track®</v>
      </c>
      <c r="Y17" s="139" t="str">
        <f>IFERROR(INDEX(Расходка[Наименование расходного материала],MATCH(Расходка[№],Поиск_расходки[Индекс8],0)),"")</f>
        <v>Cougar LS Hydro-Track®</v>
      </c>
      <c r="Z17" s="139" t="str">
        <f>IFERROR(INDEX(Расходка[Наименование расходного материала],MATCH(Расходка[№],Поиск_расходки[Индекс9],0)),"")</f>
        <v>Cougar LS Hydro-Track®</v>
      </c>
      <c r="AA17" s="139" t="str">
        <f>IFERROR(INDEX(Расходка[Наименование расходного материала],MATCH(Расходка[№],Поиск_расходки[Индекс10],0)),"")</f>
        <v>Cougar LS Hydro-Track®</v>
      </c>
      <c r="AB17" s="139" t="str">
        <f>IFERROR(INDEX(Расходка[Наименование расходного материала],MATCH(Расходка[№],Поиск_расходки[Индекс11],0)),"")</f>
        <v>Cougar LS Hydro-Track®</v>
      </c>
      <c r="AC17" s="139" t="str">
        <f>IFERROR(INDEX(Расходка[Наименование расходного материала],MATCH(Расходка[№],Поиск_расходки[Индекс12],0)),"")</f>
        <v>Cougar LS Hydro-Track®</v>
      </c>
      <c r="AD17" s="139" t="str">
        <f>IFERROR(INDEX(Расходка[Наименование расходного материала],MATCH(Расходка[№],Поиск_расходки[Индекс13],0)),"")</f>
        <v>Cougar LS Hydro-Track®</v>
      </c>
      <c r="AF17" s="4" t="s">
        <v>5</v>
      </c>
      <c r="AG17" s="4" t="s">
        <v>416</v>
      </c>
    </row>
    <row r="18" spans="1:33">
      <c r="A18">
        <v>17</v>
      </c>
      <c r="B18" t="s">
        <v>3</v>
      </c>
      <c r="C18" t="s">
        <v>426</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17</v>
      </c>
      <c r="I18" s="140">
        <f>IF(ISNUMBER(SEARCH('Карта учёта'!$B$17,Расходка[Наименование расходного материала])),MAX($I$1:I17)+1,0)</f>
        <v>17</v>
      </c>
      <c r="J18" s="140">
        <f>IF(ISNUMBER(SEARCH('Карта учёта'!$B$18,Расходка[Наименование расходного материала])),MAX($J$1:J17)+1,0)</f>
        <v>17</v>
      </c>
      <c r="K18" s="140">
        <f>IF(ISNUMBER(SEARCH('Карта учёта'!$B$19,Расходка[Наименование расходного материала])),MAX($K$1:K17)+1,0)</f>
        <v>17</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Cougar XT Hydro-Track®</v>
      </c>
      <c r="V18" s="139" t="str">
        <f>IFERROR(INDEX(Расходка[Наименование расходного материала],MATCH(Расходка[№],Поиск_расходки[Индекс5],0)),"")</f>
        <v>Cougar XT Hydro-Track®</v>
      </c>
      <c r="W18" s="139" t="str">
        <f>IFERROR(INDEX(Расходка[Наименование расходного материала],MATCH(Расходка[№],Поиск_расходки[Индекс6],0)),"")</f>
        <v>Cougar XT Hydro-Track®</v>
      </c>
      <c r="X18" s="139" t="str">
        <f>IFERROR(INDEX(Расходка[Наименование расходного материала],MATCH(Расходка[№],Поиск_расходки[Индекс7],0)),"")</f>
        <v>Cougar XT Hydro-Track®</v>
      </c>
      <c r="Y18" s="139" t="str">
        <f>IFERROR(INDEX(Расходка[Наименование расходного материала],MATCH(Расходка[№],Поиск_расходки[Индекс8],0)),"")</f>
        <v>Cougar XT Hydro-Track®</v>
      </c>
      <c r="Z18" s="139" t="str">
        <f>IFERROR(INDEX(Расходка[Наименование расходного материала],MATCH(Расходка[№],Поиск_расходки[Индекс9],0)),"")</f>
        <v>Cougar XT Hydro-Track®</v>
      </c>
      <c r="AA18" s="139" t="str">
        <f>IFERROR(INDEX(Расходка[Наименование расходного материала],MATCH(Расходка[№],Поиск_расходки[Индекс10],0)),"")</f>
        <v>Cougar XT Hydro-Track®</v>
      </c>
      <c r="AB18" s="139" t="str">
        <f>IFERROR(INDEX(Расходка[Наименование расходного материала],MATCH(Расходка[№],Поиск_расходки[Индекс11],0)),"")</f>
        <v>Cougar XT Hydro-Track®</v>
      </c>
      <c r="AC18" s="139" t="str">
        <f>IFERROR(INDEX(Расходка[Наименование расходного материала],MATCH(Расходка[№],Поиск_расходки[Индекс12],0)),"")</f>
        <v>Cougar XT Hydro-Track®</v>
      </c>
      <c r="AD18" s="139" t="str">
        <f>IFERROR(INDEX(Расходка[Наименование расходного материала],MATCH(Расходка[№],Поиск_расходки[Индекс13],0)),"")</f>
        <v>Cougar XT Hydro-Track®</v>
      </c>
      <c r="AF18" s="4" t="s">
        <v>5</v>
      </c>
      <c r="AG18" s="4" t="s">
        <v>114</v>
      </c>
    </row>
    <row r="19" spans="1:33">
      <c r="A19">
        <v>18</v>
      </c>
      <c r="B19" t="s">
        <v>3</v>
      </c>
      <c r="C19" s="1" t="s">
        <v>399</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18</v>
      </c>
      <c r="I19" s="140">
        <f>IF(ISNUMBER(SEARCH('Карта учёта'!$B$17,Расходка[Наименование расходного материала])),MAX($I$1:I18)+1,0)</f>
        <v>18</v>
      </c>
      <c r="J19" s="140">
        <f>IF(ISNUMBER(SEARCH('Карта учёта'!$B$18,Расходка[Наименование расходного материала])),MAX($J$1:J18)+1,0)</f>
        <v>18</v>
      </c>
      <c r="K19" s="140">
        <f>IF(ISNUMBER(SEARCH('Карта учёта'!$B$19,Расходка[Наименование расходного материала])),MAX($K$1:K18)+1,0)</f>
        <v>18</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Intuition</v>
      </c>
      <c r="V19" s="139" t="str">
        <f>IFERROR(INDEX(Расходка[Наименование расходного материала],MATCH(Расходка[№],Поиск_расходки[Индекс5],0)),"")</f>
        <v>Intuition</v>
      </c>
      <c r="W19" s="139" t="str">
        <f>IFERROR(INDEX(Расходка[Наименование расходного материала],MATCH(Расходка[№],Поиск_расходки[Индекс6],0)),"")</f>
        <v>Intuition</v>
      </c>
      <c r="X19" s="139" t="str">
        <f>IFERROR(INDEX(Расходка[Наименование расходного материала],MATCH(Расходка[№],Поиск_расходки[Индекс7],0)),"")</f>
        <v>Intuition</v>
      </c>
      <c r="Y19" s="139" t="str">
        <f>IFERROR(INDEX(Расходка[Наименование расходного материала],MATCH(Расходка[№],Поиск_расходки[Индекс8],0)),"")</f>
        <v>Intuition</v>
      </c>
      <c r="Z19" s="139" t="str">
        <f>IFERROR(INDEX(Расходка[Наименование расходного материала],MATCH(Расходка[№],Поиск_расходки[Индекс9],0)),"")</f>
        <v>Intuition</v>
      </c>
      <c r="AA19" s="139" t="str">
        <f>IFERROR(INDEX(Расходка[Наименование расходного материала],MATCH(Расходка[№],Поиск_расходки[Индекс10],0)),"")</f>
        <v>Intuition</v>
      </c>
      <c r="AB19" s="139" t="str">
        <f>IFERROR(INDEX(Расходка[Наименование расходного материала],MATCH(Расходка[№],Поиск_расходки[Индекс11],0)),"")</f>
        <v>Intuition</v>
      </c>
      <c r="AC19" s="139" t="str">
        <f>IFERROR(INDEX(Расходка[Наименование расходного материала],MATCH(Расходка[№],Поиск_расходки[Индекс12],0)),"")</f>
        <v>Intuition</v>
      </c>
      <c r="AD19" s="139" t="str">
        <f>IFERROR(INDEX(Расходка[Наименование расходного материала],MATCH(Расходка[№],Поиск_расходки[Индекс13],0)),"")</f>
        <v>Intuition</v>
      </c>
      <c r="AF19" s="4" t="s">
        <v>5</v>
      </c>
      <c r="AG19" s="4" t="s">
        <v>115</v>
      </c>
    </row>
    <row r="20" spans="1:33">
      <c r="A20">
        <v>19</v>
      </c>
      <c r="B20" t="s">
        <v>6</v>
      </c>
      <c r="C20" s="163" t="s">
        <v>400</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19</v>
      </c>
      <c r="I20" s="140">
        <f>IF(ISNUMBER(SEARCH('Карта учёта'!$B$17,Расходка[Наименование расходного материала])),MAX($I$1:I19)+1,0)</f>
        <v>19</v>
      </c>
      <c r="J20" s="140">
        <f>IF(ISNUMBER(SEARCH('Карта учёта'!$B$18,Расходка[Наименование расходного материала])),MAX($J$1:J19)+1,0)</f>
        <v>19</v>
      </c>
      <c r="K20" s="140">
        <f>IF(ISNUMBER(SEARCH('Карта учёта'!$B$19,Расходка[Наименование расходного материала])),MAX($K$1:K19)+1,0)</f>
        <v>19</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DES, Resolute Integtity</v>
      </c>
      <c r="V20" s="139" t="str">
        <f>IFERROR(INDEX(Расходка[Наименование расходного материала],MATCH(Расходка[№],Поиск_расходки[Индекс5],0)),"")</f>
        <v>DES, Resolute Integtity</v>
      </c>
      <c r="W20" s="139" t="str">
        <f>IFERROR(INDEX(Расходка[Наименование расходного материала],MATCH(Расходка[№],Поиск_расходки[Индекс6],0)),"")</f>
        <v>DES, Resolute Integtity</v>
      </c>
      <c r="X20" s="139" t="str">
        <f>IFERROR(INDEX(Расходка[Наименование расходного материала],MATCH(Расходка[№],Поиск_расходки[Индекс7],0)),"")</f>
        <v>DES, Resolute Integtity</v>
      </c>
      <c r="Y20" s="139" t="str">
        <f>IFERROR(INDEX(Расходка[Наименование расходного материала],MATCH(Расходка[№],Поиск_расходки[Индекс8],0)),"")</f>
        <v>DES, Resolute Integtity</v>
      </c>
      <c r="Z20" s="139" t="str">
        <f>IFERROR(INDEX(Расходка[Наименование расходного материала],MATCH(Расходка[№],Поиск_расходки[Индекс9],0)),"")</f>
        <v>DES, Resolute Integtity</v>
      </c>
      <c r="AA20" s="139" t="str">
        <f>IFERROR(INDEX(Расходка[Наименование расходного материала],MATCH(Расходка[№],Поиск_расходки[Индекс10],0)),"")</f>
        <v>DES, Resolute Integtity</v>
      </c>
      <c r="AB20" s="139" t="str">
        <f>IFERROR(INDEX(Расходка[Наименование расходного материала],MATCH(Расходка[№],Поиск_расходки[Индекс11],0)),"")</f>
        <v>DES, Resolute Integtity</v>
      </c>
      <c r="AC20" s="139" t="str">
        <f>IFERROR(INDEX(Расходка[Наименование расходного материала],MATCH(Расходка[№],Поиск_расходки[Индекс12],0)),"")</f>
        <v>DES, Resolute Integtity</v>
      </c>
      <c r="AD20" s="139" t="str">
        <f>IFERROR(INDEX(Расходка[Наименование расходного материала],MATCH(Расходка[№],Поиск_расходки[Индекс13],0)),"")</f>
        <v>DES, Resolute Integtity</v>
      </c>
      <c r="AF20" s="4" t="s">
        <v>5</v>
      </c>
      <c r="AG20" s="4" t="s">
        <v>116</v>
      </c>
    </row>
    <row r="21" spans="1:33">
      <c r="A21">
        <v>20</v>
      </c>
      <c r="B21" t="s">
        <v>6</v>
      </c>
      <c r="C21" s="195" t="s">
        <v>430</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20</v>
      </c>
      <c r="I21" s="140">
        <f>IF(ISNUMBER(SEARCH('Карта учёта'!$B$17,Расходка[Наименование расходного материала])),MAX($I$1:I20)+1,0)</f>
        <v>20</v>
      </c>
      <c r="J21" s="140">
        <f>IF(ISNUMBER(SEARCH('Карта учёта'!$B$18,Расходка[Наименование расходного материала])),MAX($J$1:J20)+1,0)</f>
        <v>20</v>
      </c>
      <c r="K21" s="140">
        <f>IF(ISNUMBER(SEARCH('Карта учёта'!$B$19,Расходка[Наименование расходного материала])),MAX($K$1:K20)+1,0)</f>
        <v>20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DES, Calipso</v>
      </c>
      <c r="V21" s="139" t="str">
        <f>IFERROR(INDEX(Расходка[Наименование расходного материала],MATCH(Расходка[№],Поиск_расходки[Индекс5],0)),"")</f>
        <v>DES, Calipso</v>
      </c>
      <c r="W21" s="139" t="str">
        <f>IFERROR(INDEX(Расходка[Наименование расходного материала],MATCH(Расходка[№],Поиск_расходки[Индекс6],0)),"")</f>
        <v>DES, Calipso</v>
      </c>
      <c r="X21" s="139" t="str">
        <f>IFERROR(INDEX(Расходка[Наименование расходного материала],MATCH(Расходка[№],Поиск_расходки[Индекс7],0)),"")</f>
        <v>DES, Calipso</v>
      </c>
      <c r="Y21" s="139" t="str">
        <f>IFERROR(INDEX(Расходка[Наименование расходного материала],MATCH(Расходка[№],Поиск_расходки[Индекс8],0)),"")</f>
        <v>DES, Calipso</v>
      </c>
      <c r="Z21" s="139" t="str">
        <f>IFERROR(INDEX(Расходка[Наименование расходного материала],MATCH(Расходка[№],Поиск_расходки[Индекс9],0)),"")</f>
        <v>DES, Calipso</v>
      </c>
      <c r="AA21" s="139" t="str">
        <f>IFERROR(INDEX(Расходка[Наименование расходного материала],MATCH(Расходка[№],Поиск_расходки[Индекс10],0)),"")</f>
        <v>DES, Calipso</v>
      </c>
      <c r="AB21" s="139" t="str">
        <f>IFERROR(INDEX(Расходка[Наименование расходного материала],MATCH(Расходка[№],Поиск_расходки[Индекс11],0)),"")</f>
        <v>DES, Calipso</v>
      </c>
      <c r="AC21" s="139" t="str">
        <f>IFERROR(INDEX(Расходка[Наименование расходного материала],MATCH(Расходка[№],Поиск_расходки[Индекс12],0)),"")</f>
        <v>DES, Calipso</v>
      </c>
      <c r="AD21" s="139" t="str">
        <f>IFERROR(INDEX(Расходка[Наименование расходного материала],MATCH(Расходка[№],Поиск_расходки[Индекс13],0)),"")</f>
        <v>DES, Calipso</v>
      </c>
      <c r="AF21" s="4" t="s">
        <v>5</v>
      </c>
      <c r="AG21" s="4" t="s">
        <v>117</v>
      </c>
    </row>
    <row r="22" spans="1:33">
      <c r="A22">
        <v>21</v>
      </c>
      <c r="B22" t="s">
        <v>6</v>
      </c>
      <c r="C22" s="195" t="s">
        <v>429</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21</v>
      </c>
      <c r="I22" s="140">
        <f>IF(ISNUMBER(SEARCH('Карта учёта'!$B$17,Расходка[Наименование расходного материала])),MAX($I$1:I21)+1,0)</f>
        <v>21</v>
      </c>
      <c r="J22" s="140">
        <f>IF(ISNUMBER(SEARCH('Карта учёта'!$B$18,Расходка[Наименование расходного материала])),MAX($J$1:J21)+1,0)</f>
        <v>21</v>
      </c>
      <c r="K22" s="140">
        <f>IF(ISNUMBER(SEARCH('Карта учёта'!$B$19,Расходка[Наименование расходного материала])),MAX($K$1:K21)+1,0)</f>
        <v>21</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DES, NanoMed</v>
      </c>
      <c r="V22" s="139" t="str">
        <f>IFERROR(INDEX(Расходка[Наименование расходного материала],MATCH(Расходка[№],Поиск_расходки[Индекс5],0)),"")</f>
        <v>DES, NanoMed</v>
      </c>
      <c r="W22" s="139" t="str">
        <f>IFERROR(INDEX(Расходка[Наименование расходного материала],MATCH(Расходка[№],Поиск_расходки[Индекс6],0)),"")</f>
        <v>DES, NanoMed</v>
      </c>
      <c r="X22" s="139" t="str">
        <f>IFERROR(INDEX(Расходка[Наименование расходного материала],MATCH(Расходка[№],Поиск_расходки[Индекс7],0)),"")</f>
        <v>DES, NanoMed</v>
      </c>
      <c r="Y22" s="139" t="str">
        <f>IFERROR(INDEX(Расходка[Наименование расходного материала],MATCH(Расходка[№],Поиск_расходки[Индекс8],0)),"")</f>
        <v>DES, NanoMed</v>
      </c>
      <c r="Z22" s="139" t="str">
        <f>IFERROR(INDEX(Расходка[Наименование расходного материала],MATCH(Расходка[№],Поиск_расходки[Индекс9],0)),"")</f>
        <v>DES, NanoMed</v>
      </c>
      <c r="AA22" s="139" t="str">
        <f>IFERROR(INDEX(Расходка[Наименование расходного материала],MATCH(Расходка[№],Поиск_расходки[Индекс10],0)),"")</f>
        <v>DES, NanoMed</v>
      </c>
      <c r="AB22" s="139" t="str">
        <f>IFERROR(INDEX(Расходка[Наименование расходного материала],MATCH(Расходка[№],Поиск_расходки[Индекс11],0)),"")</f>
        <v>DES, NanoMed</v>
      </c>
      <c r="AC22" s="139" t="str">
        <f>IFERROR(INDEX(Расходка[Наименование расходного материала],MATCH(Расходка[№],Поиск_расходки[Индекс12],0)),"")</f>
        <v>DES, NanoMed</v>
      </c>
      <c r="AD22" s="139" t="str">
        <f>IFERROR(INDEX(Расходка[Наименование расходного материала],MATCH(Расходка[№],Поиск_расходки[Индекс13],0)),"")</f>
        <v>DES, NanoMed</v>
      </c>
      <c r="AF22" s="4" t="s">
        <v>5</v>
      </c>
      <c r="AG22" s="4" t="s">
        <v>118</v>
      </c>
    </row>
    <row r="23" spans="1:33">
      <c r="A23">
        <v>22</v>
      </c>
      <c r="B23" t="s">
        <v>6</v>
      </c>
      <c r="C23" s="197" t="s">
        <v>445</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22</v>
      </c>
      <c r="I23" s="140">
        <f>IF(ISNUMBER(SEARCH('Карта учёта'!$B$17,Расходка[Наименование расходного материала])),MAX($I$1:I22)+1,0)</f>
        <v>22</v>
      </c>
      <c r="J23" s="140">
        <f>IF(ISNUMBER(SEARCH('Карта учёта'!$B$18,Расходка[Наименование расходного материала])),MAX($J$1:J22)+1,0)</f>
        <v>22</v>
      </c>
      <c r="K23" s="140">
        <f>IF(ISNUMBER(SEARCH('Карта учёта'!$B$19,Расходка[Наименование расходного материала])),MAX($K$1:K22)+1,0)</f>
        <v>22</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DES,Firehawk</v>
      </c>
      <c r="V23" s="139" t="str">
        <f>IFERROR(INDEX(Расходка[Наименование расходного материала],MATCH(Расходка[№],Поиск_расходки[Индекс5],0)),"")</f>
        <v>DES,Firehawk</v>
      </c>
      <c r="W23" s="139" t="str">
        <f>IFERROR(INDEX(Расходка[Наименование расходного материала],MATCH(Расходка[№],Поиск_расходки[Индекс6],0)),"")</f>
        <v>DES,Firehawk</v>
      </c>
      <c r="X23" s="139" t="str">
        <f>IFERROR(INDEX(Расходка[Наименование расходного материала],MATCH(Расходка[№],Поиск_расходки[Индекс7],0)),"")</f>
        <v>DES,Firehawk</v>
      </c>
      <c r="Y23" s="139" t="str">
        <f>IFERROR(INDEX(Расходка[Наименование расходного материала],MATCH(Расходка[№],Поиск_расходки[Индекс8],0)),"")</f>
        <v>DES,Firehawk</v>
      </c>
      <c r="Z23" s="139" t="str">
        <f>IFERROR(INDEX(Расходка[Наименование расходного материала],MATCH(Расходка[№],Поиск_расходки[Индекс9],0)),"")</f>
        <v>DES,Firehawk</v>
      </c>
      <c r="AA23" s="139" t="str">
        <f>IFERROR(INDEX(Расходка[Наименование расходного материала],MATCH(Расходка[№],Поиск_расходки[Индекс10],0)),"")</f>
        <v>DES,Firehawk</v>
      </c>
      <c r="AB23" s="139" t="str">
        <f>IFERROR(INDEX(Расходка[Наименование расходного материала],MATCH(Расходка[№],Поиск_расходки[Индекс11],0)),"")</f>
        <v>DES,Firehawk</v>
      </c>
      <c r="AC23" s="139" t="str">
        <f>IFERROR(INDEX(Расходка[Наименование расходного материала],MATCH(Расходка[№],Поиск_расходки[Индекс12],0)),"")</f>
        <v>DES,Firehawk</v>
      </c>
      <c r="AD23" s="139" t="str">
        <f>IFERROR(INDEX(Расходка[Наименование расходного материала],MATCH(Расходка[№],Поиск_расходки[Индекс13],0)),"")</f>
        <v>DES,Firehawk</v>
      </c>
      <c r="AF23" s="4" t="s">
        <v>5</v>
      </c>
      <c r="AG23" s="4" t="s">
        <v>119</v>
      </c>
    </row>
    <row r="24" spans="1:33">
      <c r="A24">
        <v>23</v>
      </c>
      <c r="B24" t="s">
        <v>6</v>
      </c>
      <c r="C24" s="1" t="s">
        <v>346</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23</v>
      </c>
      <c r="I24" s="140">
        <f>IF(ISNUMBER(SEARCH('Карта учёта'!$B$17,Расходка[Наименование расходного материала])),MAX($I$1:I23)+1,0)</f>
        <v>23</v>
      </c>
      <c r="J24" s="140">
        <f>IF(ISNUMBER(SEARCH('Карта учёта'!$B$18,Расходка[Наименование расходного материала])),MAX($J$1:J23)+1,0)</f>
        <v>23</v>
      </c>
      <c r="K24" s="140">
        <f>IF(ISNUMBER(SEARCH('Карта учёта'!$B$19,Расходка[Наименование расходного материала])),MAX($K$1:K23)+1,0)</f>
        <v>23</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BMS, Integtity</v>
      </c>
      <c r="V24" s="139" t="str">
        <f>IFERROR(INDEX(Расходка[Наименование расходного материала],MATCH(Расходка[№],Поиск_расходки[Индекс5],0)),"")</f>
        <v>BMS, Integtity</v>
      </c>
      <c r="W24" s="139" t="str">
        <f>IFERROR(INDEX(Расходка[Наименование расходного материала],MATCH(Расходка[№],Поиск_расходки[Индекс6],0)),"")</f>
        <v>BMS, Integtity</v>
      </c>
      <c r="X24" s="139" t="str">
        <f>IFERROR(INDEX(Расходка[Наименование расходного материала],MATCH(Расходка[№],Поиск_расходки[Индекс7],0)),"")</f>
        <v>BMS, Integtity</v>
      </c>
      <c r="Y24" s="139" t="str">
        <f>IFERROR(INDEX(Расходка[Наименование расходного материала],MATCH(Расходка[№],Поиск_расходки[Индекс8],0)),"")</f>
        <v>BMS, Integtity</v>
      </c>
      <c r="Z24" s="139" t="str">
        <f>IFERROR(INDEX(Расходка[Наименование расходного материала],MATCH(Расходка[№],Поиск_расходки[Индекс9],0)),"")</f>
        <v>BMS, Integtity</v>
      </c>
      <c r="AA24" s="139" t="str">
        <f>IFERROR(INDEX(Расходка[Наименование расходного материала],MATCH(Расходка[№],Поиск_расходки[Индекс10],0)),"")</f>
        <v>BMS, Integtity</v>
      </c>
      <c r="AB24" s="139" t="str">
        <f>IFERROR(INDEX(Расходка[Наименование расходного материала],MATCH(Расходка[№],Поиск_расходки[Индекс11],0)),"")</f>
        <v>BMS, Integtity</v>
      </c>
      <c r="AC24" s="139" t="str">
        <f>IFERROR(INDEX(Расходка[Наименование расходного материала],MATCH(Расходка[№],Поиск_расходки[Индекс12],0)),"")</f>
        <v>BMS, Integtity</v>
      </c>
      <c r="AD24" s="139" t="str">
        <f>IFERROR(INDEX(Расходка[Наименование расходного материала],MATCH(Расходка[№],Поиск_расходки[Индекс13],0)),"")</f>
        <v>BMS, Integtity</v>
      </c>
      <c r="AF24" s="4" t="s">
        <v>5</v>
      </c>
      <c r="AG24" s="4" t="s">
        <v>120</v>
      </c>
    </row>
    <row r="25" spans="1:33">
      <c r="A25">
        <v>24</v>
      </c>
      <c r="B25" t="s">
        <v>123</v>
      </c>
      <c r="C25" s="1" t="s">
        <v>401</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24</v>
      </c>
      <c r="I25" s="140">
        <f>IF(ISNUMBER(SEARCH('Карта учёта'!$B$17,Расходка[Наименование расходного материала])),MAX($I$1:I24)+1,0)</f>
        <v>24</v>
      </c>
      <c r="J25" s="140">
        <f>IF(ISNUMBER(SEARCH('Карта учёта'!$B$18,Расходка[Наименование расходного материала])),MAX($J$1:J24)+1,0)</f>
        <v>24</v>
      </c>
      <c r="K25" s="140">
        <f>IF(ISNUMBER(SEARCH('Карта учёта'!$B$19,Расходка[Наименование расходного материала])),MAX($K$1:K24)+1,0)</f>
        <v>24</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Guidezilla™ II 6F</v>
      </c>
      <c r="V25" s="139" t="str">
        <f>IFERROR(INDEX(Расходка[Наименование расходного материала],MATCH(Расходка[№],Поиск_расходки[Индекс5],0)),"")</f>
        <v>Guidezilla™ II 6F</v>
      </c>
      <c r="W25" s="139" t="str">
        <f>IFERROR(INDEX(Расходка[Наименование расходного материала],MATCH(Расходка[№],Поиск_расходки[Индекс6],0)),"")</f>
        <v>Guidezilla™ II 6F</v>
      </c>
      <c r="X25" s="139" t="str">
        <f>IFERROR(INDEX(Расходка[Наименование расходного материала],MATCH(Расходка[№],Поиск_расходки[Индекс7],0)),"")</f>
        <v>Guidezilla™ II 6F</v>
      </c>
      <c r="Y25" s="139" t="str">
        <f>IFERROR(INDEX(Расходка[Наименование расходного материала],MATCH(Расходка[№],Поиск_расходки[Индекс8],0)),"")</f>
        <v>Guidezilla™ II 6F</v>
      </c>
      <c r="Z25" s="139" t="str">
        <f>IFERROR(INDEX(Расходка[Наименование расходного материала],MATCH(Расходка[№],Поиск_расходки[Индекс9],0)),"")</f>
        <v>Guidezilla™ II 6F</v>
      </c>
      <c r="AA25" s="139" t="str">
        <f>IFERROR(INDEX(Расходка[Наименование расходного материала],MATCH(Расходка[№],Поиск_расходки[Индекс10],0)),"")</f>
        <v>Guidezilla™ II 6F</v>
      </c>
      <c r="AB25" s="139" t="str">
        <f>IFERROR(INDEX(Расходка[Наименование расходного материала],MATCH(Расходка[№],Поиск_расходки[Индекс11],0)),"")</f>
        <v>Guidezilla™ II 6F</v>
      </c>
      <c r="AC25" s="139" t="str">
        <f>IFERROR(INDEX(Расходка[Наименование расходного материала],MATCH(Расходка[№],Поиск_расходки[Индекс12],0)),"")</f>
        <v>Guidezilla™ II 6F</v>
      </c>
      <c r="AD25" s="139" t="str">
        <f>IFERROR(INDEX(Расходка[Наименование расходного материала],MATCH(Расходка[№],Поиск_расходки[Индекс13],0)),"")</f>
        <v>Guidezilla™ II 6F</v>
      </c>
      <c r="AF25" s="4" t="s">
        <v>5</v>
      </c>
      <c r="AG25" s="4" t="s">
        <v>121</v>
      </c>
    </row>
    <row r="26" spans="1:33">
      <c r="A26">
        <v>25</v>
      </c>
      <c r="B26" t="s">
        <v>123</v>
      </c>
      <c r="C26" s="1" t="s">
        <v>427</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25</v>
      </c>
      <c r="I26" s="142">
        <f>IF(ISNUMBER(SEARCH('Карта учёта'!$B$17,Расходка[Наименование расходного материала])),MAX($I$1:I25)+1,0)</f>
        <v>25</v>
      </c>
      <c r="J26" s="142">
        <f>IF(ISNUMBER(SEARCH('Карта учёта'!$B$18,Расходка[Наименование расходного материала])),MAX($J$1:J25)+1,0)</f>
        <v>25</v>
      </c>
      <c r="K26" s="142">
        <f>IF(ISNUMBER(SEARCH('Карта учёта'!$B$19,Расходка[Наименование расходного материала])),MAX($K$1:K25)+1,0)</f>
        <v>25</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Telescope ™ II 6F</v>
      </c>
      <c r="V26" s="144" t="str">
        <f>IFERROR(INDEX(Расходка[Наименование расходного материала],MATCH(Расходка[№],Поиск_расходки[Индекс5],0)),"")</f>
        <v>Telescope ™ II 6F</v>
      </c>
      <c r="W26" s="144" t="str">
        <f>IFERROR(INDEX(Расходка[Наименование расходного материала],MATCH(Расходка[№],Поиск_расходки[Индекс6],0)),"")</f>
        <v>Telescope ™ II 6F</v>
      </c>
      <c r="X26" s="144" t="str">
        <f>IFERROR(INDEX(Расходка[Наименование расходного материала],MATCH(Расходка[№],Поиск_расходки[Индекс7],0)),"")</f>
        <v>Telescope ™ II 6F</v>
      </c>
      <c r="Y26" s="144" t="str">
        <f>IFERROR(INDEX(Расходка[Наименование расходного материала],MATCH(Расходка[№],Поиск_расходки[Индекс8],0)),"")</f>
        <v>Telescope ™ II 6F</v>
      </c>
      <c r="Z26" s="144" t="str">
        <f>IFERROR(INDEX(Расходка[Наименование расходного материала],MATCH(Расходка[№],Поиск_расходки[Индекс9],0)),"")</f>
        <v>Telescope ™ II 6F</v>
      </c>
      <c r="AA26" s="144" t="str">
        <f>IFERROR(INDEX(Расходка[Наименование расходного материала],MATCH(Расходка[№],Поиск_расходки[Индекс10],0)),"")</f>
        <v>Telescope ™ II 6F</v>
      </c>
      <c r="AB26" s="144" t="str">
        <f>IFERROR(INDEX(Расходка[Наименование расходного материала],MATCH(Расходка[№],Поиск_расходки[Индекс11],0)),"")</f>
        <v>Telescope ™ II 6F</v>
      </c>
      <c r="AC26" s="144" t="str">
        <f>IFERROR(INDEX(Расходка[Наименование расходного материала],MATCH(Расходка[№],Поиск_расходки[Индекс12],0)),"")</f>
        <v>Telescope ™ II 6F</v>
      </c>
      <c r="AD26" s="144" t="str">
        <f>IFERROR(INDEX(Расходка[Наименование расходного материала],MATCH(Расходка[№],Поиск_расходки[Индекс13],0)),"")</f>
        <v>Telescope ™ II 6F</v>
      </c>
      <c r="AF26" s="4" t="s">
        <v>5</v>
      </c>
      <c r="AG26" s="4" t="s">
        <v>374</v>
      </c>
    </row>
    <row r="27" spans="1:33">
      <c r="A27">
        <v>26</v>
      </c>
      <c r="B27" t="s">
        <v>4</v>
      </c>
      <c r="C27" t="s">
        <v>402</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1</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26</v>
      </c>
      <c r="I27" s="142">
        <f>IF(ISNUMBER(SEARCH('Карта учёта'!$B$17,Расходка[Наименование расходного материала])),MAX($I$1:I26)+1,0)</f>
        <v>26</v>
      </c>
      <c r="J27" s="142">
        <f>IF(ISNUMBER(SEARCH('Карта учёта'!$B$18,Расходка[Наименование расходного материала])),MAX($J$1:J26)+1,0)</f>
        <v>26</v>
      </c>
      <c r="K27" s="142">
        <f>IF(ISNUMBER(SEARCH('Карта учёта'!$B$19,Расходка[Наименование расходного материала])),MAX($K$1:K26)+1,0)</f>
        <v>26</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Launcher 6F EBU 3.5</v>
      </c>
      <c r="V27" s="144" t="str">
        <f>IFERROR(INDEX(Расходка[Наименование расходного материала],MATCH(Расходка[№],Поиск_расходки[Индекс5],0)),"")</f>
        <v>Launcher 6F EBU 3.5</v>
      </c>
      <c r="W27" s="144" t="str">
        <f>IFERROR(INDEX(Расходка[Наименование расходного материала],MATCH(Расходка[№],Поиск_расходки[Индекс6],0)),"")</f>
        <v>Launcher 6F EBU 3.5</v>
      </c>
      <c r="X27" s="144" t="str">
        <f>IFERROR(INDEX(Расходка[Наименование расходного материала],MATCH(Расходка[№],Поиск_расходки[Индекс7],0)),"")</f>
        <v>Launcher 6F EBU 3.5</v>
      </c>
      <c r="Y27" s="144" t="str">
        <f>IFERROR(INDEX(Расходка[Наименование расходного материала],MATCH(Расходка[№],Поиск_расходки[Индекс8],0)),"")</f>
        <v>Launcher 6F EBU 3.5</v>
      </c>
      <c r="Z27" s="144" t="str">
        <f>IFERROR(INDEX(Расходка[Наименование расходного материала],MATCH(Расходка[№],Поиск_расходки[Индекс9],0)),"")</f>
        <v>Launcher 6F EBU 3.5</v>
      </c>
      <c r="AA27" s="144" t="str">
        <f>IFERROR(INDEX(Расходка[Наименование расходного материала],MATCH(Расходка[№],Поиск_расходки[Индекс10],0)),"")</f>
        <v>Launcher 6F EBU 3.5</v>
      </c>
      <c r="AB27" s="144" t="str">
        <f>IFERROR(INDEX(Расходка[Наименование расходного материала],MATCH(Расходка[№],Поиск_расходки[Индекс11],0)),"")</f>
        <v>Launcher 6F EBU 3.5</v>
      </c>
      <c r="AC27" s="144" t="str">
        <f>IFERROR(INDEX(Расходка[Наименование расходного материала],MATCH(Расходка[№],Поиск_расходки[Индекс12],0)),"")</f>
        <v>Launcher 6F EBU 3.5</v>
      </c>
      <c r="AD27" s="144" t="str">
        <f>IFERROR(INDEX(Расходка[Наименование расходного материала],MATCH(Расходка[№],Поиск_расходки[Индекс13],0)),"")</f>
        <v>Launcher 6F EBU 3.5</v>
      </c>
      <c r="AF27" s="4" t="s">
        <v>5</v>
      </c>
      <c r="AG27" s="4" t="s">
        <v>375</v>
      </c>
    </row>
    <row r="28" spans="1:33">
      <c r="A28">
        <v>27</v>
      </c>
      <c r="B28" t="s">
        <v>4</v>
      </c>
      <c r="C28" t="s">
        <v>403</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27</v>
      </c>
      <c r="I28" s="142">
        <f>IF(ISNUMBER(SEARCH('Карта учёта'!$B$17,Расходка[Наименование расходного материала])),MAX($I$1:I27)+1,0)</f>
        <v>27</v>
      </c>
      <c r="J28" s="142">
        <f>IF(ISNUMBER(SEARCH('Карта учёта'!$B$18,Расходка[Наименование расходного материала])),MAX($J$1:J27)+1,0)</f>
        <v>27</v>
      </c>
      <c r="K28" s="142">
        <f>IF(ISNUMBER(SEARCH('Карта учёта'!$B$19,Расходка[Наименование расходного материала])),MAX($K$1:K27)+1,0)</f>
        <v>27</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Launcher 6F EBU 4.0</v>
      </c>
      <c r="V28" s="144" t="str">
        <f>IFERROR(INDEX(Расходка[Наименование расходного материала],MATCH(Расходка[№],Поиск_расходки[Индекс5],0)),"")</f>
        <v>Launcher 6F EBU 4.0</v>
      </c>
      <c r="W28" s="144" t="str">
        <f>IFERROR(INDEX(Расходка[Наименование расходного материала],MATCH(Расходка[№],Поиск_расходки[Индекс6],0)),"")</f>
        <v>Launcher 6F EBU 4.0</v>
      </c>
      <c r="X28" s="144" t="str">
        <f>IFERROR(INDEX(Расходка[Наименование расходного материала],MATCH(Расходка[№],Поиск_расходки[Индекс7],0)),"")</f>
        <v>Launcher 6F EBU 4.0</v>
      </c>
      <c r="Y28" s="144" t="str">
        <f>IFERROR(INDEX(Расходка[Наименование расходного материала],MATCH(Расходка[№],Поиск_расходки[Индекс8],0)),"")</f>
        <v>Launcher 6F EBU 4.0</v>
      </c>
      <c r="Z28" s="144" t="str">
        <f>IFERROR(INDEX(Расходка[Наименование расходного материала],MATCH(Расходка[№],Поиск_расходки[Индекс9],0)),"")</f>
        <v>Launcher 6F EBU 4.0</v>
      </c>
      <c r="AA28" s="144" t="str">
        <f>IFERROR(INDEX(Расходка[Наименование расходного материала],MATCH(Расходка[№],Поиск_расходки[Индекс10],0)),"")</f>
        <v>Launcher 6F EBU 4.0</v>
      </c>
      <c r="AB28" s="144" t="str">
        <f>IFERROR(INDEX(Расходка[Наименование расходного материала],MATCH(Расходка[№],Поиск_расходки[Индекс11],0)),"")</f>
        <v>Launcher 6F EBU 4.0</v>
      </c>
      <c r="AC28" s="144" t="str">
        <f>IFERROR(INDEX(Расходка[Наименование расходного материала],MATCH(Расходка[№],Поиск_расходки[Индекс12],0)),"")</f>
        <v>Launcher 6F EBU 4.0</v>
      </c>
      <c r="AD28" s="144" t="str">
        <f>IFERROR(INDEX(Расходка[Наименование расходного материала],MATCH(Расходка[№],Поиск_расходки[Индекс13],0)),"")</f>
        <v>Launcher 6F EBU 4.0</v>
      </c>
      <c r="AF28" s="4" t="s">
        <v>6</v>
      </c>
      <c r="AG28" s="4" t="s">
        <v>160</v>
      </c>
    </row>
    <row r="29" spans="1:33">
      <c r="A29">
        <v>28</v>
      </c>
      <c r="B29" t="s">
        <v>4</v>
      </c>
      <c r="C29" t="s">
        <v>404</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28</v>
      </c>
      <c r="I29" s="142">
        <f>IF(ISNUMBER(SEARCH('Карта учёта'!$B$17,Расходка[Наименование расходного материала])),MAX($I$1:I28)+1,0)</f>
        <v>28</v>
      </c>
      <c r="J29" s="142">
        <f>IF(ISNUMBER(SEARCH('Карта учёта'!$B$18,Расходка[Наименование расходного материала])),MAX($J$1:J28)+1,0)</f>
        <v>28</v>
      </c>
      <c r="K29" s="142">
        <f>IF(ISNUMBER(SEARCH('Карта учёта'!$B$19,Расходка[Наименование расходного материала])),MAX($K$1:K28)+1,0)</f>
        <v>28</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Launcher 6F JL 3.5</v>
      </c>
      <c r="V29" s="144" t="str">
        <f>IFERROR(INDEX(Расходка[Наименование расходного материала],MATCH(Расходка[№],Поиск_расходки[Индекс5],0)),"")</f>
        <v>Launcher 6F JL 3.5</v>
      </c>
      <c r="W29" s="144" t="str">
        <f>IFERROR(INDEX(Расходка[Наименование расходного материала],MATCH(Расходка[№],Поиск_расходки[Индекс6],0)),"")</f>
        <v>Launcher 6F JL 3.5</v>
      </c>
      <c r="X29" s="144" t="str">
        <f>IFERROR(INDEX(Расходка[Наименование расходного материала],MATCH(Расходка[№],Поиск_расходки[Индекс7],0)),"")</f>
        <v>Launcher 6F JL 3.5</v>
      </c>
      <c r="Y29" s="144" t="str">
        <f>IFERROR(INDEX(Расходка[Наименование расходного материала],MATCH(Расходка[№],Поиск_расходки[Индекс8],0)),"")</f>
        <v>Launcher 6F JL 3.5</v>
      </c>
      <c r="Z29" s="144" t="str">
        <f>IFERROR(INDEX(Расходка[Наименование расходного материала],MATCH(Расходка[№],Поиск_расходки[Индекс9],0)),"")</f>
        <v>Launcher 6F JL 3.5</v>
      </c>
      <c r="AA29" s="144" t="str">
        <f>IFERROR(INDEX(Расходка[Наименование расходного материала],MATCH(Расходка[№],Поиск_расходки[Индекс10],0)),"")</f>
        <v>Launcher 6F JL 3.5</v>
      </c>
      <c r="AB29" s="144" t="str">
        <f>IFERROR(INDEX(Расходка[Наименование расходного материала],MATCH(Расходка[№],Поиск_расходки[Индекс11],0)),"")</f>
        <v>Launcher 6F JL 3.5</v>
      </c>
      <c r="AC29" s="144" t="str">
        <f>IFERROR(INDEX(Расходка[Наименование расходного материала],MATCH(Расходка[№],Поиск_расходки[Индекс12],0)),"")</f>
        <v>Launcher 6F JL 3.5</v>
      </c>
      <c r="AD29" s="144" t="str">
        <f>IFERROR(INDEX(Расходка[Наименование расходного материала],MATCH(Расходка[№],Поиск_расходки[Индекс13],0)),"")</f>
        <v>Launcher 6F JL 3.5</v>
      </c>
      <c r="AF29" s="4" t="s">
        <v>6</v>
      </c>
      <c r="AG29" s="4" t="s">
        <v>420</v>
      </c>
    </row>
    <row r="30" spans="1:33">
      <c r="A30">
        <v>29</v>
      </c>
      <c r="B30" t="s">
        <v>4</v>
      </c>
      <c r="C30" t="s">
        <v>405</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29</v>
      </c>
      <c r="I30" s="142">
        <f>IF(ISNUMBER(SEARCH('Карта учёта'!$B$17,Расходка[Наименование расходного материала])),MAX($I$1:I29)+1,0)</f>
        <v>29</v>
      </c>
      <c r="J30" s="142">
        <f>IF(ISNUMBER(SEARCH('Карта учёта'!$B$18,Расходка[Наименование расходного материала])),MAX($J$1:J29)+1,0)</f>
        <v>29</v>
      </c>
      <c r="K30" s="142">
        <f>IF(ISNUMBER(SEARCH('Карта учёта'!$B$19,Расходка[Наименование расходного материала])),MAX($K$1:K29)+1,0)</f>
        <v>29</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Launcher 6F JL 4.0</v>
      </c>
      <c r="V30" s="144" t="str">
        <f>IFERROR(INDEX(Расходка[Наименование расходного материала],MATCH(Расходка[№],Поиск_расходки[Индекс5],0)),"")</f>
        <v>Launcher 6F JL 4.0</v>
      </c>
      <c r="W30" s="144" t="str">
        <f>IFERROR(INDEX(Расходка[Наименование расходного материала],MATCH(Расходка[№],Поиск_расходки[Индекс6],0)),"")</f>
        <v>Launcher 6F JL 4.0</v>
      </c>
      <c r="X30" s="144" t="str">
        <f>IFERROR(INDEX(Расходка[Наименование расходного материала],MATCH(Расходка[№],Поиск_расходки[Индекс7],0)),"")</f>
        <v>Launcher 6F JL 4.0</v>
      </c>
      <c r="Y30" s="144" t="str">
        <f>IFERROR(INDEX(Расходка[Наименование расходного материала],MATCH(Расходка[№],Поиск_расходки[Индекс8],0)),"")</f>
        <v>Launcher 6F JL 4.0</v>
      </c>
      <c r="Z30" s="144" t="str">
        <f>IFERROR(INDEX(Расходка[Наименование расходного материала],MATCH(Расходка[№],Поиск_расходки[Индекс9],0)),"")</f>
        <v>Launcher 6F JL 4.0</v>
      </c>
      <c r="AA30" s="144" t="str">
        <f>IFERROR(INDEX(Расходка[Наименование расходного материала],MATCH(Расходка[№],Поиск_расходки[Индекс10],0)),"")</f>
        <v>Launcher 6F JL 4.0</v>
      </c>
      <c r="AB30" s="144" t="str">
        <f>IFERROR(INDEX(Расходка[Наименование расходного материала],MATCH(Расходка[№],Поиск_расходки[Индекс11],0)),"")</f>
        <v>Launcher 6F JL 4.0</v>
      </c>
      <c r="AC30" s="144" t="str">
        <f>IFERROR(INDEX(Расходка[Наименование расходного материала],MATCH(Расходка[№],Поиск_расходки[Индекс12],0)),"")</f>
        <v>Launcher 6F JL 4.0</v>
      </c>
      <c r="AD30" s="144" t="str">
        <f>IFERROR(INDEX(Расходка[Наименование расходного материала],MATCH(Расходка[№],Поиск_расходки[Индекс13],0)),"")</f>
        <v>Launcher 6F JL 4.0</v>
      </c>
      <c r="AF30" s="4" t="s">
        <v>6</v>
      </c>
      <c r="AG30" s="4" t="s">
        <v>431</v>
      </c>
    </row>
    <row r="31" spans="1:33">
      <c r="A31">
        <v>30</v>
      </c>
      <c r="B31" t="s">
        <v>4</v>
      </c>
      <c r="C31" t="s">
        <v>411</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30</v>
      </c>
      <c r="I31" s="142">
        <f>IF(ISNUMBER(SEARCH('Карта учёта'!$B$17,Расходка[Наименование расходного материала])),MAX($I$1:I30)+1,0)</f>
        <v>30</v>
      </c>
      <c r="J31" s="142">
        <f>IF(ISNUMBER(SEARCH('Карта учёта'!$B$18,Расходка[Наименование расходного материала])),MAX($J$1:J30)+1,0)</f>
        <v>30</v>
      </c>
      <c r="K31" s="142">
        <f>IF(ISNUMBER(SEARCH('Карта учёта'!$B$19,Расходка[Наименование расходного материала])),MAX($K$1:K30)+1,0)</f>
        <v>30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Launcher 6F JL 4.5</v>
      </c>
      <c r="V31" s="144" t="str">
        <f>IFERROR(INDEX(Расходка[Наименование расходного материала],MATCH(Расходка[№],Поиск_расходки[Индекс5],0)),"")</f>
        <v>Launcher 6F JL 4.5</v>
      </c>
      <c r="W31" s="144" t="str">
        <f>IFERROR(INDEX(Расходка[Наименование расходного материала],MATCH(Расходка[№],Поиск_расходки[Индекс6],0)),"")</f>
        <v>Launcher 6F JL 4.5</v>
      </c>
      <c r="X31" s="144" t="str">
        <f>IFERROR(INDEX(Расходка[Наименование расходного материала],MATCH(Расходка[№],Поиск_расходки[Индекс7],0)),"")</f>
        <v>Launcher 6F JL 4.5</v>
      </c>
      <c r="Y31" s="144" t="str">
        <f>IFERROR(INDEX(Расходка[Наименование расходного материала],MATCH(Расходка[№],Поиск_расходки[Индекс8],0)),"")</f>
        <v>Launcher 6F JL 4.5</v>
      </c>
      <c r="Z31" s="144" t="str">
        <f>IFERROR(INDEX(Расходка[Наименование расходного материала],MATCH(Расходка[№],Поиск_расходки[Индекс9],0)),"")</f>
        <v>Launcher 6F JL 4.5</v>
      </c>
      <c r="AA31" s="144" t="str">
        <f>IFERROR(INDEX(Расходка[Наименование расходного материала],MATCH(Расходка[№],Поиск_расходки[Индекс10],0)),"")</f>
        <v>Launcher 6F JL 4.5</v>
      </c>
      <c r="AB31" s="144" t="str">
        <f>IFERROR(INDEX(Расходка[Наименование расходного материала],MATCH(Расходка[№],Поиск_расходки[Индекс11],0)),"")</f>
        <v>Launcher 6F JL 4.5</v>
      </c>
      <c r="AC31" s="144" t="str">
        <f>IFERROR(INDEX(Расходка[Наименование расходного материала],MATCH(Расходка[№],Поиск_расходки[Индекс12],0)),"")</f>
        <v>Launcher 6F JL 4.5</v>
      </c>
      <c r="AD31" s="144" t="str">
        <f>IFERROR(INDEX(Расходка[Наименование расходного материала],MATCH(Расходка[№],Поиск_расходки[Индекс13],0)),"")</f>
        <v>Launcher 6F JL 4.5</v>
      </c>
      <c r="AF31" s="4" t="s">
        <v>6</v>
      </c>
      <c r="AG31" s="4" t="s">
        <v>105</v>
      </c>
    </row>
    <row r="32" spans="1:33">
      <c r="A32">
        <v>31</v>
      </c>
      <c r="B32" t="s">
        <v>4</v>
      </c>
      <c r="C32" t="s">
        <v>446</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31</v>
      </c>
      <c r="I32" s="142">
        <f>IF(ISNUMBER(SEARCH('Карта учёта'!$B$17,Расходка[Наименование расходного материала])),MAX($I$1:I31)+1,0)</f>
        <v>31</v>
      </c>
      <c r="J32" s="142">
        <f>IF(ISNUMBER(SEARCH('Карта учёта'!$B$18,Расходка[Наименование расходного материала])),MAX($J$1:J31)+1,0)</f>
        <v>31</v>
      </c>
      <c r="K32" s="142">
        <f>IF(ISNUMBER(SEARCH('Карта учёта'!$B$19,Расходка[Наименование расходного материала])),MAX($K$1:K31)+1,0)</f>
        <v>31</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Launcher 6F AL 1</v>
      </c>
      <c r="V32" s="144" t="str">
        <f>IFERROR(INDEX(Расходка[Наименование расходного материала],MATCH(Расходка[№],Поиск_расходки[Индекс5],0)),"")</f>
        <v>Launcher 6F AL 1</v>
      </c>
      <c r="W32" s="144" t="str">
        <f>IFERROR(INDEX(Расходка[Наименование расходного материала],MATCH(Расходка[№],Поиск_расходки[Индекс6],0)),"")</f>
        <v>Launcher 6F AL 1</v>
      </c>
      <c r="X32" s="144" t="str">
        <f>IFERROR(INDEX(Расходка[Наименование расходного материала],MATCH(Расходка[№],Поиск_расходки[Индекс7],0)),"")</f>
        <v>Launcher 6F AL 1</v>
      </c>
      <c r="Y32" s="144" t="str">
        <f>IFERROR(INDEX(Расходка[Наименование расходного материала],MATCH(Расходка[№],Поиск_расходки[Индекс8],0)),"")</f>
        <v>Launcher 6F AL 1</v>
      </c>
      <c r="Z32" s="144" t="str">
        <f>IFERROR(INDEX(Расходка[Наименование расходного материала],MATCH(Расходка[№],Поиск_расходки[Индекс9],0)),"")</f>
        <v>Launcher 6F AL 1</v>
      </c>
      <c r="AA32" s="144" t="str">
        <f>IFERROR(INDEX(Расходка[Наименование расходного материала],MATCH(Расходка[№],Поиск_расходки[Индекс10],0)),"")</f>
        <v>Launcher 6F AL 1</v>
      </c>
      <c r="AB32" s="144" t="str">
        <f>IFERROR(INDEX(Расходка[Наименование расходного материала],MATCH(Расходка[№],Поиск_расходки[Индекс11],0)),"")</f>
        <v>Launcher 6F AL 1</v>
      </c>
      <c r="AC32" s="144" t="str">
        <f>IFERROR(INDEX(Расходка[Наименование расходного материала],MATCH(Расходка[№],Поиск_расходки[Индекс12],0)),"")</f>
        <v>Launcher 6F AL 1</v>
      </c>
      <c r="AD32" s="144" t="str">
        <f>IFERROR(INDEX(Расходка[Наименование расходного материала],MATCH(Расходка[№],Поиск_расходки[Индекс13],0)),"")</f>
        <v>Launcher 6F AL 1</v>
      </c>
      <c r="AF32" s="4" t="s">
        <v>6</v>
      </c>
      <c r="AG32" s="4" t="s">
        <v>161</v>
      </c>
    </row>
    <row r="33" spans="1:33">
      <c r="A33">
        <v>32</v>
      </c>
      <c r="B33" t="s">
        <v>4</v>
      </c>
      <c r="C33" t="s">
        <v>447</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32</v>
      </c>
      <c r="I33" s="142">
        <f>IF(ISNUMBER(SEARCH('Карта учёта'!$B$17,Расходка[Наименование расходного материала])),MAX($I$1:I32)+1,0)</f>
        <v>32</v>
      </c>
      <c r="J33" s="142">
        <f>IF(ISNUMBER(SEARCH('Карта учёта'!$B$18,Расходка[Наименование расходного материала])),MAX($J$1:J32)+1,0)</f>
        <v>32</v>
      </c>
      <c r="K33" s="142">
        <f>IF(ISNUMBER(SEARCH('Карта учёта'!$B$19,Расходка[Наименование расходного материала])),MAX($K$1:K32)+1,0)</f>
        <v>32</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Launcher 6F AL 2</v>
      </c>
      <c r="V33" s="144" t="str">
        <f>IFERROR(INDEX(Расходка[Наименование расходного материала],MATCH(Расходка[№],Поиск_расходки[Индекс5],0)),"")</f>
        <v>Launcher 6F AL 2</v>
      </c>
      <c r="W33" s="144" t="str">
        <f>IFERROR(INDEX(Расходка[Наименование расходного материала],MATCH(Расходка[№],Поиск_расходки[Индекс6],0)),"")</f>
        <v>Launcher 6F AL 2</v>
      </c>
      <c r="X33" s="144" t="str">
        <f>IFERROR(INDEX(Расходка[Наименование расходного материала],MATCH(Расходка[№],Поиск_расходки[Индекс7],0)),"")</f>
        <v>Launcher 6F AL 2</v>
      </c>
      <c r="Y33" s="144" t="str">
        <f>IFERROR(INDEX(Расходка[Наименование расходного материала],MATCH(Расходка[№],Поиск_расходки[Индекс8],0)),"")</f>
        <v>Launcher 6F AL 2</v>
      </c>
      <c r="Z33" s="144" t="str">
        <f>IFERROR(INDEX(Расходка[Наименование расходного материала],MATCH(Расходка[№],Поиск_расходки[Индекс9],0)),"")</f>
        <v>Launcher 6F AL 2</v>
      </c>
      <c r="AA33" s="144" t="str">
        <f>IFERROR(INDEX(Расходка[Наименование расходного материала],MATCH(Расходка[№],Поиск_расходки[Индекс10],0)),"")</f>
        <v>Launcher 6F AL 2</v>
      </c>
      <c r="AB33" s="144" t="str">
        <f>IFERROR(INDEX(Расходка[Наименование расходного материала],MATCH(Расходка[№],Поиск_расходки[Индекс11],0)),"")</f>
        <v>Launcher 6F AL 2</v>
      </c>
      <c r="AC33" s="144" t="str">
        <f>IFERROR(INDEX(Расходка[Наименование расходного материала],MATCH(Расходка[№],Поиск_расходки[Индекс12],0)),"")</f>
        <v>Launcher 6F AL 2</v>
      </c>
      <c r="AD33" s="144" t="str">
        <f>IFERROR(INDEX(Расходка[Наименование расходного материала],MATCH(Расходка[№],Поиск_расходки[Индекс13],0)),"")</f>
        <v>Launcher 6F AL 2</v>
      </c>
      <c r="AF33" s="4" t="s">
        <v>6</v>
      </c>
      <c r="AG33" s="4" t="s">
        <v>164</v>
      </c>
    </row>
    <row r="34" spans="1:33">
      <c r="A34">
        <v>33</v>
      </c>
      <c r="B34" t="s">
        <v>4</v>
      </c>
      <c r="C34" t="s">
        <v>406</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33</v>
      </c>
      <c r="I34" s="142">
        <f>IF(ISNUMBER(SEARCH('Карта учёта'!$B$17,Расходка[Наименование расходного материала])),MAX($I$1:I33)+1,0)</f>
        <v>33</v>
      </c>
      <c r="J34" s="142">
        <f>IF(ISNUMBER(SEARCH('Карта учёта'!$B$18,Расходка[Наименование расходного материала])),MAX($J$1:J33)+1,0)</f>
        <v>33</v>
      </c>
      <c r="K34" s="142">
        <f>IF(ISNUMBER(SEARCH('Карта учёта'!$B$19,Расходка[Наименование расходного материала])),MAX($K$1:K33)+1,0)</f>
        <v>33</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Launcher 6F JR 3.5</v>
      </c>
      <c r="V34" s="144" t="str">
        <f>IFERROR(INDEX(Расходка[Наименование расходного материала],MATCH(Расходка[№],Поиск_расходки[Индекс5],0)),"")</f>
        <v>Launcher 6F JR 3.5</v>
      </c>
      <c r="W34" s="144" t="str">
        <f>IFERROR(INDEX(Расходка[Наименование расходного материала],MATCH(Расходка[№],Поиск_расходки[Индекс6],0)),"")</f>
        <v>Launcher 6F JR 3.5</v>
      </c>
      <c r="X34" s="144" t="str">
        <f>IFERROR(INDEX(Расходка[Наименование расходного материала],MATCH(Расходка[№],Поиск_расходки[Индекс7],0)),"")</f>
        <v>Launcher 6F JR 3.5</v>
      </c>
      <c r="Y34" s="144" t="str">
        <f>IFERROR(INDEX(Расходка[Наименование расходного материала],MATCH(Расходка[№],Поиск_расходки[Индекс8],0)),"")</f>
        <v>Launcher 6F JR 3.5</v>
      </c>
      <c r="Z34" s="144" t="str">
        <f>IFERROR(INDEX(Расходка[Наименование расходного материала],MATCH(Расходка[№],Поиск_расходки[Индекс9],0)),"")</f>
        <v>Launcher 6F JR 3.5</v>
      </c>
      <c r="AA34" s="144" t="str">
        <f>IFERROR(INDEX(Расходка[Наименование расходного материала],MATCH(Расходка[№],Поиск_расходки[Индекс10],0)),"")</f>
        <v>Launcher 6F JR 3.5</v>
      </c>
      <c r="AB34" s="144" t="str">
        <f>IFERROR(INDEX(Расходка[Наименование расходного материала],MATCH(Расходка[№],Поиск_расходки[Индекс11],0)),"")</f>
        <v>Launcher 6F JR 3.5</v>
      </c>
      <c r="AC34" s="144" t="str">
        <f>IFERROR(INDEX(Расходка[Наименование расходного материала],MATCH(Расходка[№],Поиск_расходки[Индекс12],0)),"")</f>
        <v>Launcher 6F JR 3.5</v>
      </c>
      <c r="AD34" s="144" t="str">
        <f>IFERROR(INDEX(Расходка[Наименование расходного материала],MATCH(Расходка[№],Поиск_расходки[Индекс13],0)),"")</f>
        <v>Launcher 6F JR 3.5</v>
      </c>
      <c r="AF34" s="4" t="s">
        <v>6</v>
      </c>
      <c r="AG34" s="4" t="s">
        <v>166</v>
      </c>
    </row>
    <row r="35" spans="1:33">
      <c r="A35">
        <v>34</v>
      </c>
      <c r="B35" t="s">
        <v>4</v>
      </c>
      <c r="C35" t="s">
        <v>407</v>
      </c>
      <c r="E35" s="142">
        <f>IF(ISNUMBER(SEARCH('Карта учёта'!$B$13,Расходка[[#This Row],[Наименование расходного материала]])),MAX($E$1:E34)+1,0)</f>
        <v>1</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34</v>
      </c>
      <c r="I35" s="142">
        <f>IF(ISNUMBER(SEARCH('Карта учёта'!$B$17,Расходка[Наименование расходного материала])),MAX($I$1:I34)+1,0)</f>
        <v>34</v>
      </c>
      <c r="J35" s="142">
        <f>IF(ISNUMBER(SEARCH('Карта учёта'!$B$18,Расходка[Наименование расходного материала])),MAX($J$1:J34)+1,0)</f>
        <v>34</v>
      </c>
      <c r="K35" s="142">
        <f>IF(ISNUMBER(SEARCH('Карта учёта'!$B$19,Расходка[Наименование расходного материала])),MAX($K$1:K34)+1,0)</f>
        <v>34</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Launcher 6F JR 4.0</v>
      </c>
      <c r="V35" s="144" t="str">
        <f>IFERROR(INDEX(Расходка[Наименование расходного материала],MATCH(Расходка[№],Поиск_расходки[Индекс5],0)),"")</f>
        <v>Launcher 6F JR 4.0</v>
      </c>
      <c r="W35" s="144" t="str">
        <f>IFERROR(INDEX(Расходка[Наименование расходного материала],MATCH(Расходка[№],Поиск_расходки[Индекс6],0)),"")</f>
        <v>Launcher 6F JR 4.0</v>
      </c>
      <c r="X35" s="144" t="str">
        <f>IFERROR(INDEX(Расходка[Наименование расходного материала],MATCH(Расходка[№],Поиск_расходки[Индекс7],0)),"")</f>
        <v>Launcher 6F JR 4.0</v>
      </c>
      <c r="Y35" s="144" t="str">
        <f>IFERROR(INDEX(Расходка[Наименование расходного материала],MATCH(Расходка[№],Поиск_расходки[Индекс8],0)),"")</f>
        <v>Launcher 6F JR 4.0</v>
      </c>
      <c r="Z35" s="144" t="str">
        <f>IFERROR(INDEX(Расходка[Наименование расходного материала],MATCH(Расходка[№],Поиск_расходки[Индекс9],0)),"")</f>
        <v>Launcher 6F JR 4.0</v>
      </c>
      <c r="AA35" s="144" t="str">
        <f>IFERROR(INDEX(Расходка[Наименование расходного материала],MATCH(Расходка[№],Поиск_расходки[Индекс10],0)),"")</f>
        <v>Launcher 6F JR 4.0</v>
      </c>
      <c r="AB35" s="144" t="str">
        <f>IFERROR(INDEX(Расходка[Наименование расходного материала],MATCH(Расходка[№],Поиск_расходки[Индекс11],0)),"")</f>
        <v>Launcher 6F JR 4.0</v>
      </c>
      <c r="AC35" s="144" t="str">
        <f>IFERROR(INDEX(Расходка[Наименование расходного материала],MATCH(Расходка[№],Поиск_расходки[Индекс12],0)),"")</f>
        <v>Launcher 6F JR 4.0</v>
      </c>
      <c r="AD35" s="144" t="str">
        <f>IFERROR(INDEX(Расходка[Наименование расходного материала],MATCH(Расходка[№],Поиск_расходки[Индекс13],0)),"")</f>
        <v>Launcher 6F JR 4.0</v>
      </c>
      <c r="AF35" s="4" t="s">
        <v>6</v>
      </c>
      <c r="AG35" s="4" t="s">
        <v>434</v>
      </c>
    </row>
    <row r="36" spans="1:33">
      <c r="A36">
        <v>35</v>
      </c>
      <c r="B36" t="s">
        <v>4</v>
      </c>
      <c r="C36" t="s">
        <v>418</v>
      </c>
      <c r="E36" s="142">
        <f>IF(ISNUMBER(SEARCH('Карта учёта'!$B$13,Расходка[[#This Row],[Наименование расходного материала]])),MAX($E$1:E35)+1,0)</f>
        <v>0</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35</v>
      </c>
      <c r="I36" s="142">
        <f>IF(ISNUMBER(SEARCH('Карта учёта'!$B$17,Расходка[Наименование расходного материала])),MAX($I$1:I35)+1,0)</f>
        <v>35</v>
      </c>
      <c r="J36" s="142">
        <f>IF(ISNUMBER(SEARCH('Карта учёта'!$B$18,Расходка[Наименование расходного материала])),MAX($J$1:J35)+1,0)</f>
        <v>35</v>
      </c>
      <c r="K36" s="142">
        <f>IF(ISNUMBER(SEARCH('Карта учёта'!$B$19,Расходка[Наименование расходного материала])),MAX($K$1:K35)+1,0)</f>
        <v>35</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Launcher 7F JL 3.5</v>
      </c>
      <c r="V36" s="144" t="str">
        <f>IFERROR(INDEX(Расходка[Наименование расходного материала],MATCH(Расходка[№],Поиск_расходки[Индекс5],0)),"")</f>
        <v>Launcher 7F JL 3.5</v>
      </c>
      <c r="W36" s="144" t="str">
        <f>IFERROR(INDEX(Расходка[Наименование расходного материала],MATCH(Расходка[№],Поиск_расходки[Индекс6],0)),"")</f>
        <v>Launcher 7F JL 3.5</v>
      </c>
      <c r="X36" s="144" t="str">
        <f>IFERROR(INDEX(Расходка[Наименование расходного материала],MATCH(Расходка[№],Поиск_расходки[Индекс7],0)),"")</f>
        <v>Launcher 7F JL 3.5</v>
      </c>
      <c r="Y36" s="144" t="str">
        <f>IFERROR(INDEX(Расходка[Наименование расходного материала],MATCH(Расходка[№],Поиск_расходки[Индекс8],0)),"")</f>
        <v>Launcher 7F JL 3.5</v>
      </c>
      <c r="Z36" s="144" t="str">
        <f>IFERROR(INDEX(Расходка[Наименование расходного материала],MATCH(Расходка[№],Поиск_расходки[Индекс9],0)),"")</f>
        <v>Launcher 7F JL 3.5</v>
      </c>
      <c r="AA36" s="144" t="str">
        <f>IFERROR(INDEX(Расходка[Наименование расходного материала],MATCH(Расходка[№],Поиск_расходки[Индекс10],0)),"")</f>
        <v>Launcher 7F JL 3.5</v>
      </c>
      <c r="AB36" s="144" t="str">
        <f>IFERROR(INDEX(Расходка[Наименование расходного материала],MATCH(Расходка[№],Поиск_расходки[Индекс11],0)),"")</f>
        <v>Launcher 7F JL 3.5</v>
      </c>
      <c r="AC36" s="144" t="str">
        <f>IFERROR(INDEX(Расходка[Наименование расходного материала],MATCH(Расходка[№],Поиск_расходки[Индекс12],0)),"")</f>
        <v>Launcher 7F JL 3.5</v>
      </c>
      <c r="AD36" s="144" t="str">
        <f>IFERROR(INDEX(Расходка[Наименование расходного материала],MATCH(Расходка[№],Поиск_расходки[Индекс13],0)),"")</f>
        <v>Launcher 7F JL 3.5</v>
      </c>
      <c r="AF36" s="4" t="s">
        <v>6</v>
      </c>
      <c r="AG36" s="4" t="s">
        <v>165</v>
      </c>
    </row>
    <row r="37" spans="1:33">
      <c r="A37">
        <v>36</v>
      </c>
      <c r="B37" t="s">
        <v>4</v>
      </c>
      <c r="C37" t="s">
        <v>417</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36</v>
      </c>
      <c r="I37" s="142">
        <f>IF(ISNUMBER(SEARCH('Карта учёта'!$B$17,Расходка[Наименование расходного материала])),MAX($I$1:I36)+1,0)</f>
        <v>36</v>
      </c>
      <c r="J37" s="142">
        <f>IF(ISNUMBER(SEARCH('Карта учёта'!$B$18,Расходка[Наименование расходного материала])),MAX($J$1:J36)+1,0)</f>
        <v>36</v>
      </c>
      <c r="K37" s="142">
        <f>IF(ISNUMBER(SEARCH('Карта учёта'!$B$19,Расходка[Наименование расходного материала])),MAX($K$1:K36)+1,0)</f>
        <v>36</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Launcher 7F JL 4.0</v>
      </c>
      <c r="V37" s="144" t="str">
        <f>IFERROR(INDEX(Расходка[Наименование расходного материала],MATCH(Расходка[№],Поиск_расходки[Индекс5],0)),"")</f>
        <v>Launcher 7F JL 4.0</v>
      </c>
      <c r="W37" s="144" t="str">
        <f>IFERROR(INDEX(Расходка[Наименование расходного материала],MATCH(Расходка[№],Поиск_расходки[Индекс6],0)),"")</f>
        <v>Launcher 7F JL 4.0</v>
      </c>
      <c r="X37" s="144" t="str">
        <f>IFERROR(INDEX(Расходка[Наименование расходного материала],MATCH(Расходка[№],Поиск_расходки[Индекс7],0)),"")</f>
        <v>Launcher 7F JL 4.0</v>
      </c>
      <c r="Y37" s="144" t="str">
        <f>IFERROR(INDEX(Расходка[Наименование расходного материала],MATCH(Расходка[№],Поиск_расходки[Индекс8],0)),"")</f>
        <v>Launcher 7F JL 4.0</v>
      </c>
      <c r="Z37" s="144" t="str">
        <f>IFERROR(INDEX(Расходка[Наименование расходного материала],MATCH(Расходка[№],Поиск_расходки[Индекс9],0)),"")</f>
        <v>Launcher 7F JL 4.0</v>
      </c>
      <c r="AA37" s="144" t="str">
        <f>IFERROR(INDEX(Расходка[Наименование расходного материала],MATCH(Расходка[№],Поиск_расходки[Индекс10],0)),"")</f>
        <v>Launcher 7F JL 4.0</v>
      </c>
      <c r="AB37" s="144" t="str">
        <f>IFERROR(INDEX(Расходка[Наименование расходного материала],MATCH(Расходка[№],Поиск_расходки[Индекс11],0)),"")</f>
        <v>Launcher 7F JL 4.0</v>
      </c>
      <c r="AC37" s="144" t="str">
        <f>IFERROR(INDEX(Расходка[Наименование расходного материала],MATCH(Расходка[№],Поиск_расходки[Индекс12],0)),"")</f>
        <v>Launcher 7F JL 4.0</v>
      </c>
      <c r="AD37" s="144" t="str">
        <f>IFERROR(INDEX(Расходка[Наименование расходного материала],MATCH(Расходка[№],Поиск_расходки[Индекс13],0)),"")</f>
        <v>Launcher 7F JL 4.0</v>
      </c>
      <c r="AF37" s="4" t="s">
        <v>6</v>
      </c>
      <c r="AG37" s="4" t="s">
        <v>435</v>
      </c>
    </row>
    <row r="38" spans="1:33">
      <c r="A38">
        <v>37</v>
      </c>
      <c r="B38" t="s">
        <v>369</v>
      </c>
      <c r="C38" s="1" t="s">
        <v>408</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37</v>
      </c>
      <c r="I38" s="142">
        <f>IF(ISNUMBER(SEARCH('Карта учёта'!$B$17,Расходка[Наименование расходного материала])),MAX($I$1:I37)+1,0)</f>
        <v>37</v>
      </c>
      <c r="J38" s="142">
        <f>IF(ISNUMBER(SEARCH('Карта учёта'!$B$18,Расходка[Наименование расходного материала])),MAX($J$1:J37)+1,0)</f>
        <v>37</v>
      </c>
      <c r="K38" s="142">
        <f>IF(ISNUMBER(SEARCH('Карта учёта'!$B$19,Расходка[Наименование расходного материала])),MAX($K$1:K37)+1,0)</f>
        <v>37</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Angio-Seal™ VIP</v>
      </c>
      <c r="V38" s="144" t="str">
        <f>IFERROR(INDEX(Расходка[Наименование расходного материала],MATCH(Расходка[№],Поиск_расходки[Индекс5],0)),"")</f>
        <v>Angio-Seal™ VIP</v>
      </c>
      <c r="W38" s="144" t="str">
        <f>IFERROR(INDEX(Расходка[Наименование расходного материала],MATCH(Расходка[№],Поиск_расходки[Индекс6],0)),"")</f>
        <v>Angio-Seal™ VIP</v>
      </c>
      <c r="X38" s="144" t="str">
        <f>IFERROR(INDEX(Расходка[Наименование расходного материала],MATCH(Расходка[№],Поиск_расходки[Индекс7],0)),"")</f>
        <v>Angio-Seal™ VIP</v>
      </c>
      <c r="Y38" s="144" t="str">
        <f>IFERROR(INDEX(Расходка[Наименование расходного материала],MATCH(Расходка[№],Поиск_расходки[Индекс8],0)),"")</f>
        <v>Angio-Seal™ VIP</v>
      </c>
      <c r="Z38" s="144" t="str">
        <f>IFERROR(INDEX(Расходка[Наименование расходного материала],MATCH(Расходка[№],Поиск_расходки[Индекс9],0)),"")</f>
        <v>Angio-Seal™ VIP</v>
      </c>
      <c r="AA38" s="144" t="str">
        <f>IFERROR(INDEX(Расходка[Наименование расходного материала],MATCH(Расходка[№],Поиск_расходки[Индекс10],0)),"")</f>
        <v>Angio-Seal™ VIP</v>
      </c>
      <c r="AB38" s="144" t="str">
        <f>IFERROR(INDEX(Расходка[Наименование расходного материала],MATCH(Расходка[№],Поиск_расходки[Индекс11],0)),"")</f>
        <v>Angio-Seal™ VIP</v>
      </c>
      <c r="AC38" s="144" t="str">
        <f>IFERROR(INDEX(Расходка[Наименование расходного материала],MATCH(Расходка[№],Поиск_расходки[Индекс12],0)),"")</f>
        <v>Angio-Seal™ VIP</v>
      </c>
      <c r="AD38" s="144" t="str">
        <f>IFERROR(INDEX(Расходка[Наименование расходного материала],MATCH(Расходка[№],Поиск_расходки[Индекс13],0)),"")</f>
        <v>Angio-Seal™ VIP</v>
      </c>
      <c r="AF38" s="4" t="s">
        <v>6</v>
      </c>
      <c r="AG38" s="4" t="s">
        <v>168</v>
      </c>
    </row>
    <row r="39" spans="1:33">
      <c r="A39">
        <v>38</v>
      </c>
      <c r="B39" t="s">
        <v>378</v>
      </c>
      <c r="C39" t="s">
        <v>409</v>
      </c>
      <c r="E39" s="142">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38</v>
      </c>
      <c r="I39" s="142">
        <f>IF(ISNUMBER(SEARCH('Карта учёта'!$B$17,Расходка[Наименование расходного материала])),MAX($I$1:I38)+1,0)</f>
        <v>38</v>
      </c>
      <c r="J39" s="142">
        <f>IF(ISNUMBER(SEARCH('Карта учёта'!$B$18,Расходка[Наименование расходного материала])),MAX($J$1:J38)+1,0)</f>
        <v>38</v>
      </c>
      <c r="K39" s="142">
        <f>IF(ISNUMBER(SEARCH('Карта учёта'!$B$19,Расходка[Наименование расходного материала])),MAX($K$1:K38)+1,0)</f>
        <v>38</v>
      </c>
      <c r="L39" s="142">
        <f>IF(ISNUMBER(SEARCH('Карта учёта'!$B$20,Расходка[Наименование расходного материала])),MAX($L$1:L38)+1,0)</f>
        <v>38</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BasixCOMPAK</v>
      </c>
      <c r="V39" s="144" t="str">
        <f>IFERROR(INDEX(Расходка[Наименование расходного материала],MATCH(Расходка[№],Поиск_расходки[Индекс5],0)),"")</f>
        <v>BasixCOMPAK</v>
      </c>
      <c r="W39" s="144" t="str">
        <f>IFERROR(INDEX(Расходка[Наименование расходного материала],MATCH(Расходка[№],Поиск_расходки[Индекс6],0)),"")</f>
        <v>BasixCOMPAK</v>
      </c>
      <c r="X39" s="144" t="str">
        <f>IFERROR(INDEX(Расходка[Наименование расходного материала],MATCH(Расходка[№],Поиск_расходки[Индекс7],0)),"")</f>
        <v>BasixCOMPAK</v>
      </c>
      <c r="Y39" s="144" t="str">
        <f>IFERROR(INDEX(Расходка[Наименование расходного материала],MATCH(Расходка[№],Поиск_расходки[Индекс8],0)),"")</f>
        <v>BasixCOMPAK</v>
      </c>
      <c r="Z39" s="144" t="str">
        <f>IFERROR(INDEX(Расходка[Наименование расходного материала],MATCH(Расходка[№],Поиск_расходки[Индекс9],0)),"")</f>
        <v>BasixCOMPAK</v>
      </c>
      <c r="AA39" s="144" t="str">
        <f>IFERROR(INDEX(Расходка[Наименование расходного материала],MATCH(Расходка[№],Поиск_расходки[Индекс10],0)),"")</f>
        <v>BasixCOMPAK</v>
      </c>
      <c r="AB39" s="144" t="str">
        <f>IFERROR(INDEX(Расходка[Наименование расходного материала],MATCH(Расходка[№],Поиск_расходки[Индекс11],0)),"")</f>
        <v>BasixCOMPAK</v>
      </c>
      <c r="AC39" s="144" t="str">
        <f>IFERROR(INDEX(Расходка[Наименование расходного материала],MATCH(Расходка[№],Поиск_расходки[Индекс12],0)),"")</f>
        <v>BasixCOMPAK</v>
      </c>
      <c r="AD39" s="144" t="str">
        <f>IFERROR(INDEX(Расходка[Наименование расходного материала],MATCH(Расходка[№],Поиск_расходки[Индекс13],0)),"")</f>
        <v>BasixCOMPAK</v>
      </c>
      <c r="AF39" s="4" t="s">
        <v>6</v>
      </c>
      <c r="AG39" s="4" t="s">
        <v>169</v>
      </c>
    </row>
    <row r="40" spans="1:33">
      <c r="A40">
        <v>39</v>
      </c>
      <c r="B40" t="s">
        <v>380</v>
      </c>
      <c r="C40" s="1" t="s">
        <v>410</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39</v>
      </c>
      <c r="I40" s="142">
        <f>IF(ISNUMBER(SEARCH('Карта учёта'!$B$17,Расходка[Наименование расходного материала])),MAX($I$1:I39)+1,0)</f>
        <v>39</v>
      </c>
      <c r="J40" s="142">
        <f>IF(ISNUMBER(SEARCH('Карта учёта'!$B$18,Расходка[Наименование расходного материала])),MAX($J$1:J39)+1,0)</f>
        <v>39</v>
      </c>
      <c r="K40" s="142">
        <f>IF(ISNUMBER(SEARCH('Карта учёта'!$B$19,Расходка[Наименование расходного материала])),MAX($K$1:K39)+1,0)</f>
        <v>39</v>
      </c>
      <c r="L40" s="142">
        <f>IF(ISNUMBER(SEARCH('Карта учёта'!$B$20,Расходка[Наименование расходного материала])),MAX($L$1:L39)+1,0)</f>
        <v>39</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Nitrex 260</v>
      </c>
      <c r="V40" s="144" t="str">
        <f>IFERROR(INDEX(Расходка[Наименование расходного материала],MATCH(Расходка[№],Поиск_расходки[Индекс5],0)),"")</f>
        <v>Nitrex 260</v>
      </c>
      <c r="W40" s="144" t="str">
        <f>IFERROR(INDEX(Расходка[Наименование расходного материала],MATCH(Расходка[№],Поиск_расходки[Индекс6],0)),"")</f>
        <v>Nitrex 260</v>
      </c>
      <c r="X40" s="144" t="str">
        <f>IFERROR(INDEX(Расходка[Наименование расходного материала],MATCH(Расходка[№],Поиск_расходки[Индекс7],0)),"")</f>
        <v>Nitrex 260</v>
      </c>
      <c r="Y40" s="144" t="str">
        <f>IFERROR(INDEX(Расходка[Наименование расходного материала],MATCH(Расходка[№],Поиск_расходки[Индекс8],0)),"")</f>
        <v>Nitrex 260</v>
      </c>
      <c r="Z40" s="144" t="str">
        <f>IFERROR(INDEX(Расходка[Наименование расходного материала],MATCH(Расходка[№],Поиск_расходки[Индекс9],0)),"")</f>
        <v>Nitrex 260</v>
      </c>
      <c r="AA40" s="144" t="str">
        <f>IFERROR(INDEX(Расходка[Наименование расходного материала],MATCH(Расходка[№],Поиск_расходки[Индекс10],0)),"")</f>
        <v>Nitrex 260</v>
      </c>
      <c r="AB40" s="144" t="str">
        <f>IFERROR(INDEX(Расходка[Наименование расходного материала],MATCH(Расходка[№],Поиск_расходки[Индекс11],0)),"")</f>
        <v>Nitrex 260</v>
      </c>
      <c r="AC40" s="144" t="str">
        <f>IFERROR(INDEX(Расходка[Наименование расходного материала],MATCH(Расходка[№],Поиск_расходки[Индекс12],0)),"")</f>
        <v>Nitrex 260</v>
      </c>
      <c r="AD40" s="144" t="str">
        <f>IFERROR(INDEX(Расходка[Наименование расходного материала],MATCH(Расходка[№],Поиск_расходки[Индекс13],0)),"")</f>
        <v>Nitrex 260</v>
      </c>
      <c r="AF40" s="4" t="s">
        <v>6</v>
      </c>
      <c r="AG40" s="4" t="s">
        <v>421</v>
      </c>
    </row>
    <row r="41" spans="1:33">
      <c r="A41">
        <v>40</v>
      </c>
      <c r="B41" t="s">
        <v>270</v>
      </c>
      <c r="C41" s="1" t="s">
        <v>415</v>
      </c>
      <c r="E41" s="142">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40</v>
      </c>
      <c r="I41" s="142">
        <f>IF(ISNUMBER(SEARCH('Карта учёта'!$B$17,Расходка[Наименование расходного материала])),MAX($I$1:I40)+1,0)</f>
        <v>40</v>
      </c>
      <c r="J41" s="142">
        <f>IF(ISNUMBER(SEARCH('Карта учёта'!$B$18,Расходка[Наименование расходного материала])),MAX($J$1:J40)+1,0)</f>
        <v>40</v>
      </c>
      <c r="K41" s="142">
        <f>IF(ISNUMBER(SEARCH('Карта учёта'!$B$19,Расходка[Наименование расходного материала])),MAX($K$1:K40)+1,0)</f>
        <v>40</v>
      </c>
      <c r="L41" s="142">
        <f>IF(ISNUMBER(SEARCH('Карта учёта'!$B$20,Расходка[Наименование расходного материала])),MAX($L$1:L40)+1,0)</f>
        <v>40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Oscor 7F</v>
      </c>
      <c r="V41" s="144" t="str">
        <f>IFERROR(INDEX(Расходка[Наименование расходного материала],MATCH(Расходка[№],Поиск_расходки[Индекс5],0)),"")</f>
        <v>Oscor 7F</v>
      </c>
      <c r="W41" s="144" t="str">
        <f>IFERROR(INDEX(Расходка[Наименование расходного материала],MATCH(Расходка[№],Поиск_расходки[Индекс6],0)),"")</f>
        <v>Oscor 7F</v>
      </c>
      <c r="X41" s="144" t="str">
        <f>IFERROR(INDEX(Расходка[Наименование расходного материала],MATCH(Расходка[№],Поиск_расходки[Индекс7],0)),"")</f>
        <v>Oscor 7F</v>
      </c>
      <c r="Y41" s="144" t="str">
        <f>IFERROR(INDEX(Расходка[Наименование расходного материала],MATCH(Расходка[№],Поиск_расходки[Индекс8],0)),"")</f>
        <v>Oscor 7F</v>
      </c>
      <c r="Z41" s="144" t="str">
        <f>IFERROR(INDEX(Расходка[Наименование расходного материала],MATCH(Расходка[№],Поиск_расходки[Индекс9],0)),"")</f>
        <v>Oscor 7F</v>
      </c>
      <c r="AA41" s="144" t="str">
        <f>IFERROR(INDEX(Расходка[Наименование расходного материала],MATCH(Расходка[№],Поиск_расходки[Индекс10],0)),"")</f>
        <v>Oscor 7F</v>
      </c>
      <c r="AB41" s="144" t="str">
        <f>IFERROR(INDEX(Расходка[Наименование расходного материала],MATCH(Расходка[№],Поиск_расходки[Индекс11],0)),"")</f>
        <v>Oscor 7F</v>
      </c>
      <c r="AC41" s="144" t="str">
        <f>IFERROR(INDEX(Расходка[Наименование расходного материала],MATCH(Расходка[№],Поиск_расходки[Индекс12],0)),"")</f>
        <v>Oscor 7F</v>
      </c>
      <c r="AD41" s="144" t="str">
        <f>IFERROR(INDEX(Расходка[Наименование расходного материала],MATCH(Расходка[№],Поиск_расходки[Индекс13],0)),"")</f>
        <v>Oscor 7F</v>
      </c>
      <c r="AF41" s="4" t="s">
        <v>6</v>
      </c>
      <c r="AG41" s="4" t="s">
        <v>422</v>
      </c>
    </row>
    <row r="42" spans="1:33">
      <c r="A42">
        <v>41</v>
      </c>
      <c r="B42" t="s">
        <v>3</v>
      </c>
      <c r="C42" s="1" t="s">
        <v>450</v>
      </c>
      <c r="E42" s="142">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1</v>
      </c>
      <c r="H42" s="142">
        <f>IF(ISNUMBER(SEARCH('Карта учёта'!$B$16,Расходка[Наименование расходного материала])),MAX($H$1:H41)+1,0)</f>
        <v>41</v>
      </c>
      <c r="I42" s="142">
        <f>IF(ISNUMBER(SEARCH('Карта учёта'!$B$17,Расходка[Наименование расходного материала])),MAX($I$1:I41)+1,0)</f>
        <v>41</v>
      </c>
      <c r="J42" s="142">
        <f>IF(ISNUMBER(SEARCH('Карта учёта'!$B$18,Расходка[Наименование расходного материала])),MAX($J$1:J41)+1,0)</f>
        <v>41</v>
      </c>
      <c r="K42" s="142">
        <f>IF(ISNUMBER(SEARCH('Карта учёта'!$B$19,Расходка[Наименование расходного материала])),MAX($K$1:K41)+1,0)</f>
        <v>41</v>
      </c>
      <c r="L42" s="142">
        <f>IF(ISNUMBER(SEARCH('Карта учёта'!$B$20,Расходка[Наименование расходного материала])),MAX($L$1:L41)+1,0)</f>
        <v>41</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2">
        <f>IF(ISNUMBER(SEARCH('Карта учёта'!$B$23,Расходка[Наименование расходного материала])),MAX($O$1:O41)+1,0)</f>
        <v>41</v>
      </c>
      <c r="P42" s="142">
        <f>IF(ISNUMBER(SEARCH('Карта учёта'!$B$24,Расходка[Наименование расходного материала])),MAX($P$1:P41)+1,0)</f>
        <v>41</v>
      </c>
      <c r="Q42" s="142">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Runthrough NS (Floppy)</v>
      </c>
      <c r="V42" s="144" t="str">
        <f>IFERROR(INDEX(Расходка[Наименование расходного материала],MATCH(Расходка[№],Поиск_расходки[Индекс5],0)),"")</f>
        <v>Runthrough NS (Floppy)</v>
      </c>
      <c r="W42" s="144" t="str">
        <f>IFERROR(INDEX(Расходка[Наименование расходного материала],MATCH(Расходка[№],Поиск_расходки[Индекс6],0)),"")</f>
        <v>Runthrough NS (Floppy)</v>
      </c>
      <c r="X42" s="144" t="str">
        <f>IFERROR(INDEX(Расходка[Наименование расходного материала],MATCH(Расходка[№],Поиск_расходки[Индекс7],0)),"")</f>
        <v>Runthrough NS (Floppy)</v>
      </c>
      <c r="Y42" s="144" t="str">
        <f>IFERROR(INDEX(Расходка[Наименование расходного материала],MATCH(Расходка[№],Поиск_расходки[Индекс8],0)),"")</f>
        <v>Runthrough NS (Floppy)</v>
      </c>
      <c r="Z42" s="144" t="str">
        <f>IFERROR(INDEX(Расходка[Наименование расходного материала],MATCH(Расходка[№],Поиск_расходки[Индекс9],0)),"")</f>
        <v>Runthrough NS (Floppy)</v>
      </c>
      <c r="AA42" s="144" t="str">
        <f>IFERROR(INDEX(Расходка[Наименование расходного материала],MATCH(Расходка[№],Поиск_расходки[Индекс10],0)),"")</f>
        <v>Runthrough NS (Floppy)</v>
      </c>
      <c r="AB42" s="144" t="str">
        <f>IFERROR(INDEX(Расходка[Наименование расходного материала],MATCH(Расходка[№],Поиск_расходки[Индекс11],0)),"")</f>
        <v>Runthrough NS (Floppy)</v>
      </c>
      <c r="AC42" s="144" t="str">
        <f>IFERROR(INDEX(Расходка[Наименование расходного материала],MATCH(Расходка[№],Поиск_расходки[Индекс12],0)),"")</f>
        <v>Runthrough NS (Floppy)</v>
      </c>
      <c r="AD42" s="144" t="str">
        <f>IFERROR(INDEX(Расходка[Наименование расходного материала],MATCH(Расходка[№],Поиск_расходки[Индекс13],0)),"")</f>
        <v>Runthrough NS (Floppy)</v>
      </c>
      <c r="AF42" s="4" t="s">
        <v>6</v>
      </c>
      <c r="AG42" s="4" t="s">
        <v>423</v>
      </c>
    </row>
    <row r="43" spans="1:33">
      <c r="A43">
        <v>42</v>
      </c>
      <c r="B43" t="s">
        <v>378</v>
      </c>
      <c r="C43" t="s">
        <v>451</v>
      </c>
      <c r="E43" s="142">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42</v>
      </c>
      <c r="I43" s="142">
        <f>IF(ISNUMBER(SEARCH('Карта учёта'!$B$17,Расходка[Наименование расходного материала])),MAX($I$1:I42)+1,0)</f>
        <v>42</v>
      </c>
      <c r="J43" s="142">
        <f>IF(ISNUMBER(SEARCH('Карта учёта'!$B$18,Расходка[Наименование расходного материала])),MAX($J$1:J42)+1,0)</f>
        <v>42</v>
      </c>
      <c r="K43" s="142">
        <f>IF(ISNUMBER(SEARCH('Карта учёта'!$B$19,Расходка[Наименование расходного материала])),MAX($K$1:K42)+1,0)</f>
        <v>42</v>
      </c>
      <c r="L43" s="142">
        <f>IF(ISNUMBER(SEARCH('Карта учёта'!$B$20,Расходка[Наименование расходного материала])),MAX($L$1:L42)+1,0)</f>
        <v>42</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2">
        <f>IF(ISNUMBER(SEARCH('Карта учёта'!$B$23,Расходка[Наименование расходного материала])),MAX($O$1:O42)+1,0)</f>
        <v>42</v>
      </c>
      <c r="P43" s="142">
        <f>IF(ISNUMBER(SEARCH('Карта учёта'!$B$24,Расходка[Наименование расходного материала])),MAX($P$1:P42)+1,0)</f>
        <v>42</v>
      </c>
      <c r="Q43" s="142">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Dolphin</v>
      </c>
      <c r="V43" s="144" t="str">
        <f>IFERROR(INDEX(Расходка[Наименование расходного материала],MATCH(Расходка[№],Поиск_расходки[Индекс5],0)),"")</f>
        <v>Dolphin</v>
      </c>
      <c r="W43" s="144" t="str">
        <f>IFERROR(INDEX(Расходка[Наименование расходного материала],MATCH(Расходка[№],Поиск_расходки[Индекс6],0)),"")</f>
        <v>Dolphin</v>
      </c>
      <c r="X43" s="144" t="str">
        <f>IFERROR(INDEX(Расходка[Наименование расходного материала],MATCH(Расходка[№],Поиск_расходки[Индекс7],0)),"")</f>
        <v>Dolphin</v>
      </c>
      <c r="Y43" s="144" t="str">
        <f>IFERROR(INDEX(Расходка[Наименование расходного материала],MATCH(Расходка[№],Поиск_расходки[Индекс8],0)),"")</f>
        <v>Dolphin</v>
      </c>
      <c r="Z43" s="144" t="str">
        <f>IFERROR(INDEX(Расходка[Наименование расходного материала],MATCH(Расходка[№],Поиск_расходки[Индекс9],0)),"")</f>
        <v>Dolphin</v>
      </c>
      <c r="AA43" s="144" t="str">
        <f>IFERROR(INDEX(Расходка[Наименование расходного материала],MATCH(Расходка[№],Поиск_расходки[Индекс10],0)),"")</f>
        <v>Dolphin</v>
      </c>
      <c r="AB43" s="144" t="str">
        <f>IFERROR(INDEX(Расходка[Наименование расходного материала],MATCH(Расходка[№],Поиск_расходки[Индекс11],0)),"")</f>
        <v>Dolphin</v>
      </c>
      <c r="AC43" s="144" t="str">
        <f>IFERROR(INDEX(Расходка[Наименование расходного материала],MATCH(Расходка[№],Поиск_расходки[Индекс12],0)),"")</f>
        <v>Dolphin</v>
      </c>
      <c r="AD43" s="144" t="str">
        <f>IFERROR(INDEX(Расходка[Наименование расходного материала],MATCH(Расходка[№],Поиск_расходки[Индекс13],0)),"")</f>
        <v>Dolphin</v>
      </c>
      <c r="AF43" s="4" t="s">
        <v>6</v>
      </c>
      <c r="AG43" s="4" t="s">
        <v>437</v>
      </c>
    </row>
    <row r="44" spans="1:33">
      <c r="AF44" s="4" t="s">
        <v>6</v>
      </c>
      <c r="AG44" s="4" t="s">
        <v>424</v>
      </c>
    </row>
    <row r="45" spans="1:33">
      <c r="AF45" s="4" t="s">
        <v>6</v>
      </c>
      <c r="AG45" s="4" t="s">
        <v>438</v>
      </c>
    </row>
    <row r="46" spans="1:33">
      <c r="AF46" s="4" t="s">
        <v>6</v>
      </c>
      <c r="AG46" s="4" t="s">
        <v>176</v>
      </c>
    </row>
    <row r="47" spans="1:33">
      <c r="AF47" s="4" t="s">
        <v>6</v>
      </c>
      <c r="AG47" s="4" t="s">
        <v>170</v>
      </c>
    </row>
    <row r="48" spans="1:33">
      <c r="AF48" s="4" t="s">
        <v>6</v>
      </c>
      <c r="AG48" s="4" t="s">
        <v>171</v>
      </c>
    </row>
    <row r="49" spans="3:33">
      <c r="AF49" s="4" t="s">
        <v>6</v>
      </c>
      <c r="AG49" s="4" t="s">
        <v>172</v>
      </c>
    </row>
    <row r="50" spans="3:33">
      <c r="AF50" s="4" t="s">
        <v>6</v>
      </c>
      <c r="AG50" s="4" t="s">
        <v>173</v>
      </c>
    </row>
    <row r="51" spans="3:33">
      <c r="C51" s="1"/>
      <c r="AF51" s="4" t="s">
        <v>6</v>
      </c>
      <c r="AG51" s="4" t="s">
        <v>432</v>
      </c>
    </row>
    <row r="52" spans="3:33">
      <c r="AF52" s="4" t="s">
        <v>6</v>
      </c>
      <c r="AG52" s="4" t="s">
        <v>174</v>
      </c>
    </row>
    <row r="53" spans="3:33">
      <c r="AF53" s="4" t="s">
        <v>6</v>
      </c>
      <c r="AG53" s="4" t="s">
        <v>175</v>
      </c>
    </row>
    <row r="54" spans="3:33">
      <c r="AF54" s="4" t="s">
        <v>6</v>
      </c>
      <c r="AG54" s="4" t="s">
        <v>188</v>
      </c>
    </row>
    <row r="55" spans="3:33">
      <c r="AF55" s="4" t="s">
        <v>6</v>
      </c>
      <c r="AG55" s="4" t="s">
        <v>111</v>
      </c>
    </row>
    <row r="56" spans="3:33">
      <c r="AF56" s="4" t="s">
        <v>6</v>
      </c>
      <c r="AG56" s="4" t="s">
        <v>112</v>
      </c>
    </row>
    <row r="57" spans="3:33">
      <c r="AF57" s="4" t="s">
        <v>6</v>
      </c>
      <c r="AG57" s="4" t="s">
        <v>162</v>
      </c>
    </row>
    <row r="58" spans="3:33">
      <c r="AF58" s="4" t="s">
        <v>6</v>
      </c>
      <c r="AG58" s="4" t="s">
        <v>177</v>
      </c>
    </row>
    <row r="59" spans="3:33">
      <c r="AF59" s="4" t="s">
        <v>6</v>
      </c>
      <c r="AG59" s="4" t="s">
        <v>167</v>
      </c>
    </row>
    <row r="60" spans="3:33">
      <c r="AF60" s="4" t="s">
        <v>6</v>
      </c>
      <c r="AG60" s="4" t="s">
        <v>428</v>
      </c>
    </row>
    <row r="61" spans="3:33">
      <c r="AF61" s="4" t="s">
        <v>6</v>
      </c>
      <c r="AG61" s="4" t="s">
        <v>178</v>
      </c>
    </row>
    <row r="62" spans="3:33">
      <c r="AF62" s="4" t="s">
        <v>6</v>
      </c>
      <c r="AG62" s="4" t="s">
        <v>433</v>
      </c>
    </row>
    <row r="63" spans="3:33">
      <c r="AF63" s="4" t="s">
        <v>6</v>
      </c>
      <c r="AG63" s="4" t="s">
        <v>179</v>
      </c>
    </row>
    <row r="64" spans="3:33">
      <c r="AF64" s="4" t="s">
        <v>6</v>
      </c>
      <c r="AG64" s="4" t="s">
        <v>180</v>
      </c>
    </row>
    <row r="65" spans="32:33">
      <c r="AF65" s="4" t="s">
        <v>6</v>
      </c>
      <c r="AG65" s="4" t="s">
        <v>187</v>
      </c>
    </row>
    <row r="66" spans="32:33">
      <c r="AF66" s="4" t="s">
        <v>6</v>
      </c>
      <c r="AG66" s="4" t="s">
        <v>116</v>
      </c>
    </row>
    <row r="67" spans="32:33">
      <c r="AF67" s="4" t="s">
        <v>6</v>
      </c>
      <c r="AG67" s="4" t="s">
        <v>117</v>
      </c>
    </row>
    <row r="68" spans="32:33">
      <c r="AF68" s="4" t="s">
        <v>6</v>
      </c>
      <c r="AG68" s="4" t="s">
        <v>181</v>
      </c>
    </row>
    <row r="69" spans="32:33">
      <c r="AF69" s="4" t="s">
        <v>6</v>
      </c>
      <c r="AG69" s="4" t="s">
        <v>182</v>
      </c>
    </row>
    <row r="70" spans="32:33">
      <c r="AF70" s="4" t="s">
        <v>6</v>
      </c>
      <c r="AG70" s="4" t="s">
        <v>183</v>
      </c>
    </row>
    <row r="71" spans="32:33">
      <c r="AF71" s="4" t="s">
        <v>6</v>
      </c>
      <c r="AG71" s="4" t="s">
        <v>184</v>
      </c>
    </row>
    <row r="72" spans="32:33">
      <c r="AF72" s="4" t="s">
        <v>6</v>
      </c>
      <c r="AG72" s="4" t="s">
        <v>185</v>
      </c>
    </row>
    <row r="73" spans="32:33">
      <c r="AF73" s="4" t="s">
        <v>6</v>
      </c>
      <c r="AG73" s="4" t="s">
        <v>186</v>
      </c>
    </row>
    <row r="74" spans="32:33">
      <c r="AF74" s="4" t="s">
        <v>6</v>
      </c>
      <c r="AG74" s="4" t="s">
        <v>373</v>
      </c>
    </row>
    <row r="75" spans="32:33">
      <c r="AF75" s="4" t="s">
        <v>6</v>
      </c>
      <c r="AG75" s="4" t="s">
        <v>120</v>
      </c>
    </row>
    <row r="76" spans="32:33">
      <c r="AF76" s="4" t="s">
        <v>6</v>
      </c>
      <c r="AG76" s="4" t="s">
        <v>121</v>
      </c>
    </row>
    <row r="77" spans="32:33">
      <c r="AF77" s="4" t="s">
        <v>6</v>
      </c>
      <c r="AG77" s="4" t="s">
        <v>163</v>
      </c>
    </row>
    <row r="78" spans="32:33">
      <c r="AF78" s="4" t="s">
        <v>6</v>
      </c>
      <c r="AG78" s="4" t="s">
        <v>439</v>
      </c>
    </row>
  </sheetData>
  <sheetProtection sheet="1" objects="1" scenarios="1" formatCells="0" formatColumns="0"/>
  <phoneticPr fontId="14" type="noConversion"/>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zoomScale="90" zoomScaleNormal="90" workbookViewId="0">
      <selection activeCell="D32" sqref="D32"/>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238</v>
      </c>
    </row>
    <row r="2" spans="1:5">
      <c r="A2" t="s">
        <v>197</v>
      </c>
      <c r="B2" t="s">
        <v>135</v>
      </c>
      <c r="C2" t="str">
        <f t="shared" ref="C2:C15" si="0">CONCATENATE(A2,B2)</f>
        <v xml:space="preserve">Заведующий отделения: Д.В. Карчевский </v>
      </c>
      <c r="E2" t="s">
        <v>235</v>
      </c>
    </row>
    <row r="3" spans="1:5">
      <c r="A3" t="s">
        <v>152</v>
      </c>
      <c r="B3" t="s">
        <v>137</v>
      </c>
      <c r="C3" t="str">
        <f t="shared" si="0"/>
        <v xml:space="preserve">И/О заведующего отделения: В.Л. Мартынко </v>
      </c>
      <c r="E3" t="s">
        <v>242</v>
      </c>
    </row>
    <row r="4" spans="1:5">
      <c r="A4" t="s">
        <v>136</v>
      </c>
      <c r="B4" t="s">
        <v>146</v>
      </c>
      <c r="C4" t="str">
        <f t="shared" si="0"/>
        <v>Оператор: В.В. Анохин</v>
      </c>
      <c r="E4" t="s">
        <v>236</v>
      </c>
    </row>
    <row r="5" spans="1:5">
      <c r="A5" t="s">
        <v>136</v>
      </c>
      <c r="B5" t="s">
        <v>144</v>
      </c>
      <c r="C5" t="str">
        <f t="shared" si="0"/>
        <v xml:space="preserve">Оператор: А.В. Воронков </v>
      </c>
      <c r="E5" t="s">
        <v>233</v>
      </c>
    </row>
    <row r="6" spans="1:5">
      <c r="A6" t="s">
        <v>136</v>
      </c>
      <c r="B6" t="s">
        <v>147</v>
      </c>
      <c r="C6" t="str">
        <f t="shared" si="0"/>
        <v>Оператор: И.Н. Зимин</v>
      </c>
      <c r="E6" t="s">
        <v>371</v>
      </c>
    </row>
    <row r="7" spans="1:5">
      <c r="A7" t="s">
        <v>136</v>
      </c>
      <c r="B7" t="s">
        <v>135</v>
      </c>
      <c r="C7" t="str">
        <f t="shared" si="0"/>
        <v xml:space="preserve">Оператор: Д.В. Карчевский </v>
      </c>
      <c r="E7" t="s">
        <v>243</v>
      </c>
    </row>
    <row r="8" spans="1:5">
      <c r="A8" t="s">
        <v>136</v>
      </c>
      <c r="B8" t="s">
        <v>137</v>
      </c>
      <c r="C8" t="str">
        <f t="shared" si="0"/>
        <v xml:space="preserve">Оператор: В.Л. Мартынко </v>
      </c>
      <c r="E8" t="s">
        <v>244</v>
      </c>
    </row>
    <row r="9" spans="1:5">
      <c r="A9" t="s">
        <v>136</v>
      </c>
      <c r="B9" t="s">
        <v>142</v>
      </c>
      <c r="C9" t="str">
        <f t="shared" si="0"/>
        <v xml:space="preserve">Оператор: А.С. Меренков </v>
      </c>
      <c r="E9" t="s">
        <v>245</v>
      </c>
    </row>
    <row r="10" spans="1:5">
      <c r="A10" t="s">
        <v>136</v>
      </c>
      <c r="B10" t="s">
        <v>145</v>
      </c>
      <c r="C10" t="str">
        <f t="shared" si="0"/>
        <v xml:space="preserve">Оператор: О.В. Мещеряков </v>
      </c>
      <c r="E10" t="s">
        <v>246</v>
      </c>
    </row>
    <row r="11" spans="1:5">
      <c r="A11" t="s">
        <v>136</v>
      </c>
      <c r="B11" t="s">
        <v>143</v>
      </c>
      <c r="C11" t="str">
        <f t="shared" si="0"/>
        <v xml:space="preserve">Оператор: И.А. Московский </v>
      </c>
      <c r="E11" t="s">
        <v>247</v>
      </c>
    </row>
    <row r="12" spans="1:5">
      <c r="A12" t="s">
        <v>136</v>
      </c>
      <c r="B12" t="s">
        <v>149</v>
      </c>
      <c r="C12" s="14" t="str">
        <f>CONCATENATE(A12,B12)</f>
        <v>Оператор: А.Ф. Паращенко</v>
      </c>
    </row>
    <row r="13" spans="1:5">
      <c r="A13" t="s">
        <v>136</v>
      </c>
      <c r="B13" t="s">
        <v>138</v>
      </c>
      <c r="C13" t="str">
        <f t="shared" si="0"/>
        <v xml:space="preserve">Оператор: А.С. Щербаков </v>
      </c>
    </row>
    <row r="14" spans="1:5">
      <c r="A14" t="s">
        <v>148</v>
      </c>
      <c r="B14" t="s">
        <v>150</v>
      </c>
      <c r="C14" t="str">
        <f t="shared" si="0"/>
        <v>Старшая мед.сетра: О.Н. Черткова</v>
      </c>
    </row>
    <row r="15" spans="1:5">
      <c r="A15" t="s">
        <v>151</v>
      </c>
      <c r="B15" t="s">
        <v>444</v>
      </c>
      <c r="C15" t="str">
        <f t="shared" si="0"/>
        <v xml:space="preserve">И/О старшей мед.сетры: А.А. Нефёдова </v>
      </c>
    </row>
    <row r="16" spans="1:5">
      <c r="A16" t="s">
        <v>151</v>
      </c>
      <c r="B16" t="s">
        <v>443</v>
      </c>
      <c r="C16" s="14" t="str">
        <f>CONCATENATE(A16,B16)</f>
        <v>И/О старшей мед.сетры: А.М. Казанцева</v>
      </c>
    </row>
    <row r="19" spans="1:2">
      <c r="A19" t="s">
        <v>238</v>
      </c>
      <c r="B19" t="s">
        <v>237</v>
      </c>
    </row>
    <row r="20" spans="1:2">
      <c r="A20" t="s">
        <v>233</v>
      </c>
      <c r="B20" t="s">
        <v>331</v>
      </c>
    </row>
    <row r="21" spans="1:2">
      <c r="A21" t="s">
        <v>233</v>
      </c>
      <c r="B21" t="s">
        <v>239</v>
      </c>
    </row>
    <row r="22" spans="1:2">
      <c r="A22" t="s">
        <v>233</v>
      </c>
      <c r="B22" t="s">
        <v>372</v>
      </c>
    </row>
    <row r="23" spans="1:2">
      <c r="A23" t="s">
        <v>233</v>
      </c>
      <c r="B23" t="s">
        <v>314</v>
      </c>
    </row>
    <row r="24" spans="1:2">
      <c r="A24" t="s">
        <v>233</v>
      </c>
      <c r="B24" t="s">
        <v>328</v>
      </c>
    </row>
    <row r="25" spans="1:2">
      <c r="A25" t="s">
        <v>233</v>
      </c>
      <c r="B25" t="s">
        <v>332</v>
      </c>
    </row>
    <row r="26" spans="1:2">
      <c r="A26" t="s">
        <v>233</v>
      </c>
      <c r="B26" t="s">
        <v>320</v>
      </c>
    </row>
    <row r="27" spans="1:2">
      <c r="A27" t="s">
        <v>233</v>
      </c>
      <c r="B27" t="s">
        <v>319</v>
      </c>
    </row>
    <row r="28" spans="1:2">
      <c r="A28" t="s">
        <v>233</v>
      </c>
      <c r="B28" t="s">
        <v>370</v>
      </c>
    </row>
    <row r="29" spans="1:2">
      <c r="A29" t="s">
        <v>233</v>
      </c>
      <c r="B29" t="s">
        <v>318</v>
      </c>
    </row>
    <row r="30" spans="1:2">
      <c r="A30" t="s">
        <v>233</v>
      </c>
      <c r="B30" t="s">
        <v>334</v>
      </c>
    </row>
    <row r="31" spans="1:2">
      <c r="A31" t="s">
        <v>233</v>
      </c>
      <c r="B31" t="s">
        <v>448</v>
      </c>
    </row>
    <row r="32" spans="1:2">
      <c r="A32" t="s">
        <v>233</v>
      </c>
      <c r="B32" t="s">
        <v>327</v>
      </c>
    </row>
    <row r="33" spans="1:2">
      <c r="A33" t="s">
        <v>233</v>
      </c>
      <c r="B33" t="s">
        <v>313</v>
      </c>
    </row>
    <row r="34" spans="1:2">
      <c r="A34" t="s">
        <v>233</v>
      </c>
      <c r="B34" t="s">
        <v>317</v>
      </c>
    </row>
    <row r="35" spans="1:2">
      <c r="A35" t="s">
        <v>233</v>
      </c>
      <c r="B35" t="s">
        <v>312</v>
      </c>
    </row>
    <row r="36" spans="1:2">
      <c r="A36" t="s">
        <v>233</v>
      </c>
      <c r="B36" t="s">
        <v>330</v>
      </c>
    </row>
    <row r="37" spans="1:2">
      <c r="A37" t="s">
        <v>233</v>
      </c>
      <c r="B37" t="s">
        <v>329</v>
      </c>
    </row>
    <row r="38" spans="1:2">
      <c r="A38" t="s">
        <v>233</v>
      </c>
      <c r="B38" t="s">
        <v>321</v>
      </c>
    </row>
    <row r="39" spans="1:2">
      <c r="A39" t="s">
        <v>233</v>
      </c>
      <c r="B39" t="s">
        <v>315</v>
      </c>
    </row>
    <row r="40" spans="1:2">
      <c r="A40" t="s">
        <v>233</v>
      </c>
      <c r="B40" t="s">
        <v>316</v>
      </c>
    </row>
    <row r="41" spans="1:2">
      <c r="A41" t="s">
        <v>371</v>
      </c>
      <c r="B41" t="s">
        <v>324</v>
      </c>
    </row>
    <row r="42" spans="1:2">
      <c r="A42" t="s">
        <v>371</v>
      </c>
      <c r="B42" t="s">
        <v>325</v>
      </c>
    </row>
    <row r="43" spans="1:2">
      <c r="A43" t="s">
        <v>371</v>
      </c>
      <c r="B43" t="s">
        <v>326</v>
      </c>
    </row>
    <row r="44" spans="1:2">
      <c r="A44" t="s">
        <v>371</v>
      </c>
      <c r="B44" t="s">
        <v>241</v>
      </c>
    </row>
    <row r="45" spans="1:2">
      <c r="A45" t="s">
        <v>371</v>
      </c>
      <c r="B45" t="s">
        <v>322</v>
      </c>
    </row>
    <row r="46" spans="1:2">
      <c r="A46" t="s">
        <v>371</v>
      </c>
      <c r="B46" t="s">
        <v>333</v>
      </c>
    </row>
    <row r="47" spans="1:2">
      <c r="A47" t="s">
        <v>371</v>
      </c>
      <c r="B47" t="s">
        <v>240</v>
      </c>
    </row>
    <row r="48" spans="1:2">
      <c r="A48" t="s">
        <v>371</v>
      </c>
      <c r="B48" t="s">
        <v>323</v>
      </c>
    </row>
    <row r="49" spans="1:2">
      <c r="A49" t="s">
        <v>234</v>
      </c>
      <c r="B49" t="s">
        <v>207</v>
      </c>
    </row>
    <row r="50" spans="1:2">
      <c r="A50" t="s">
        <v>234</v>
      </c>
      <c r="B50" t="s">
        <v>210</v>
      </c>
    </row>
    <row r="51" spans="1:2">
      <c r="A51" t="s">
        <v>234</v>
      </c>
      <c r="B51" t="s">
        <v>213</v>
      </c>
    </row>
    <row r="52" spans="1:2">
      <c r="A52" t="s">
        <v>234</v>
      </c>
      <c r="B52" t="s">
        <v>216</v>
      </c>
    </row>
    <row r="53" spans="1:2">
      <c r="A53" t="s">
        <v>234</v>
      </c>
      <c r="B53" t="s">
        <v>219</v>
      </c>
    </row>
    <row r="54" spans="1:2">
      <c r="A54" t="s">
        <v>234</v>
      </c>
      <c r="B54" t="s">
        <v>222</v>
      </c>
    </row>
    <row r="55" spans="1:2">
      <c r="A55" t="s">
        <v>234</v>
      </c>
      <c r="B55" t="s">
        <v>227</v>
      </c>
    </row>
    <row r="56" spans="1:2">
      <c r="A56" t="s">
        <v>234</v>
      </c>
      <c r="B56" t="s">
        <v>341</v>
      </c>
    </row>
    <row r="57" spans="1:2">
      <c r="A57" t="s">
        <v>234</v>
      </c>
      <c r="B57" t="s">
        <v>229</v>
      </c>
    </row>
    <row r="58" spans="1:2">
      <c r="A58" t="s">
        <v>234</v>
      </c>
      <c r="B58" t="s">
        <v>230</v>
      </c>
    </row>
    <row r="59" spans="1:2">
      <c r="A59" t="s">
        <v>234</v>
      </c>
      <c r="B59" t="s">
        <v>231</v>
      </c>
    </row>
    <row r="60" spans="1:2">
      <c r="A60" t="s">
        <v>234</v>
      </c>
      <c r="B60" t="s">
        <v>232</v>
      </c>
    </row>
    <row r="61" spans="1:2">
      <c r="A61" t="s">
        <v>234</v>
      </c>
      <c r="B61" t="s">
        <v>204</v>
      </c>
    </row>
    <row r="62" spans="1:2">
      <c r="A62" t="s">
        <v>234</v>
      </c>
      <c r="B62" t="s">
        <v>248</v>
      </c>
    </row>
    <row r="63" spans="1:2">
      <c r="A63" t="s">
        <v>235</v>
      </c>
      <c r="B63" t="s">
        <v>425</v>
      </c>
    </row>
    <row r="64" spans="1:2">
      <c r="A64" t="s">
        <v>235</v>
      </c>
      <c r="B64" t="s">
        <v>206</v>
      </c>
    </row>
    <row r="65" spans="1:2">
      <c r="A65" t="s">
        <v>235</v>
      </c>
      <c r="B65" t="s">
        <v>209</v>
      </c>
    </row>
    <row r="66" spans="1:2">
      <c r="A66" t="s">
        <v>235</v>
      </c>
      <c r="B66" t="s">
        <v>203</v>
      </c>
    </row>
    <row r="67" spans="1:2">
      <c r="A67" t="s">
        <v>235</v>
      </c>
      <c r="B67" t="s">
        <v>212</v>
      </c>
    </row>
    <row r="68" spans="1:2">
      <c r="A68" t="s">
        <v>235</v>
      </c>
      <c r="B68" t="s">
        <v>215</v>
      </c>
    </row>
    <row r="69" spans="1:2">
      <c r="A69" t="s">
        <v>235</v>
      </c>
      <c r="B69" t="s">
        <v>218</v>
      </c>
    </row>
    <row r="70" spans="1:2">
      <c r="A70" t="s">
        <v>235</v>
      </c>
      <c r="B70" t="s">
        <v>221</v>
      </c>
    </row>
    <row r="71" spans="1:2">
      <c r="A71" t="s">
        <v>235</v>
      </c>
      <c r="B71" t="s">
        <v>224</v>
      </c>
    </row>
    <row r="72" spans="1:2">
      <c r="A72" t="s">
        <v>235</v>
      </c>
      <c r="B72" t="s">
        <v>226</v>
      </c>
    </row>
    <row r="73" spans="1:2">
      <c r="A73" t="s">
        <v>247</v>
      </c>
      <c r="B73" t="s">
        <v>205</v>
      </c>
    </row>
    <row r="74" spans="1:2">
      <c r="A74" t="s">
        <v>247</v>
      </c>
      <c r="B74" t="s">
        <v>340</v>
      </c>
    </row>
    <row r="75" spans="1:2">
      <c r="A75" t="s">
        <v>247</v>
      </c>
      <c r="B75" t="s">
        <v>208</v>
      </c>
    </row>
    <row r="76" spans="1:2">
      <c r="A76" t="s">
        <v>247</v>
      </c>
      <c r="B76" t="s">
        <v>211</v>
      </c>
    </row>
    <row r="77" spans="1:2">
      <c r="A77" t="s">
        <v>247</v>
      </c>
      <c r="B77" t="s">
        <v>214</v>
      </c>
    </row>
    <row r="78" spans="1:2">
      <c r="A78" t="s">
        <v>247</v>
      </c>
      <c r="B78" t="s">
        <v>217</v>
      </c>
    </row>
    <row r="79" spans="1:2">
      <c r="A79" t="s">
        <v>247</v>
      </c>
      <c r="B79" t="s">
        <v>223</v>
      </c>
    </row>
    <row r="80" spans="1:2">
      <c r="A80" t="s">
        <v>247</v>
      </c>
      <c r="B80" t="s">
        <v>220</v>
      </c>
    </row>
    <row r="81" spans="1:2">
      <c r="A81" t="s">
        <v>247</v>
      </c>
      <c r="B81" t="s">
        <v>225</v>
      </c>
    </row>
    <row r="82" spans="1:2">
      <c r="A82" t="s">
        <v>247</v>
      </c>
      <c r="B82" t="s">
        <v>228</v>
      </c>
    </row>
  </sheetData>
  <sheetProtection sheet="1" objects="1" scenarios="1"/>
  <phoneticPr fontId="14"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3</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lpstr>ЧКВ!Область_печати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2022-07-29T12:21:25Z</cp:lastPrinted>
  <dcterms:created xsi:type="dcterms:W3CDTF">2015-06-05T18:19:34Z</dcterms:created>
  <dcterms:modified xsi:type="dcterms:W3CDTF">2022-07-29T12:36:57Z</dcterms:modified>
</cp:coreProperties>
</file>