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0\12\"/>
    </mc:Choice>
  </mc:AlternateContent>
  <bookViews>
    <workbookView xWindow="-105" yWindow="-105" windowWidth="23250" windowHeight="1257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5" i="1" l="1"/>
  <c r="E56" i="1"/>
  <c r="F55" i="1"/>
  <c r="F56" i="1"/>
  <c r="G55" i="1"/>
  <c r="G56" i="1"/>
  <c r="H55" i="1"/>
  <c r="H56" i="1"/>
  <c r="I55" i="1"/>
  <c r="I56" i="1"/>
  <c r="J55" i="1"/>
  <c r="J56" i="1"/>
  <c r="K55" i="1"/>
  <c r="K56" i="1"/>
  <c r="L55" i="1"/>
  <c r="L56" i="1"/>
  <c r="M55" i="1"/>
  <c r="M56" i="1"/>
  <c r="N55" i="1"/>
  <c r="N56" i="1"/>
  <c r="O55" i="1"/>
  <c r="O56" i="1"/>
  <c r="P55" i="1"/>
  <c r="P56" i="1"/>
  <c r="Q55" i="1"/>
  <c r="Q56" i="1"/>
  <c r="AA55" i="1"/>
  <c r="AA56" i="1"/>
  <c r="AB55" i="1"/>
  <c r="AB56" i="1"/>
  <c r="AC55" i="1"/>
  <c r="AC56" i="1"/>
  <c r="AD55" i="1"/>
  <c r="AD56" i="1"/>
  <c r="E54" i="1" l="1"/>
  <c r="F54" i="1"/>
  <c r="G54" i="1"/>
  <c r="H54" i="1"/>
  <c r="I54" i="1"/>
  <c r="J54" i="1"/>
  <c r="K54" i="1"/>
  <c r="L54" i="1"/>
  <c r="M54" i="1"/>
  <c r="N54" i="1"/>
  <c r="O54" i="1"/>
  <c r="P54" i="1"/>
  <c r="Q54" i="1"/>
  <c r="E49" i="1" l="1"/>
  <c r="E50" i="1"/>
  <c r="E51" i="1"/>
  <c r="E52" i="1"/>
  <c r="E53" i="1"/>
  <c r="F49" i="1"/>
  <c r="F50" i="1"/>
  <c r="F51" i="1"/>
  <c r="F52" i="1"/>
  <c r="F53" i="1"/>
  <c r="G49" i="1"/>
  <c r="G50" i="1"/>
  <c r="G51" i="1"/>
  <c r="G52" i="1"/>
  <c r="G53" i="1"/>
  <c r="H49" i="1"/>
  <c r="H50" i="1"/>
  <c r="H51" i="1"/>
  <c r="H52" i="1"/>
  <c r="H53" i="1"/>
  <c r="I49" i="1"/>
  <c r="I50" i="1"/>
  <c r="I51" i="1"/>
  <c r="I52" i="1"/>
  <c r="I53" i="1"/>
  <c r="J49" i="1"/>
  <c r="J50" i="1"/>
  <c r="J51" i="1"/>
  <c r="J52" i="1"/>
  <c r="J53" i="1"/>
  <c r="K49" i="1"/>
  <c r="K50" i="1"/>
  <c r="K51" i="1"/>
  <c r="K52" i="1"/>
  <c r="K53" i="1"/>
  <c r="L49" i="1"/>
  <c r="L50" i="1"/>
  <c r="L51" i="1"/>
  <c r="L52" i="1"/>
  <c r="L53" i="1"/>
  <c r="M49" i="1"/>
  <c r="M50" i="1"/>
  <c r="M51" i="1"/>
  <c r="M52" i="1"/>
  <c r="M53" i="1"/>
  <c r="N49" i="1"/>
  <c r="N50" i="1"/>
  <c r="N51" i="1"/>
  <c r="N52" i="1"/>
  <c r="N53" i="1"/>
  <c r="O49" i="1"/>
  <c r="O50" i="1"/>
  <c r="O51" i="1"/>
  <c r="O52" i="1"/>
  <c r="O53" i="1"/>
  <c r="P49" i="1"/>
  <c r="P50" i="1"/>
  <c r="P51" i="1"/>
  <c r="P52" i="1"/>
  <c r="P53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 s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K11" i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J47" i="1" l="1"/>
  <c r="J48" i="1" s="1"/>
  <c r="W54" i="1" s="1"/>
  <c r="W47" i="1"/>
  <c r="W43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W49" i="1" l="1"/>
  <c r="W39" i="1"/>
  <c r="W50" i="1"/>
  <c r="W48" i="1"/>
  <c r="W53" i="1"/>
  <c r="W40" i="1"/>
  <c r="W41" i="1"/>
  <c r="W42" i="1"/>
  <c r="W45" i="1"/>
  <c r="W51" i="1"/>
  <c r="W52" i="1"/>
  <c r="W46" i="1"/>
  <c r="W44" i="1"/>
  <c r="W56" i="1"/>
  <c r="W55" i="1"/>
  <c r="E21" i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H47" i="1" l="1"/>
  <c r="H48" i="1" s="1"/>
  <c r="U51" i="1" s="1"/>
  <c r="I47" i="1"/>
  <c r="I48" i="1" s="1"/>
  <c r="U53" i="1"/>
  <c r="U49" i="1"/>
  <c r="U45" i="1"/>
  <c r="V47" i="1"/>
  <c r="K43" i="1"/>
  <c r="U43" i="1"/>
  <c r="V39" i="1"/>
  <c r="U41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U39" i="1" l="1"/>
  <c r="U42" i="1"/>
  <c r="U52" i="1"/>
  <c r="U44" i="1"/>
  <c r="U50" i="1"/>
  <c r="U48" i="1"/>
  <c r="U47" i="1"/>
  <c r="V53" i="1"/>
  <c r="V41" i="1"/>
  <c r="V42" i="1"/>
  <c r="V49" i="1"/>
  <c r="V45" i="1"/>
  <c r="V48" i="1"/>
  <c r="V40" i="1"/>
  <c r="V43" i="1"/>
  <c r="V52" i="1"/>
  <c r="V50" i="1"/>
  <c r="V51" i="1"/>
  <c r="V44" i="1"/>
  <c r="V46" i="1"/>
  <c r="U46" i="1"/>
  <c r="V55" i="1"/>
  <c r="V56" i="1"/>
  <c r="U55" i="1"/>
  <c r="U56" i="1"/>
  <c r="V54" i="1"/>
  <c r="U54" i="1"/>
  <c r="K44" i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AC25" i="1"/>
  <c r="AB25" i="1"/>
  <c r="AA25" i="1"/>
  <c r="F46" i="1" l="1"/>
  <c r="F47" i="1" s="1"/>
  <c r="F48" i="1" s="1"/>
  <c r="G46" i="1"/>
  <c r="K46" i="1"/>
  <c r="S52" i="1"/>
  <c r="AD43" i="1"/>
  <c r="Q44" i="1"/>
  <c r="Q45" i="1" s="1"/>
  <c r="Q46" i="1" s="1"/>
  <c r="Q47" i="1" s="1"/>
  <c r="T2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S43" i="1" l="1"/>
  <c r="S45" i="1"/>
  <c r="S41" i="1"/>
  <c r="S53" i="1"/>
  <c r="S50" i="1"/>
  <c r="S46" i="1"/>
  <c r="S39" i="1"/>
  <c r="S40" i="1"/>
  <c r="S42" i="1"/>
  <c r="S49" i="1"/>
  <c r="S47" i="1"/>
  <c r="S48" i="1"/>
  <c r="S51" i="1"/>
  <c r="S44" i="1"/>
  <c r="G47" i="1"/>
  <c r="S56" i="1"/>
  <c r="S55" i="1"/>
  <c r="S54" i="1"/>
  <c r="AD54" i="1"/>
  <c r="Q48" i="1"/>
  <c r="K47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G48" i="1" l="1"/>
  <c r="T42" i="1" s="1"/>
  <c r="T50" i="1"/>
  <c r="K48" i="1"/>
  <c r="X42" i="1" s="1"/>
  <c r="E29" i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X45" i="1" l="1"/>
  <c r="X49" i="1"/>
  <c r="T51" i="1"/>
  <c r="T47" i="1"/>
  <c r="T46" i="1"/>
  <c r="T39" i="1"/>
  <c r="T53" i="1"/>
  <c r="T48" i="1"/>
  <c r="T49" i="1"/>
  <c r="T40" i="1"/>
  <c r="T52" i="1"/>
  <c r="T41" i="1"/>
  <c r="T43" i="1"/>
  <c r="T44" i="1"/>
  <c r="T45" i="1"/>
  <c r="X50" i="1"/>
  <c r="X56" i="1"/>
  <c r="X55" i="1"/>
  <c r="T55" i="1"/>
  <c r="T56" i="1"/>
  <c r="T54" i="1"/>
  <c r="X53" i="1"/>
  <c r="X48" i="1"/>
  <c r="X51" i="1"/>
  <c r="X40" i="1"/>
  <c r="X47" i="1"/>
  <c r="X39" i="1"/>
  <c r="X2" i="1"/>
  <c r="X41" i="1"/>
  <c r="X43" i="1"/>
  <c r="X46" i="1"/>
  <c r="X54" i="1"/>
  <c r="X52" i="1"/>
  <c r="X44" i="1"/>
  <c r="AB42" i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6" i="1" s="1"/>
  <c r="AB20" i="1"/>
  <c r="N45" i="1"/>
  <c r="N46" i="1" s="1"/>
  <c r="N47" i="1" s="1"/>
  <c r="AA20" i="1"/>
  <c r="P45" i="1"/>
  <c r="P46" i="1" s="1"/>
  <c r="P47" i="1" s="1"/>
  <c r="AC20" i="1"/>
  <c r="AA44" i="1"/>
  <c r="AA46" i="1"/>
  <c r="AA47" i="1"/>
  <c r="AC47" i="1"/>
  <c r="AC44" i="1"/>
  <c r="L40" i="1"/>
  <c r="E37" i="1"/>
  <c r="E38" i="1" s="1"/>
  <c r="E39" i="1" s="1"/>
  <c r="E40" i="1" s="1"/>
  <c r="E41" i="1" s="1"/>
  <c r="M38" i="1"/>
  <c r="M39" i="1" s="1"/>
  <c r="M40" i="1" s="1"/>
  <c r="E42" i="1" l="1"/>
  <c r="E43" i="1" s="1"/>
  <c r="E44" i="1" s="1"/>
  <c r="E45" i="1" s="1"/>
  <c r="E46" i="1" s="1"/>
  <c r="E47" i="1" s="1"/>
  <c r="E48" i="1" s="1"/>
  <c r="AC46" i="1"/>
  <c r="P48" i="1"/>
  <c r="AC45" i="1" s="1"/>
  <c r="N48" i="1"/>
  <c r="AA45" i="1" s="1"/>
  <c r="AA48" i="1"/>
  <c r="AB47" i="1"/>
  <c r="O47" i="1"/>
  <c r="M41" i="1"/>
  <c r="L41" i="1"/>
  <c r="R2" i="1"/>
  <c r="R31" i="1" l="1"/>
  <c r="R33" i="1"/>
  <c r="R20" i="1"/>
  <c r="R12" i="1"/>
  <c r="R6" i="1"/>
  <c r="R24" i="1"/>
  <c r="R29" i="1"/>
  <c r="R35" i="1"/>
  <c r="R30" i="1"/>
  <c r="R41" i="1"/>
  <c r="R51" i="1"/>
  <c r="R46" i="1"/>
  <c r="R14" i="1"/>
  <c r="R37" i="1"/>
  <c r="R9" i="1"/>
  <c r="R27" i="1"/>
  <c r="R10" i="1"/>
  <c r="R5" i="1"/>
  <c r="R3" i="1"/>
  <c r="R13" i="1"/>
  <c r="R4" i="1"/>
  <c r="R43" i="1"/>
  <c r="R49" i="1"/>
  <c r="R47" i="1"/>
  <c r="R11" i="1"/>
  <c r="R28" i="1"/>
  <c r="R36" i="1"/>
  <c r="R34" i="1"/>
  <c r="R8" i="1"/>
  <c r="R16" i="1"/>
  <c r="R15" i="1"/>
  <c r="R19" i="1"/>
  <c r="R22" i="1"/>
  <c r="R23" i="1"/>
  <c r="R26" i="1"/>
  <c r="R18" i="1"/>
  <c r="R17" i="1"/>
  <c r="R7" i="1"/>
  <c r="R21" i="1"/>
  <c r="R32" i="1"/>
  <c r="R38" i="1"/>
  <c r="R25" i="1"/>
  <c r="R39" i="1"/>
  <c r="R40" i="1"/>
  <c r="R42" i="1"/>
  <c r="R48" i="1"/>
  <c r="R44" i="1"/>
  <c r="R45" i="1"/>
  <c r="R52" i="1"/>
  <c r="R56" i="1"/>
  <c r="R55" i="1"/>
  <c r="R53" i="1"/>
  <c r="R50" i="1"/>
  <c r="R54" i="1"/>
  <c r="AA51" i="1"/>
  <c r="AA54" i="1"/>
  <c r="AC54" i="1"/>
  <c r="AB44" i="1"/>
  <c r="O48" i="1"/>
  <c r="AB45" i="1" s="1"/>
  <c r="AA50" i="1"/>
  <c r="AA53" i="1"/>
  <c r="AA52" i="1"/>
  <c r="AA49" i="1"/>
  <c r="AC53" i="1"/>
  <c r="AC52" i="1"/>
  <c r="AC51" i="1"/>
  <c r="AC48" i="1"/>
  <c r="AC50" i="1"/>
  <c r="AC49" i="1"/>
  <c r="AB54" i="1"/>
  <c r="AB53" i="1"/>
  <c r="AB52" i="1"/>
  <c r="AB49" i="1"/>
  <c r="AB48" i="1"/>
  <c r="AB50" i="1"/>
  <c r="AB51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M43" i="1" l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M48" i="1" l="1"/>
  <c r="Z17" i="1" s="1"/>
  <c r="L45" i="1"/>
  <c r="L46" i="1" s="1"/>
  <c r="L47" i="1" s="1"/>
  <c r="Z53" i="1"/>
  <c r="Z45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Z50" i="1" l="1"/>
  <c r="Z52" i="1"/>
  <c r="Z20" i="1"/>
  <c r="Z6" i="1"/>
  <c r="Z24" i="1"/>
  <c r="Z36" i="1"/>
  <c r="Z49" i="1"/>
  <c r="Z51" i="1"/>
  <c r="Z47" i="1"/>
  <c r="Z48" i="1"/>
  <c r="Z46" i="1"/>
  <c r="Z54" i="1"/>
  <c r="Z11" i="1"/>
  <c r="Z30" i="1"/>
  <c r="Z3" i="1"/>
  <c r="Z35" i="1"/>
  <c r="Z14" i="1"/>
  <c r="Z55" i="1"/>
  <c r="Z56" i="1"/>
  <c r="Z9" i="1"/>
  <c r="Z39" i="1"/>
  <c r="Z40" i="1"/>
  <c r="Z19" i="1"/>
  <c r="Z33" i="1"/>
  <c r="Z4" i="1"/>
  <c r="Z43" i="1"/>
  <c r="Z23" i="1"/>
  <c r="Z12" i="1"/>
  <c r="Z26" i="1"/>
  <c r="Z10" i="1"/>
  <c r="Z25" i="1"/>
  <c r="Z13" i="1"/>
  <c r="Z7" i="1"/>
  <c r="Z31" i="1"/>
  <c r="Z27" i="1"/>
  <c r="Z42" i="1"/>
  <c r="Z22" i="1"/>
  <c r="Z38" i="1"/>
  <c r="Z15" i="1"/>
  <c r="Z18" i="1"/>
  <c r="Z28" i="1"/>
  <c r="Z16" i="1"/>
  <c r="Z34" i="1"/>
  <c r="Z21" i="1"/>
  <c r="Z29" i="1"/>
  <c r="Z37" i="1"/>
  <c r="Z32" i="1"/>
  <c r="Z41" i="1"/>
  <c r="Z8" i="1"/>
  <c r="Z5" i="1"/>
  <c r="Y17" i="1"/>
  <c r="L48" i="1"/>
  <c r="Y52" i="1"/>
  <c r="Y47" i="1"/>
  <c r="Y51" i="1"/>
  <c r="Y44" i="1"/>
  <c r="Y53" i="1"/>
  <c r="Y36" i="1"/>
  <c r="Y2" i="1"/>
  <c r="Y54" i="1"/>
  <c r="Y56" i="1"/>
  <c r="Y55" i="1"/>
  <c r="Y39" i="1"/>
  <c r="Y41" i="1"/>
  <c r="Y14" i="1"/>
  <c r="Y12" i="1"/>
  <c r="Y35" i="1"/>
  <c r="Y4" i="1"/>
  <c r="Y9" i="1"/>
  <c r="Y42" i="1"/>
  <c r="Y49" i="1"/>
  <c r="Y46" i="1"/>
  <c r="Y45" i="1"/>
  <c r="Y50" i="1"/>
  <c r="Y48" i="1"/>
  <c r="Y20" i="1"/>
  <c r="Y11" i="1"/>
  <c r="Y8" i="1"/>
  <c r="Y37" i="1"/>
  <c r="Y21" i="1"/>
  <c r="Y30" i="1"/>
  <c r="Y28" i="1"/>
  <c r="Y16" i="1"/>
  <c r="Y26" i="1"/>
  <c r="Y7" i="1"/>
  <c r="Y6" i="1"/>
  <c r="Y19" i="1"/>
  <c r="Y3" i="1"/>
  <c r="Y10" i="1"/>
  <c r="Y29" i="1"/>
  <c r="Y22" i="1"/>
  <c r="Y34" i="1"/>
  <c r="Y24" i="1"/>
  <c r="Y31" i="1"/>
  <c r="Y25" i="1"/>
  <c r="Y43" i="1"/>
  <c r="Y33" i="1"/>
  <c r="Y5" i="1"/>
  <c r="Y15" i="1"/>
  <c r="Y18" i="1"/>
  <c r="Y23" i="1"/>
  <c r="Y40" i="1"/>
  <c r="Y27" i="1"/>
  <c r="Y32" i="1"/>
  <c r="Y13" i="1"/>
  <c r="Y3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W14" i="1" l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<sst xmlns="http://schemas.openxmlformats.org/spreadsheetml/2006/main" count="754" uniqueCount="475">
  <si>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</si>
  <si>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</si>
  <si>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</si>
  <si>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</si>
  <si>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</si>
  <si>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</si>
  <si>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</si>
  <si>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</si>
  <si>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</si>
  <si>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</si>
  <si>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</si>
  <si>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</si>
  <si>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</si>
  <si>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</si>
  <si>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</si>
  <si>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</si>
  <si>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</si>
  <si>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</si>
  <si>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</si>
  <si>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</si>
  <si>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</si>
  <si>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</si>
  <si>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</si>
  <si>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</si>
  <si>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</si>
  <si>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</si>
  <si>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</si>
  <si>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</si>
  <si>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</si>
  <si>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</si>
  <si>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</si>
  <si>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</si>
  <si>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</si>
  <si>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</si>
  <si>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</si>
  <si>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</si>
  <si>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</si>
  <si>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</si>
  <si>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</si>
  <si>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</si>
  <si>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</si>
  <si>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</si>
  <si>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</si>
  <si>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</si>
  <si>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</si>
  <si>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</si>
  <si>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</si>
  <si>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</si>
  <si>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</si>
  <si>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</si>
  <si>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</si>
  <si>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</si>
  <si>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</si>
  <si>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</si>
  <si>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</si>
  <si>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</si>
  <si>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</si>
  <si>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</si>
  <si>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</si>
  <si>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</si>
  <si>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</si>
  <si>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</si>
  <si>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</si>
  <si>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</si>
  <si>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</si>
  <si>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</si>
  <si>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</si>
  <si>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</si>
  <si>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</si>
  <si>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</si>
  <si>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</si>
  <si>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</si>
  <si>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</si>
  <si>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</si>
  <si>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</si>
  <si>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</si>
  <si>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</si>
  <si>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</si>
  <si>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</si>
  <si>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</si>
  <si>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</si>
  <si>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</si>
  <si>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</si>
  <si>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</si>
  <si>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</si>
  <si>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</si>
  <si>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</si>
  <si>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</si>
  <si>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</si>
  <si>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</si>
  <si>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</si>
  <si>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</si>
  <si>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</si>
  <si>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</si>
  <si>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</si>
  <si>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</si>
  <si>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</si>
  <si>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</si>
  <si>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</si>
  <si>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</si>
  <si>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</si>
  <si>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</si>
  <si>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</si>
  <si>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</si>
  <si>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</si>
  <si>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</si>
  <si>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</si>
  <si>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</si>
  <si>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</si>
  <si>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</si>
  <si>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</si>
  <si>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</si>
  <si>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</si>
  <si>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</si>
  <si>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</si>
  <si>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</si>
  <si>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</si>
  <si>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</si>
  <si>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</si>
  <si>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</si>
  <si>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</si>
  <si>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</si>
  <si>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</si>
  <si>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</si>
  <si>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</si>
  <si>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</si>
  <si>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</si>
  <si>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</si>
  <si>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</si>
  <si>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</si>
  <si>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</si>
  <si>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</si>
  <si>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</si>
  <si>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</si>
  <si>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</si>
  <si>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</si>
  <si>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</si>
  <si>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</si>
  <si>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</si>
  <si>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</si>
  <si>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</si>
  <si>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</si>
  <si>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</si>
  <si>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</si>
  <si>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</si>
  <si>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</si>
  <si>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</si>
  <si>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</si>
  <si>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</si>
  <si>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</si>
  <si>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</si>
  <si>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</si>
  <si>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</si>
  <si>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</si>
  <si>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</si>
  <si>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</si>
  <si>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</si>
  <si>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</si>
  <si>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</si>
  <si>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</si>
  <si>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</si>
  <si>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</si>
  <si>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</si>
  <si>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</si>
  <si>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</si>
  <si>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</si>
  <si>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</si>
  <si>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</si>
  <si>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</si>
  <si>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</si>
  <si>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</si>
  <si>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</si>
  <si>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</si>
  <si>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</si>
  <si>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</si>
  <si>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</si>
  <si>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</si>
  <si>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</si>
  <si>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</si>
  <si>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</si>
  <si>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</si>
  <si>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</si>
  <si>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</si>
  <si>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</si>
  <si>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</si>
  <si>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</si>
  <si>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</si>
  <si>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</si>
  <si>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</si>
  <si>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</si>
  <si>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</si>
  <si>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</si>
  <si>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</si>
  <si>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</si>
  <si>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</si>
  <si>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</si>
  <si>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</si>
  <si>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</si>
  <si>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</si>
  <si>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</si>
  <si>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</si>
  <si>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</si>
  <si>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</si>
  <si>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</si>
  <si>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</si>
  <si>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</si>
  <si>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</si>
  <si>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</si>
  <si>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</si>
  <si>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</si>
  <si>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</si>
  <si>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</si>
  <si>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</si>
  <si>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</si>
  <si>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</si>
  <si>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</si>
  <si>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</si>
  <si>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</si>
  <si>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</si>
  <si>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</si>
  <si>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</si>
  <si>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</si>
  <si>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</si>
  <si>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</si>
  <si>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</si>
  <si>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</si>
  <si>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</si>
  <si>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</si>
  <si>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</si>
  <si>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</si>
  <si>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</si>
  <si>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</si>
  <si>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</si>
  <si>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</si>
  <si>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</si>
  <si>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</si>
  <si>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</si>
  <si>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</si>
  <si>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</si>
  <si>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</si>
  <si>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</si>
  <si>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</si>
  <si>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</si>
  <si>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</si>
  <si>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</si>
  <si>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</si>
  <si>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</si>
  <si>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</si>
  <si>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</si>
  <si>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</si>
  <si>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</si>
  <si>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</si>
  <si>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</si>
  <si>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</si>
  <si>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</si>
  <si>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</si>
  <si>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</si>
  <si>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</si>
  <si>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</si>
  <si>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</si>
  <si>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</si>
  <si>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</si>
  <si>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</si>
  <si>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</si>
  <si>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</si>
  <si>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</si>
  <si>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</si>
  <si>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</si>
  <si>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</si>
  <si>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</si>
  <si>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</si>
  <si>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</si>
  <si>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</si>
  <si>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</si>
  <si>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</si>
  <si>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</si>
  <si>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</si>
  <si>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</si>
  <si>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</si>
  <si>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</si>
  <si>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</si>
  <si>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</si>
  <si>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</si>
  <si>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</si>
  <si>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</si>
  <si>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</si>
  <si>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</si>
  <si>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</si>
  <si>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</si>
  <si>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</si>
  <si>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</si>
  <si>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</si>
  <si>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</si>
  <si>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</si>
  <si>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</si>
  <si>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</si>
  <si>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</si>
  <si>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</si>
  <si>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</si>
  <si>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</si>
  <si>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</si>
  <si>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</si>
  <si>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</si>
  <si>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</si>
  <si>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</si>
  <si>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</si>
  <si>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</si>
  <si>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</si>
  <si>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</si>
  <si>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</si>
  <si>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</si>
  <si>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</si>
  <si>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</si>
  <si>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</si>
  <si>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</si>
  <si>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</si>
  <si>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</si>
  <si>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</si>
  <si>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</si>
  <si>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</si>
  <si>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</si>
  <si>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</si>
  <si>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</si>
  <si>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</si>
  <si>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</si>
  <si>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</si>
  <si>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</si>
  <si>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</si>
  <si>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</si>
  <si>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</si>
  <si>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</si>
  <si>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</si>
  <si>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</si>
  <si>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</si>
  <si>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</si>
  <si>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</si>
  <si>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</si>
  <si>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</si>
  <si>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</si>
  <si>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</si>
  <si>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</si>
  <si>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</si>
  <si>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</si>
  <si>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</si>
  <si>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</si>
  <si>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</si>
  <si>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</si>
  <si>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</si>
  <si>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</si>
  <si>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</si>
  <si>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</si>
  <si>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</si>
  <si>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</si>
  <si>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</si>
  <si>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</si>
  <si>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</si>
  <si>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</si>
  <si>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</si>
  <si>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</si>
  <si>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</si>
  <si>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</si>
  <si>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</si>
  <si>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</si>
  <si>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</si>
  <si>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</si>
  <si>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</si>
  <si>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</si>
  <si>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</si>
  <si>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</si>
  <si>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</si>
  <si>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</si>
  <si>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</si>
  <si>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</si>
  <si>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</si>
  <si>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</si>
  <si>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</si>
  <si>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</si>
  <si>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</si>
  <si>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</si>
  <si>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Hunter® 6F</t>
  </si>
  <si>
    <t>лучевой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</si>
  <si>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</si>
  <si>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</si>
  <si>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</si>
  <si>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</si>
  <si>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</si>
  <si>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</si>
  <si>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</si>
  <si>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</si>
  <si>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</si>
  <si>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</si>
  <si>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</si>
  <si>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</si>
  <si>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</si>
  <si>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</si>
  <si>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</si>
  <si>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</si>
  <si>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</si>
  <si>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</si>
  <si>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</si>
  <si>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</si>
  <si>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</si>
  <si>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</si>
  <si>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</si>
  <si>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</si>
  <si>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</si>
  <si>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</si>
  <si>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</si>
  <si>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</si>
  <si>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</si>
  <si>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</si>
  <si>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</si>
  <si>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</si>
  <si>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</si>
  <si>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</si>
  <si>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</si>
  <si>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</si>
  <si>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</si>
  <si>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</si>
  <si>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</si>
  <si>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</si>
  <si>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</si>
  <si>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</si>
  <si>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</si>
  <si>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</si>
  <si>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</si>
  <si>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</si>
  <si>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</si>
  <si>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</si>
  <si>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</si>
  <si>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</si>
  <si>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</si>
  <si>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</si>
  <si>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</si>
  <si>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</si>
  <si>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</si>
  <si>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</si>
  <si>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</si>
  <si>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</si>
  <si>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</si>
  <si>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</si>
  <si>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</si>
  <si>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</si>
  <si>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</si>
  <si>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</si>
  <si>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</si>
  <si>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</si>
  <si>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</si>
  <si>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</si>
  <si>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>50 ml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</si>
  <si>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</si>
  <si>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</si>
  <si>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</si>
  <si>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</si>
  <si>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</si>
  <si>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</si>
  <si>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</si>
  <si>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</si>
  <si>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</si>
  <si>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</si>
  <si>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</si>
  <si>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</si>
  <si>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Цыпленков В.И.</t>
  </si>
  <si>
    <t>06:48</t>
  </si>
  <si>
    <t>Правый</t>
  </si>
  <si>
    <t xml:space="preserve">выраженный кальциноз, стеноз тела ствола ЛКА 40%, эксцентричный стеноз дист/3 50%. </t>
  </si>
  <si>
    <t>предствален доминантной ВТК. Кальциноз пркосимального сегмента, стеноз проксимального сегмента 40%, стеноз средней трети 80%. Антеградный кровоток TIMI III.</t>
  </si>
  <si>
    <t>выраженный кальциноз проксимального и среднего сегмента. Тотальная окклюзия ПНА от устья, косвенные признаки хронической окклюзии. Крайне слабый внутрисистемный коллатеральный кровоток в ПНА; слабые межсистеминые коллатерали из ПКА в 1 СВ ПНА. Антеградный кровоток TIMI 0, Rentrop ближе к 1.</t>
  </si>
  <si>
    <t xml:space="preserve">диффузно изменена на протяжении всех сегментов: устьевой стеноз 60%, стеноз проксимального сегмента 50%, стеноз среднего сегмента 70%, стенозы дистального сегмента до 50%, стеноз в  зоне "креста" ПКА 50%, стеноз устья ЗМЖВ 70% . Антеградный кровоток  TIMI III. </t>
  </si>
  <si>
    <t>С учётом клинических данных совместно с деж.кардиологом Карян Б.Г. принято решение  в пользу  целесообразности реваскуляризации ПНА.</t>
  </si>
  <si>
    <t>150 ml</t>
  </si>
  <si>
    <t>М/О ушито Angio-Seal™</t>
  </si>
  <si>
    <t>Angio-Seal™ VIP</t>
  </si>
  <si>
    <t>И/О старшей мед.сетры: А.М. Казанцева</t>
  </si>
  <si>
    <t>Устье ствола ЛКА катетеризировано проводниковым катетером Launcher EBU 3.5 6Fr. Предприняты попытки заведения коронарного проводника Cougar LS  с БК SPrinter legend 2.0- 15 мм за зону окклюзи ПНА. Попытки реканализации безуспешны. При катетеризации гайд-катетера в ствол ЛКА отмечается дестабилизация состояния, АД до 52/30 мм.рт.ст. После извлечения катетера гемодинамика стабилизируется, АД до 100-110/65. Предпринято несколько попыток реканализации, при катетеризации гайда в ствол - дестабилизация состояния. Дальнейшие попытки реканализации ПНА прекращены. Ангиографический результат не достигнут,  Пациент в стабильном в тяжёлом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</si>
</sst>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Border="1" applyAlignment="1" applyProtection="1">
      <alignment horizontal="center" vertical="center"/>
      <protection locked="0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6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6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tabSelected="1" showWhiteSpace="0" view="pageBreakPreview" topLeftCell="A13" zoomScaleNormal="100" zoomScaleSheetLayoutView="100" zoomScalePageLayoutView="90" workbookViewId="0">
      <selection activeCell="I47" sqref="I4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6" t="s">
        <v>276</v>
      </c>
      <c r="B6" s="207"/>
      <c r="C6" s="207"/>
      <c r="D6" s="207"/>
      <c r="E6" s="207"/>
      <c r="F6" s="207"/>
      <c r="G6" s="207"/>
      <c r="H6" s="208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44847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0.22222222222222221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0.22916666666666666</v>
      </c>
      <c r="C10" s="61"/>
      <c r="D10" s="116" t="s">
        <v>235</v>
      </c>
      <c r="E10" s="112"/>
      <c r="F10" s="112"/>
      <c r="G10" s="29" t="s">
        <v>229</v>
      </c>
      <c r="H10" s="31"/>
    </row>
    <row r="11" spans="1:8" ht="18" thickTop="1" thickBot="1">
      <c r="A11" s="106" t="s">
        <v>255</v>
      </c>
      <c r="B11" s="107" t="s">
        <v>462</v>
      </c>
      <c r="C11" s="62"/>
      <c r="D11" s="116" t="s">
        <v>232</v>
      </c>
      <c r="E11" s="112"/>
      <c r="F11" s="112"/>
      <c r="G11" s="29" t="s">
        <v>317</v>
      </c>
      <c r="H11" s="31"/>
    </row>
    <row r="12" spans="1:8" ht="16.5" thickTop="1">
      <c r="A12" s="97" t="s">
        <v>8</v>
      </c>
      <c r="B12" s="98">
        <v>13663</v>
      </c>
      <c r="C12" s="63"/>
      <c r="D12" s="116" t="s">
        <v>369</v>
      </c>
      <c r="E12" s="112"/>
      <c r="F12" s="112"/>
      <c r="G12" s="29" t="s">
        <v>324</v>
      </c>
      <c r="H12" s="31"/>
    </row>
    <row r="13" spans="1:8" ht="15.75">
      <c r="A13" s="20" t="s">
        <v>10</v>
      </c>
      <c r="B13" s="35">
        <f>DATEDIF(B12,B8,"y")</f>
        <v>85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16146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382</v>
      </c>
      <c r="C16" s="18"/>
      <c r="D16" s="41"/>
      <c r="E16" s="41"/>
      <c r="F16" s="41"/>
      <c r="G16" s="159" t="s">
        <v>463</v>
      </c>
      <c r="H16" s="117">
        <v>511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464</v>
      </c>
      <c r="C18" s="18"/>
      <c r="D18" s="33" t="s">
        <v>273</v>
      </c>
      <c r="E18" s="33"/>
      <c r="F18" s="33"/>
      <c r="G18" s="101" t="s">
        <v>252</v>
      </c>
      <c r="H18" s="102" t="s">
        <v>380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0" t="s">
        <v>465</v>
      </c>
      <c r="C20" s="209"/>
      <c r="D20" s="209"/>
      <c r="E20" s="209"/>
      <c r="F20" s="209"/>
      <c r="G20" s="209"/>
      <c r="H20" s="210"/>
    </row>
    <row r="21" spans="1:8">
      <c r="A21" s="66"/>
      <c r="B21" s="211"/>
      <c r="C21" s="211"/>
      <c r="D21" s="211"/>
      <c r="E21" s="211"/>
      <c r="F21" s="211"/>
      <c r="G21" s="211"/>
      <c r="H21" s="212"/>
    </row>
    <row r="22" spans="1:8" ht="15.6" customHeight="1">
      <c r="A22" s="67" t="s">
        <v>334</v>
      </c>
      <c r="B22" s="213" t="s">
        <v>467</v>
      </c>
      <c r="C22" s="213"/>
      <c r="D22" s="213"/>
      <c r="E22" s="213"/>
      <c r="F22" s="213"/>
      <c r="G22" s="213"/>
      <c r="H22" s="214"/>
    </row>
    <row r="23" spans="1:8" ht="14.45" customHeight="1">
      <c r="A23" s="43"/>
      <c r="B23" s="215"/>
      <c r="C23" s="215"/>
      <c r="D23" s="215"/>
      <c r="E23" s="215"/>
      <c r="F23" s="215"/>
      <c r="G23" s="215"/>
      <c r="H23" s="216"/>
    </row>
    <row r="24" spans="1:8" ht="14.45" customHeight="1">
      <c r="A24" s="68"/>
      <c r="B24" s="215"/>
      <c r="C24" s="215"/>
      <c r="D24" s="215"/>
      <c r="E24" s="215"/>
      <c r="F24" s="215"/>
      <c r="G24" s="215"/>
      <c r="H24" s="216"/>
    </row>
    <row r="25" spans="1:8" ht="14.45" customHeight="1">
      <c r="A25" s="43"/>
      <c r="B25" s="215"/>
      <c r="C25" s="215"/>
      <c r="D25" s="215"/>
      <c r="E25" s="215"/>
      <c r="F25" s="215"/>
      <c r="G25" s="215"/>
      <c r="H25" s="216"/>
    </row>
    <row r="26" spans="1:8" ht="14.45" customHeight="1">
      <c r="A26" s="45"/>
      <c r="B26" s="217"/>
      <c r="C26" s="217"/>
      <c r="D26" s="217"/>
      <c r="E26" s="217"/>
      <c r="F26" s="217"/>
      <c r="G26" s="217"/>
      <c r="H26" s="218"/>
    </row>
    <row r="27" spans="1:8" ht="14.45" customHeight="1">
      <c r="A27" s="67" t="s">
        <v>335</v>
      </c>
      <c r="B27" s="213" t="s">
        <v>466</v>
      </c>
      <c r="C27" s="213"/>
      <c r="D27" s="213"/>
      <c r="E27" s="213"/>
      <c r="F27" s="213"/>
      <c r="G27" s="213"/>
      <c r="H27" s="214"/>
    </row>
    <row r="28" spans="1:8" ht="15.6" customHeight="1">
      <c r="A28" s="43"/>
      <c r="B28" s="215"/>
      <c r="C28" s="215"/>
      <c r="D28" s="215"/>
      <c r="E28" s="215"/>
      <c r="F28" s="215"/>
      <c r="G28" s="215"/>
      <c r="H28" s="216"/>
    </row>
    <row r="29" spans="1:8" ht="14.45" customHeight="1">
      <c r="A29" s="43"/>
      <c r="B29" s="215"/>
      <c r="C29" s="215"/>
      <c r="D29" s="215"/>
      <c r="E29" s="215"/>
      <c r="F29" s="215"/>
      <c r="G29" s="215"/>
      <c r="H29" s="216"/>
    </row>
    <row r="30" spans="1:8" ht="14.45" customHeight="1">
      <c r="A30" s="37"/>
      <c r="B30" s="215"/>
      <c r="C30" s="215"/>
      <c r="D30" s="215"/>
      <c r="E30" s="215"/>
      <c r="F30" s="215"/>
      <c r="G30" s="215"/>
      <c r="H30" s="216"/>
    </row>
    <row r="31" spans="1:8" ht="14.45" customHeight="1">
      <c r="A31" s="38"/>
      <c r="B31" s="217"/>
      <c r="C31" s="217"/>
      <c r="D31" s="217"/>
      <c r="E31" s="217"/>
      <c r="F31" s="217"/>
      <c r="G31" s="217"/>
      <c r="H31" s="218"/>
    </row>
    <row r="32" spans="1:8" ht="14.45" customHeight="1">
      <c r="A32" s="67" t="s">
        <v>336</v>
      </c>
      <c r="B32" s="213" t="s">
        <v>468</v>
      </c>
      <c r="C32" s="213"/>
      <c r="D32" s="213"/>
      <c r="E32" s="213"/>
      <c r="F32" s="213"/>
      <c r="G32" s="213"/>
      <c r="H32" s="214"/>
    </row>
    <row r="33" spans="1:8" ht="14.45" customHeight="1">
      <c r="A33" s="43"/>
      <c r="B33" s="215"/>
      <c r="C33" s="215"/>
      <c r="D33" s="215"/>
      <c r="E33" s="215"/>
      <c r="F33" s="215"/>
      <c r="G33" s="215"/>
      <c r="H33" s="216"/>
    </row>
    <row r="34" spans="1:8" ht="15.6" customHeight="1">
      <c r="A34" s="43"/>
      <c r="B34" s="215"/>
      <c r="C34" s="215"/>
      <c r="D34" s="215"/>
      <c r="E34" s="215"/>
      <c r="F34" s="215"/>
      <c r="G34" s="215"/>
      <c r="H34" s="216"/>
    </row>
    <row r="35" spans="1:8" ht="14.45" customHeight="1">
      <c r="A35" s="43"/>
      <c r="B35" s="215"/>
      <c r="C35" s="215"/>
      <c r="D35" s="215"/>
      <c r="E35" s="215"/>
      <c r="F35" s="215"/>
      <c r="G35" s="215"/>
      <c r="H35" s="216"/>
    </row>
    <row r="36" spans="1:8" ht="15.6" customHeight="1">
      <c r="A36" s="151"/>
      <c r="B36" s="215"/>
      <c r="C36" s="215"/>
      <c r="D36" s="215"/>
      <c r="E36" s="215"/>
      <c r="F36" s="215"/>
      <c r="G36" s="215"/>
      <c r="H36" s="216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4"/>
      <c r="F38" s="204"/>
      <c r="G38" s="204"/>
      <c r="H38" s="205"/>
    </row>
    <row r="39" spans="1:8" ht="14.45" customHeight="1">
      <c r="A39" s="40"/>
      <c r="B39" s="147"/>
      <c r="C39" s="153"/>
      <c r="D39" s="204"/>
      <c r="E39" s="204"/>
      <c r="F39" s="204"/>
      <c r="G39" s="204"/>
      <c r="H39" s="205"/>
    </row>
    <row r="40" spans="1:8" ht="14.45" customHeight="1">
      <c r="A40" s="40"/>
      <c r="B40" s="147"/>
      <c r="C40" s="153"/>
      <c r="D40" s="204"/>
      <c r="E40" s="204"/>
      <c r="F40" s="204"/>
      <c r="G40" s="204"/>
      <c r="H40" s="205"/>
    </row>
    <row r="41" spans="1:8" ht="14.45" customHeight="1">
      <c r="A41" s="40"/>
      <c r="B41" s="147"/>
      <c r="C41" s="153"/>
      <c r="D41" s="204"/>
      <c r="E41" s="204"/>
      <c r="F41" s="204"/>
      <c r="G41" s="204"/>
      <c r="H41" s="205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30" t="s">
        <v>469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262</v>
      </c>
      <c r="B51" s="71" t="s">
        <v>449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471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showWhiteSpace="0" view="pageBreakPreview" zoomScaleNormal="100" zoomScaleSheetLayoutView="100" zoomScalePageLayoutView="90" workbookViewId="0">
      <selection activeCell="I30" sqref="I30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0" t="s">
        <v>375</v>
      </c>
      <c r="B6" s="221"/>
      <c r="C6" s="221"/>
      <c r="D6" s="221"/>
      <c r="E6" s="221"/>
      <c r="F6" s="221"/>
      <c r="G6" s="221"/>
      <c r="H6" s="222"/>
    </row>
    <row r="7" spans="1:8" ht="21.6" customHeight="1">
      <c r="A7" s="220"/>
      <c r="B7" s="221"/>
      <c r="C7" s="221"/>
      <c r="D7" s="221"/>
      <c r="E7" s="221"/>
      <c r="F7" s="221"/>
      <c r="G7" s="221"/>
      <c r="H7" s="222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A16.12.026.012. Осл.63</v>
      </c>
      <c r="B8" s="18"/>
      <c r="C8" s="219" t="s">
        <v>284</v>
      </c>
      <c r="D8" s="219"/>
      <c r="E8" s="219"/>
      <c r="F8" s="83"/>
      <c r="G8" s="145"/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 xml:space="preserve">Код модели: </v>
      </c>
      <c r="B9" s="18"/>
      <c r="C9" s="219"/>
      <c r="D9" s="219"/>
      <c r="E9" s="219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 xml:space="preserve">Код метода: </v>
      </c>
      <c r="B10" s="18"/>
      <c r="C10" s="219"/>
      <c r="D10" s="219"/>
      <c r="E10" s="219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44847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0.22916666666666666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0.25</v>
      </c>
      <c r="C14" s="63"/>
      <c r="D14" s="116" t="s">
        <v>235</v>
      </c>
      <c r="E14" s="112"/>
      <c r="F14" s="112"/>
      <c r="G14" s="96" t="str">
        <f>КАГ!G10</f>
        <v>Сугера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Цыпленков В.И.</v>
      </c>
      <c r="C15" s="18"/>
      <c r="D15" s="116" t="s">
        <v>232</v>
      </c>
      <c r="E15" s="112"/>
      <c r="F15" s="112"/>
      <c r="G15" s="96" t="str">
        <f>КАГ!G11</f>
        <v>Молотков А.В.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13663</v>
      </c>
      <c r="C16" s="18"/>
      <c r="D16" s="116" t="s">
        <v>369</v>
      </c>
      <c r="E16" s="112"/>
      <c r="F16" s="112"/>
      <c r="G16" s="96" t="str">
        <f>КАГ!G12</f>
        <v>Билан Н.В.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85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16146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БПST</v>
      </c>
      <c r="C20" s="82"/>
      <c r="D20" s="82"/>
      <c r="E20" s="82"/>
      <c r="F20" s="82"/>
      <c r="G20" s="160" t="str">
        <f>КАГ!G16</f>
        <v>06:48</v>
      </c>
      <c r="H20" s="118">
        <f>КАГ!H16</f>
        <v>511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/>
      </c>
      <c r="H22" s="85" t="str">
        <f>IFERROR(SUM(IF($B$20=Вмешательства!F13,SUM(КАГ!$B$9+0.01),"")),"")</f>
        <v/>
      </c>
    </row>
    <row r="23" spans="1:8" ht="14.45" customHeight="1">
      <c r="A23" s="226" t="s">
        <v>474</v>
      </c>
      <c r="B23" s="227"/>
      <c r="C23" s="227"/>
      <c r="D23" s="227"/>
      <c r="E23" s="227"/>
      <c r="F23" s="227"/>
      <c r="G23" s="227"/>
      <c r="H23" s="228"/>
    </row>
    <row r="24" spans="1:8" ht="14.45" customHeight="1">
      <c r="A24" s="229"/>
      <c r="B24" s="227"/>
      <c r="C24" s="227"/>
      <c r="D24" s="227"/>
      <c r="E24" s="227"/>
      <c r="F24" s="227"/>
      <c r="G24" s="227"/>
      <c r="H24" s="228"/>
    </row>
    <row r="25" spans="1:8" ht="14.45" customHeight="1">
      <c r="A25" s="229"/>
      <c r="B25" s="227"/>
      <c r="C25" s="227"/>
      <c r="D25" s="227"/>
      <c r="E25" s="227"/>
      <c r="F25" s="227"/>
      <c r="G25" s="227"/>
      <c r="H25" s="228"/>
    </row>
    <row r="26" spans="1:8" ht="14.45" customHeight="1">
      <c r="A26" s="229"/>
      <c r="B26" s="227"/>
      <c r="C26" s="227"/>
      <c r="D26" s="227"/>
      <c r="E26" s="227"/>
      <c r="F26" s="227"/>
      <c r="G26" s="227"/>
      <c r="H26" s="228"/>
    </row>
    <row r="27" spans="1:8" ht="14.45" customHeight="1">
      <c r="A27" s="229"/>
      <c r="B27" s="227"/>
      <c r="C27" s="227"/>
      <c r="D27" s="227"/>
      <c r="E27" s="227"/>
      <c r="F27" s="227"/>
      <c r="G27" s="227"/>
      <c r="H27" s="228"/>
    </row>
    <row r="28" spans="1:8" ht="14.45" customHeight="1">
      <c r="A28" s="229"/>
      <c r="B28" s="227"/>
      <c r="C28" s="227"/>
      <c r="D28" s="227"/>
      <c r="E28" s="227"/>
      <c r="F28" s="227"/>
      <c r="G28" s="227"/>
      <c r="H28" s="228"/>
    </row>
    <row r="29" spans="1:8" ht="14.45" customHeight="1">
      <c r="A29" s="229"/>
      <c r="B29" s="227"/>
      <c r="C29" s="227"/>
      <c r="D29" s="227"/>
      <c r="E29" s="227"/>
      <c r="F29" s="227"/>
      <c r="G29" s="227"/>
      <c r="H29" s="228"/>
    </row>
    <row r="30" spans="1:8" ht="14.45" customHeight="1">
      <c r="A30" s="229"/>
      <c r="B30" s="227"/>
      <c r="C30" s="227"/>
      <c r="D30" s="227"/>
      <c r="E30" s="227"/>
      <c r="F30" s="227"/>
      <c r="G30" s="227"/>
      <c r="H30" s="228"/>
    </row>
    <row r="31" spans="1:8" ht="14.45" customHeight="1">
      <c r="A31" s="229"/>
      <c r="B31" s="227"/>
      <c r="C31" s="227"/>
      <c r="D31" s="227"/>
      <c r="E31" s="227"/>
      <c r="F31" s="227"/>
      <c r="G31" s="227"/>
      <c r="H31" s="228"/>
    </row>
    <row r="32" spans="1:8" ht="14.45" customHeight="1">
      <c r="A32" s="229"/>
      <c r="B32" s="227"/>
      <c r="C32" s="227"/>
      <c r="D32" s="227"/>
      <c r="E32" s="227"/>
      <c r="F32" s="227"/>
      <c r="G32" s="227"/>
      <c r="H32" s="228"/>
    </row>
    <row r="33" spans="1:8" ht="14.45" customHeight="1">
      <c r="A33" s="229"/>
      <c r="B33" s="227"/>
      <c r="C33" s="227"/>
      <c r="D33" s="227"/>
      <c r="E33" s="227"/>
      <c r="F33" s="227"/>
      <c r="G33" s="227"/>
      <c r="H33" s="228"/>
    </row>
    <row r="34" spans="1:8" ht="14.45" customHeight="1">
      <c r="A34" s="229"/>
      <c r="B34" s="227"/>
      <c r="C34" s="227"/>
      <c r="D34" s="227"/>
      <c r="E34" s="227"/>
      <c r="F34" s="227"/>
      <c r="G34" s="227"/>
      <c r="H34" s="228"/>
    </row>
    <row r="35" spans="1:8" ht="14.45" customHeight="1">
      <c r="A35" s="229"/>
      <c r="B35" s="227"/>
      <c r="C35" s="227"/>
      <c r="D35" s="227"/>
      <c r="E35" s="227"/>
      <c r="F35" s="227"/>
      <c r="G35" s="227"/>
      <c r="H35" s="228"/>
    </row>
    <row r="36" spans="1:8" ht="14.45" customHeight="1">
      <c r="A36" s="229"/>
      <c r="B36" s="227"/>
      <c r="C36" s="227"/>
      <c r="D36" s="227"/>
      <c r="E36" s="227"/>
      <c r="F36" s="227"/>
      <c r="G36" s="227"/>
      <c r="H36" s="228"/>
    </row>
    <row r="37" spans="1:8" ht="14.45" customHeight="1">
      <c r="A37" s="229"/>
      <c r="B37" s="227"/>
      <c r="C37" s="227"/>
      <c r="D37" s="227"/>
      <c r="E37" s="227"/>
      <c r="F37" s="227"/>
      <c r="G37" s="227"/>
      <c r="H37" s="228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23" t="s">
        <v>450</v>
      </c>
      <c r="E40" s="224"/>
      <c r="F40" s="224"/>
      <c r="G40" s="224"/>
      <c r="H40" s="225"/>
    </row>
    <row r="41" spans="1:8" ht="14.45" customHeight="1">
      <c r="A41" s="37"/>
      <c r="B41" s="33"/>
      <c r="C41" s="148"/>
      <c r="D41" s="224"/>
      <c r="E41" s="224"/>
      <c r="F41" s="224"/>
      <c r="G41" s="224"/>
      <c r="H41" s="225"/>
    </row>
    <row r="42" spans="1:8" ht="14.45" customHeight="1">
      <c r="A42" s="37"/>
      <c r="B42" s="33"/>
      <c r="C42" s="148"/>
      <c r="D42" s="224"/>
      <c r="E42" s="224"/>
      <c r="F42" s="224"/>
      <c r="G42" s="224"/>
      <c r="H42" s="225"/>
    </row>
    <row r="43" spans="1:8" ht="14.45" customHeight="1">
      <c r="A43" s="37"/>
      <c r="B43" s="33"/>
      <c r="C43" s="148"/>
      <c r="D43" s="224"/>
      <c r="E43" s="224"/>
      <c r="F43" s="224"/>
      <c r="G43" s="224"/>
      <c r="H43" s="225"/>
    </row>
    <row r="44" spans="1:8" ht="14.45" customHeight="1">
      <c r="A44" s="37"/>
      <c r="B44" s="33"/>
      <c r="C44" s="148"/>
      <c r="D44" s="224"/>
      <c r="E44" s="224"/>
      <c r="F44" s="224"/>
      <c r="G44" s="224"/>
      <c r="H44" s="225"/>
    </row>
    <row r="45" spans="1:8" ht="14.45" customHeight="1">
      <c r="A45" s="37"/>
      <c r="B45" s="33"/>
      <c r="C45" s="148"/>
      <c r="D45" s="224"/>
      <c r="E45" s="224"/>
      <c r="F45" s="224"/>
      <c r="G45" s="224"/>
      <c r="H45" s="225"/>
    </row>
    <row r="46" spans="1:8" ht="14.45" customHeight="1">
      <c r="A46" s="37"/>
      <c r="B46" s="33"/>
      <c r="C46" s="148"/>
      <c r="D46" s="224"/>
      <c r="E46" s="224"/>
      <c r="F46" s="224"/>
      <c r="G46" s="224"/>
      <c r="H46" s="225"/>
    </row>
    <row r="47" spans="1:8" ht="14.45" customHeight="1">
      <c r="A47" s="43"/>
      <c r="B47" s="18"/>
      <c r="C47" s="148"/>
      <c r="D47" s="224"/>
      <c r="E47" s="224"/>
      <c r="F47" s="224"/>
      <c r="G47" s="224"/>
      <c r="H47" s="225"/>
    </row>
    <row r="48" spans="1:8" ht="14.45" customHeight="1">
      <c r="A48" s="43"/>
      <c r="B48" s="18"/>
      <c r="C48" s="148"/>
      <c r="D48" s="224"/>
      <c r="E48" s="224"/>
      <c r="F48" s="224"/>
      <c r="G48" s="224"/>
      <c r="H48" s="225"/>
    </row>
    <row r="49" spans="1:8" ht="14.45" customHeight="1">
      <c r="A49" s="43"/>
      <c r="B49" s="18"/>
      <c r="C49" s="148"/>
      <c r="D49" s="224"/>
      <c r="E49" s="224"/>
      <c r="F49" s="224"/>
      <c r="G49" s="224"/>
      <c r="H49" s="225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470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471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9" sqref="G39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44847</v>
      </c>
      <c r="C2" s="190" t="str">
        <f>IF(ЧКВ!A6=Вмешательства!D4,Вмешательства!K7,IF(ЧКВ!A6=Вмешательства!D5,Вмешательства!K7,Вмешательства!K9))</f>
        <v>ОМС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Цыпленков В.И.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13663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A16.12.026.012. Осл.63</v>
      </c>
      <c r="B6" s="167" t="str">
        <f>ЧКВ!A6</f>
        <v>Транслюминальная баллонная ангиопластика коронарных артерий. БАП/попытка.</v>
      </c>
      <c r="C6" s="164" t="s">
        <v>10</v>
      </c>
      <c r="D6" s="126">
        <f>DATEDIF(D5,D10,"y")</f>
        <v>85</v>
      </c>
    </row>
    <row r="7" spans="1:4">
      <c r="A7" s="43"/>
      <c r="B7" s="18"/>
      <c r="C7" s="124" t="s">
        <v>12</v>
      </c>
      <c r="D7" s="126">
        <f>КАГ!$B$14</f>
        <v>16146</v>
      </c>
    </row>
    <row r="8" spans="1:4">
      <c r="A8" s="127" t="str">
        <f>ЧКВ!$A$9</f>
        <v xml:space="preserve">Код модели: 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 xml:space="preserve">Код метода: </v>
      </c>
      <c r="B9" s="18"/>
      <c r="C9" s="129" t="s">
        <v>134</v>
      </c>
      <c r="D9" s="126" t="str">
        <f>КАГ!$B$16</f>
        <v>ОКС БПST</v>
      </c>
    </row>
    <row r="10" spans="1:4">
      <c r="A10" s="45"/>
      <c r="B10" s="36"/>
      <c r="C10" s="188" t="s">
        <v>13</v>
      </c>
      <c r="D10" s="189">
        <f>КАГ!$B$8</f>
        <v>44847</v>
      </c>
    </row>
    <row r="11" spans="1:4">
      <c r="A11" s="32"/>
      <c r="B11" s="136"/>
      <c r="C11" s="136"/>
      <c r="D11" s="137"/>
    </row>
    <row r="12" spans="1:4" ht="18.75" customHeight="1">
      <c r="A12" s="171" t="s">
        <v>409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399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93" t="s">
        <v>395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5" s="193" t="s">
        <v>387</v>
      </c>
      <c r="C15" s="168" t="s">
        <v>104</v>
      </c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Система для закрытия м/пункции </v>
      </c>
      <c r="B16" s="193" t="s">
        <v>472</v>
      </c>
      <c r="C16" s="168"/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7" s="193"/>
      <c r="C17" s="168"/>
      <c r="D17" s="175"/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3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3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4"/>
      <c r="C20" s="168"/>
      <c r="D20" s="177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446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473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материал'!$C$2:$C$54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382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438</v>
      </c>
    </row>
    <row r="5" spans="1:15" ht="30">
      <c r="A5" s="10">
        <v>4</v>
      </c>
      <c r="B5" s="2"/>
      <c r="C5" s="10" t="s">
        <v>39</v>
      </c>
      <c r="D5" s="5" t="s">
        <v>437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410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461</v>
      </c>
      <c r="G9">
        <v>136170</v>
      </c>
      <c r="I9" t="s">
        <v>281</v>
      </c>
      <c r="K9" t="s">
        <v>411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381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8" zoomScaleNormal="100" workbookViewId="0">
      <selection activeCell="A41" sqref="A41:A56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451</v>
      </c>
    </row>
    <row r="2" spans="1:39">
      <c r="A2">
        <v>1</v>
      </c>
      <c r="B2" t="s">
        <v>122</v>
      </c>
      <c r="C2" s="1" t="s">
        <v>379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1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Cougar LS Hydro-Track®</v>
      </c>
      <c r="T2" s="139" t="str">
        <f>IFERROR(INDEX(Расходка[Наименование расходного материала],MATCH(Расходка[№],Поиск_расходки[Индекс3],0)),"")</f>
        <v>Sprinter Legend</v>
      </c>
      <c r="U2" s="139" t="str">
        <f>IFERROR(INDEX(Расходка[Наименование расходного материала],MATCH(Расходка[№],Поиск_расходки[Индекс4],0)),"")</f>
        <v>Angio-Seal™ VIP</v>
      </c>
      <c r="V2" s="139" t="str">
        <f>IFERROR(INDEX(Расходка[Наименование расходного материала],MATCH(Расходка[№],Поиск_расходки[Индекс5],0)),"")</f>
        <v>Hunter® 6F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386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2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>NC Accuforce</v>
      </c>
      <c r="W3" s="139" t="str">
        <f>IFERROR(INDEX(Расходка[Наименование расходного материала],MATCH(Расходка[№],Поиск_расходки[Индекс6],0)),"")</f>
        <v>NC Accuforce</v>
      </c>
      <c r="X3" s="139" t="str">
        <f>IFERROR(INDEX(Расходка[Наименование расходного материала],MATCH(Расходка[№],Поиск_расходки[Индекс7],0)),"")</f>
        <v>NC Accuforce</v>
      </c>
      <c r="Y3" s="139" t="str">
        <f>IFERROR(INDEX(Расходка[Наименование расходного материала],MATCH(Расходка[№],Поиск_расходки[Индекс8],0)),"")</f>
        <v>NC Accuforce</v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439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1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3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>Sprinter Legend</v>
      </c>
      <c r="W4" s="139" t="str">
        <f>IFERROR(INDEX(Расходка[Наименование расходного материала],MATCH(Расходка[№],Поиск_расходки[Индекс6],0)),"")</f>
        <v>Sprinter Legend</v>
      </c>
      <c r="X4" s="139" t="str">
        <f>IFERROR(INDEX(Расходка[Наименование расходного материала],MATCH(Расходка[№],Поиск_расходки[Индекс7],0)),"")</f>
        <v>Sprinter Legend</v>
      </c>
      <c r="Y4" s="139" t="str">
        <f>IFERROR(INDEX(Расходка[Наименование расходного материала],MATCH(Расходка[№],Поиск_расходки[Индекс8],0)),"")</f>
        <v>Sprinter Legend</v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342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4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>Sapphire</v>
      </c>
      <c r="W5" s="139" t="str">
        <f>IFERROR(INDEX(Расходка[Наименование расходного материала],MATCH(Расходка[№],Поиск_расходки[Индекс6],0)),"")</f>
        <v>Sapphire</v>
      </c>
      <c r="X5" s="139" t="str">
        <f>IFERROR(INDEX(Расходка[Наименование расходного материала],MATCH(Расходка[№],Поиск_расходки[Индекс7],0)),"")</f>
        <v>Sapphire</v>
      </c>
      <c r="Y5" s="139" t="str">
        <f>IFERROR(INDEX(Расходка[Наименование расходного материала],MATCH(Расходка[№],Поиск_расходки[Индекс8],0)),"")</f>
        <v>Sapphire</v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343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5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>Euphora</v>
      </c>
      <c r="W6" s="139" t="str">
        <f>IFERROR(INDEX(Расходка[Наименование расходного материала],MATCH(Расходка[№],Поиск_расходки[Индекс6],0)),"")</f>
        <v>Euphora</v>
      </c>
      <c r="X6" s="139" t="str">
        <f>IFERROR(INDEX(Расходка[Наименование расходного материала],MATCH(Расходка[№],Поиск_расходки[Индекс7],0)),"")</f>
        <v>Euphora</v>
      </c>
      <c r="Y6" s="139" t="str">
        <f>IFERROR(INDEX(Расходка[Наименование расходного материала],MATCH(Расходка[№],Поиск_расходки[Индекс8],0)),"")</f>
        <v>Euphora</v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377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6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>NC Euphora</v>
      </c>
      <c r="W7" s="139" t="str">
        <f>IFERROR(INDEX(Расходка[Наименование расходного материала],MATCH(Расходка[№],Поиск_расходки[Индекс6],0)),"")</f>
        <v>NC Euphora</v>
      </c>
      <c r="X7" s="139" t="str">
        <f>IFERROR(INDEX(Расходка[Наименование расходного материала],MATCH(Расходка[№],Поиск_расходки[Индекс7],0)),"")</f>
        <v>NC Euphora</v>
      </c>
      <c r="Y7" s="139" t="str">
        <f>IFERROR(INDEX(Расходка[Наименование расходного материала],MATCH(Расходка[№],Поиск_расходки[Индекс8],0)),"")</f>
        <v>NC Euphora</v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3</v>
      </c>
      <c r="C8" t="s">
        <v>388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7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>Fielder</v>
      </c>
      <c r="W8" s="139" t="str">
        <f>IFERROR(INDEX(Расходка[Наименование расходного материала],MATCH(Расходка[№],Поиск_расходки[Индекс6],0)),"")</f>
        <v>Fielder</v>
      </c>
      <c r="X8" s="139" t="str">
        <f>IFERROR(INDEX(Расходка[Наименование расходного материала],MATCH(Расходка[№],Поиск_расходки[Индекс7],0)),"")</f>
        <v>Fielder</v>
      </c>
      <c r="Y8" s="139" t="str">
        <f>IFERROR(INDEX(Расходка[Наименование расходного материала],MATCH(Расходка[№],Поиск_расходки[Индекс8],0)),"")</f>
        <v>Fielder</v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389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8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>Sion</v>
      </c>
      <c r="W9" s="139" t="str">
        <f>IFERROR(INDEX(Расходка[Наименование расходного материала],MATCH(Расходка[№],Поиск_расходки[Индекс6],0)),"")</f>
        <v>Sion</v>
      </c>
      <c r="X9" s="139" t="str">
        <f>IFERROR(INDEX(Расходка[Наименование расходного материала],MATCH(Расходка[№],Поиск_расходки[Индекс7],0)),"")</f>
        <v>Sion</v>
      </c>
      <c r="Y9" s="139" t="str">
        <f>IFERROR(INDEX(Расходка[Наименование расходного материала],MATCH(Расходка[№],Поиск_расходки[Индекс8],0)),"")</f>
        <v>Sion</v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390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9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>Rinato</v>
      </c>
      <c r="W10" s="139" t="str">
        <f>IFERROR(INDEX(Расходка[Наименование расходного материала],MATCH(Расходка[№],Поиск_расходки[Индекс6],0)),"")</f>
        <v>Rinato</v>
      </c>
      <c r="X10" s="139" t="str">
        <f>IFERROR(INDEX(Расходка[Наименование расходного материала],MATCH(Расходка[№],Поиск_расходки[Индекс7],0)),"")</f>
        <v>Rinato</v>
      </c>
      <c r="Y10" s="139" t="str">
        <f>IFERROR(INDEX(Расходка[Наименование расходного материала],MATCH(Расходка[№],Поиск_расходки[Индекс8],0)),"")</f>
        <v>Rinato</v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</v>
      </c>
      <c r="C11" t="s">
        <v>391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10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>Thunder</v>
      </c>
      <c r="W11" s="139" t="str">
        <f>IFERROR(INDEX(Расходка[Наименование расходного материала],MATCH(Расходка[№],Поиск_расходки[Индекс6],0)),"")</f>
        <v>Thunder</v>
      </c>
      <c r="X11" s="139" t="str">
        <f>IFERROR(INDEX(Расходка[Наименование расходного материала],MATCH(Расходка[№],Поиск_расходки[Индекс7],0)),"")</f>
        <v>Thunder</v>
      </c>
      <c r="Y11" s="139" t="str">
        <f>IFERROR(INDEX(Расходка[Наименование расходного материала],MATCH(Расходка[№],Поиск_расходки[Индекс8],0)),"")</f>
        <v>Thunder</v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452</v>
      </c>
      <c r="AM11" t="s">
        <v>378</v>
      </c>
    </row>
    <row r="12" spans="1:39">
      <c r="A12">
        <v>11</v>
      </c>
      <c r="B12" t="s">
        <v>3</v>
      </c>
      <c r="C12" t="s">
        <v>392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11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>ProVia 3 Hydro-Track®</v>
      </c>
      <c r="W12" s="139" t="str">
        <f>IFERROR(INDEX(Расходка[Наименование расходного материала],MATCH(Расходка[№],Поиск_расходки[Индекс6],0)),"")</f>
        <v>ProVia 3 Hydro-Track®</v>
      </c>
      <c r="X12" s="139" t="str">
        <f>IFERROR(INDEX(Расходка[Наименование расходного материала],MATCH(Расходка[№],Поиск_расходки[Индекс7],0)),"")</f>
        <v>ProVia 3 Hydro-Track®</v>
      </c>
      <c r="Y12" s="139" t="str">
        <f>IFERROR(INDEX(Расходка[Наименование расходного материала],MATCH(Расходка[№],Поиск_расходки[Индекс8],0)),"")</f>
        <v>ProVia 3 Hydro-Track®</v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383</v>
      </c>
    </row>
    <row r="13" spans="1:39">
      <c r="A13">
        <v>12</v>
      </c>
      <c r="B13" t="s">
        <v>3</v>
      </c>
      <c r="C13" t="s">
        <v>393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12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>ProVia 6 Hydro-Track®</v>
      </c>
      <c r="W13" s="139" t="str">
        <f>IFERROR(INDEX(Расходка[Наименование расходного материала],MATCH(Расходка[№],Поиск_расходки[Индекс6],0)),"")</f>
        <v>ProVia 6 Hydro-Track®</v>
      </c>
      <c r="X13" s="139" t="str">
        <f>IFERROR(INDEX(Расходка[Наименование расходного материала],MATCH(Расходка[№],Поиск_расходки[Индекс7],0)),"")</f>
        <v>ProVia 6 Hydro-Track®</v>
      </c>
      <c r="Y13" s="139" t="str">
        <f>IFERROR(INDEX(Расходка[Наименование расходного материала],MATCH(Расходка[№],Поиск_расходки[Индекс8],0)),"")</f>
        <v>ProVia 6 Hydro-Track®</v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384</v>
      </c>
    </row>
    <row r="14" spans="1:39">
      <c r="A14">
        <v>13</v>
      </c>
      <c r="B14" t="s">
        <v>3</v>
      </c>
      <c r="C14" t="s">
        <v>394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13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>ProVia 9 Hydro-Track®</v>
      </c>
      <c r="W14" s="139" t="str">
        <f>IFERROR(INDEX(Расходка[Наименование расходного материала],MATCH(Расходка[№],Поиск_расходки[Индекс6],0)),"")</f>
        <v>ProVia 9 Hydro-Track®</v>
      </c>
      <c r="X14" s="139" t="str">
        <f>IFERROR(INDEX(Расходка[Наименование расходного материала],MATCH(Расходка[№],Поиск_расходки[Индекс7],0)),"")</f>
        <v>ProVia 9 Hydro-Track®</v>
      </c>
      <c r="Y14" s="139" t="str">
        <f>IFERROR(INDEX(Расходка[Наименование расходного материала],MATCH(Расходка[№],Поиск_расходки[Индекс8],0)),"")</f>
        <v>ProVia 9 Hydro-Track®</v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385</v>
      </c>
    </row>
    <row r="15" spans="1:39">
      <c r="A15">
        <v>14</v>
      </c>
      <c r="B15" t="s">
        <v>3</v>
      </c>
      <c r="C15" t="s">
        <v>433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14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>Проводник коронарный  1g, Angioline</v>
      </c>
      <c r="W15" s="139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15" s="139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15" s="139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15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>Проводник коронарный  3g, Angioline</v>
      </c>
      <c r="W16" s="139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16" s="139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16" s="139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416</v>
      </c>
    </row>
    <row r="17" spans="1:33">
      <c r="A17">
        <v>16</v>
      </c>
      <c r="B17" t="s">
        <v>3</v>
      </c>
      <c r="C17" t="s">
        <v>395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1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16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>Cougar LS Hydro-Track®</v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413</v>
      </c>
    </row>
    <row r="18" spans="1:33">
      <c r="A18">
        <v>17</v>
      </c>
      <c r="B18" t="s">
        <v>3</v>
      </c>
      <c r="C18" t="s">
        <v>423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17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>Cougar XT Hydro-Track®</v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396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18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>Intuition</v>
      </c>
      <c r="W19" s="139" t="str">
        <f>IFERROR(INDEX(Расходка[Наименование расходного материала],MATCH(Расходка[№],Поиск_расходки[Индекс6],0)),"")</f>
        <v>Intuition</v>
      </c>
      <c r="X19" s="139" t="str">
        <f>IFERROR(INDEX(Расходка[Наименование расходного материала],MATCH(Расходка[№],Поиск_расходки[Индекс7],0)),"")</f>
        <v>Intuition</v>
      </c>
      <c r="Y19" s="139" t="str">
        <f>IFERROR(INDEX(Расходка[Наименование расходного материала],MATCH(Расходка[№],Поиск_расходки[Индекс8],0)),"")</f>
        <v>Intuition</v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458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19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>Gaia Second</v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397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20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>DES, Resolute Integtity</v>
      </c>
      <c r="W21" s="139" t="str">
        <f>IFERROR(INDEX(Расходка[Наименование расходного материала],MATCH(Расходка[№],Поиск_расходки[Индекс6],0)),"")</f>
        <v>DES, Resolute Integtity</v>
      </c>
      <c r="X21" s="139" t="str">
        <f>IFERROR(INDEX(Расходка[Наименование расходного материала],MATCH(Расходка[№],Поиск_расходки[Индекс7],0)),"")</f>
        <v>DES, Resolute Integtity</v>
      </c>
      <c r="Y21" s="139" t="str">
        <f>IFERROR(INDEX(Расходка[Наименование расходного материала],MATCH(Расходка[№],Поиск_расходки[Индекс8],0)),"")</f>
        <v>DES, Resolute Integtity</v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427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21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>DES, Calipso</v>
      </c>
      <c r="W22" s="139" t="str">
        <f>IFERROR(INDEX(Расходка[Наименование расходного материала],MATCH(Расходка[№],Поиск_расходки[Индекс6],0)),"")</f>
        <v>DES, Calipso</v>
      </c>
      <c r="X22" s="139" t="str">
        <f>IFERROR(INDEX(Расходка[Наименование расходного материала],MATCH(Расходка[№],Поиск_расходки[Индекс7],0)),"")</f>
        <v>DES, Calipso</v>
      </c>
      <c r="Y22" s="139" t="str">
        <f>IFERROR(INDEX(Расходка[Наименование расходного материала],MATCH(Расходка[№],Поиск_расходки[Индекс8],0)),"")</f>
        <v>DES, Calipso</v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426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22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>DES, NanoMed</v>
      </c>
      <c r="W23" s="139" t="str">
        <f>IFERROR(INDEX(Расходка[Наименование расходного материала],MATCH(Расходка[№],Поиск_расходки[Индекс6],0)),"")</f>
        <v>DES, NanoMed</v>
      </c>
      <c r="X23" s="139" t="str">
        <f>IFERROR(INDEX(Расходка[Наименование расходного материала],MATCH(Расходка[№],Поиск_расходки[Индекс7],0)),"")</f>
        <v>DES, NanoMed</v>
      </c>
      <c r="Y23" s="139" t="str">
        <f>IFERROR(INDEX(Расходка[Наименование расходного материала],MATCH(Расходка[№],Поиск_расходки[Индекс8],0)),"")</f>
        <v>DES, NanoMed</v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442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23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>DES,Firehawk</v>
      </c>
      <c r="W24" s="139" t="str">
        <f>IFERROR(INDEX(Расходка[Наименование расходного материала],MATCH(Расходка[№],Поиск_расходки[Индекс6],0)),"")</f>
        <v>DES,Firehawk</v>
      </c>
      <c r="X24" s="139" t="str">
        <f>IFERROR(INDEX(Расходка[Наименование расходного материала],MATCH(Расходка[№],Поиск_расходки[Индекс7],0)),"")</f>
        <v>DES,Firehawk</v>
      </c>
      <c r="Y24" s="139" t="str">
        <f>IFERROR(INDEX(Расходка[Наименование расходного материала],MATCH(Расходка[№],Поиск_расходки[Индекс8],0)),"")</f>
        <v>DES,Firehawk</v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344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24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>BMS, Integtity</v>
      </c>
      <c r="W25" s="139" t="str">
        <f>IFERROR(INDEX(Расходка[Наименование расходного материала],MATCH(Расходка[№],Поиск_расходки[Индекс6],0)),"")</f>
        <v>BMS, Integtity</v>
      </c>
      <c r="X25" s="139" t="str">
        <f>IFERROR(INDEX(Расходка[Наименование расходного материала],MATCH(Расходка[№],Поиск_расходки[Индекс7],0)),"")</f>
        <v>BMS, Integtity</v>
      </c>
      <c r="Y25" s="139" t="str">
        <f>IFERROR(INDEX(Расходка[Наименование расходного материала],MATCH(Расходка[№],Поиск_расходки[Индекс8],0)),"")</f>
        <v>BMS, Integtity</v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398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25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>Guidezilla™ II 6F</v>
      </c>
      <c r="W26" s="144" t="str">
        <f>IFERROR(INDEX(Расходка[Наименование расходного материала],MATCH(Расходка[№],Поиск_расходки[Индекс6],0)),"")</f>
        <v>Guidezilla™ II 6F</v>
      </c>
      <c r="X26" s="144" t="str">
        <f>IFERROR(INDEX(Расходка[Наименование расходного материала],MATCH(Расходка[№],Поиск_расходки[Индекс7],0)),"")</f>
        <v>Guidezilla™ II 6F</v>
      </c>
      <c r="Y26" s="144" t="str">
        <f>IFERROR(INDEX(Расходка[Наименование расходного материала],MATCH(Расходка[№],Поиск_расходки[Индекс8],0)),"")</f>
        <v>Guidezilla™ II 6F</v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372</v>
      </c>
    </row>
    <row r="27" spans="1:33">
      <c r="A27">
        <v>26</v>
      </c>
      <c r="B27" t="s">
        <v>123</v>
      </c>
      <c r="C27" s="1" t="s">
        <v>424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26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>Telescope ™ II 6F</v>
      </c>
      <c r="W27" s="144" t="str">
        <f>IFERROR(INDEX(Расходка[Наименование расходного материала],MATCH(Расходка[№],Поиск_расходки[Индекс6],0)),"")</f>
        <v>Telescope ™ II 6F</v>
      </c>
      <c r="X27" s="144" t="str">
        <f>IFERROR(INDEX(Расходка[Наименование расходного материала],MATCH(Расходка[№],Поиск_расходки[Индекс7],0)),"")</f>
        <v>Telescope ™ II 6F</v>
      </c>
      <c r="Y27" s="144" t="str">
        <f>IFERROR(INDEX(Расходка[Наименование расходного материала],MATCH(Расходка[№],Поиск_расходки[Индекс8],0)),"")</f>
        <v>Telescope ™ II 6F</v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373</v>
      </c>
    </row>
    <row r="28" spans="1:33">
      <c r="A28">
        <v>27</v>
      </c>
      <c r="B28" t="s">
        <v>4</v>
      </c>
      <c r="C28" t="s">
        <v>399</v>
      </c>
      <c r="E28" s="142">
        <f>IF(ISNUMBER(SEARCH('Карта учёта'!$B$13,Расходка[[#This Row],[Наименование расходного материала]])),MAX($E$1:E27)+1,0)</f>
        <v>1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27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>Launcher 6F EBU 3.5</v>
      </c>
      <c r="W28" s="144" t="str">
        <f>IFERROR(INDEX(Расходка[Наименование расходного материала],MATCH(Расходка[№],Поиск_расходки[Индекс6],0)),"")</f>
        <v>Launcher 6F EBU 3.5</v>
      </c>
      <c r="X28" s="144" t="str">
        <f>IFERROR(INDEX(Расходка[Наименование расходного материала],MATCH(Расходка[№],Поиск_расходки[Индекс7],0)),"")</f>
        <v>Launcher 6F EBU 3.5</v>
      </c>
      <c r="Y28" s="144" t="str">
        <f>IFERROR(INDEX(Расходка[Наименование расходного материала],MATCH(Расходка[№],Поиск_расходки[Индекс8],0)),"")</f>
        <v>Launcher 6F EBU 3.5</v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457</v>
      </c>
    </row>
    <row r="29" spans="1:33">
      <c r="A29">
        <v>28</v>
      </c>
      <c r="B29" t="s">
        <v>4</v>
      </c>
      <c r="C29" t="s">
        <v>400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28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>Launcher 6F EBU 4.0</v>
      </c>
      <c r="W29" s="144" t="str">
        <f>IFERROR(INDEX(Расходка[Наименование расходного материала],MATCH(Расходка[№],Поиск_расходки[Индекс6],0)),"")</f>
        <v>Launcher 6F EBU 4.0</v>
      </c>
      <c r="X29" s="144" t="str">
        <f>IFERROR(INDEX(Расходка[Наименование расходного материала],MATCH(Расходка[№],Поиск_расходки[Индекс7],0)),"")</f>
        <v>Launcher 6F EBU 4.0</v>
      </c>
      <c r="Y29" s="144" t="str">
        <f>IFERROR(INDEX(Расходка[Наименование расходного материала],MATCH(Расходка[№],Поиск_расходки[Индекс8],0)),"")</f>
        <v>Launcher 6F EBU 4.0</v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401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29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>Launcher 6F JL 3.5</v>
      </c>
      <c r="W30" s="144" t="str">
        <f>IFERROR(INDEX(Расходка[Наименование расходного материала],MATCH(Расходка[№],Поиск_расходки[Индекс6],0)),"")</f>
        <v>Launcher 6F JL 3.5</v>
      </c>
      <c r="X30" s="144" t="str">
        <f>IFERROR(INDEX(Расходка[Наименование расходного материала],MATCH(Расходка[№],Поиск_расходки[Индекс7],0)),"")</f>
        <v>Launcher 6F JL 3.5</v>
      </c>
      <c r="Y30" s="144" t="str">
        <f>IFERROR(INDEX(Расходка[Наименование расходного материала],MATCH(Расходка[№],Поиск_расходки[Индекс8],0)),"")</f>
        <v>Launcher 6F JL 3.5</v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454</v>
      </c>
    </row>
    <row r="31" spans="1:33">
      <c r="A31">
        <v>30</v>
      </c>
      <c r="B31" t="s">
        <v>4</v>
      </c>
      <c r="C31" t="s">
        <v>402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30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>Launcher 6F JL 4.0</v>
      </c>
      <c r="W31" s="144" t="str">
        <f>IFERROR(INDEX(Расходка[Наименование расходного материала],MATCH(Расходка[№],Поиск_расходки[Индекс6],0)),"")</f>
        <v>Launcher 6F JL 4.0</v>
      </c>
      <c r="X31" s="144" t="str">
        <f>IFERROR(INDEX(Расходка[Наименование расходного материала],MATCH(Расходка[№],Поиск_расходки[Индекс7],0)),"")</f>
        <v>Launcher 6F JL 4.0</v>
      </c>
      <c r="Y31" s="144" t="str">
        <f>IFERROR(INDEX(Расходка[Наименование расходного материала],MATCH(Расходка[№],Поиск_расходки[Индекс8],0)),"")</f>
        <v>Launcher 6F JL 4.0</v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417</v>
      </c>
    </row>
    <row r="32" spans="1:33">
      <c r="A32">
        <v>31</v>
      </c>
      <c r="B32" t="s">
        <v>4</v>
      </c>
      <c r="C32" t="s">
        <v>408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31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>Launcher 6F JL 4.5</v>
      </c>
      <c r="W32" s="144" t="str">
        <f>IFERROR(INDEX(Расходка[Наименование расходного материала],MATCH(Расходка[№],Поиск_расходки[Индекс6],0)),"")</f>
        <v>Launcher 6F JL 4.5</v>
      </c>
      <c r="X32" s="144" t="str">
        <f>IFERROR(INDEX(Расходка[Наименование расходного материала],MATCH(Расходка[№],Поиск_расходки[Индекс7],0)),"")</f>
        <v>Launcher 6F JL 4.5</v>
      </c>
      <c r="Y32" s="144" t="str">
        <f>IFERROR(INDEX(Расходка[Наименование расходного материала],MATCH(Расходка[№],Поиск_расходки[Индекс8],0)),"")</f>
        <v>Launcher 6F JL 4.5</v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428</v>
      </c>
    </row>
    <row r="33" spans="1:33">
      <c r="A33">
        <v>32</v>
      </c>
      <c r="B33" t="s">
        <v>4</v>
      </c>
      <c r="C33" t="s">
        <v>443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32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>Launcher 6F AL 1</v>
      </c>
      <c r="W33" s="144" t="str">
        <f>IFERROR(INDEX(Расходка[Наименование расходного материала],MATCH(Расходка[№],Поиск_расходки[Индекс6],0)),"")</f>
        <v>Launcher 6F AL 1</v>
      </c>
      <c r="X33" s="144" t="str">
        <f>IFERROR(INDEX(Расходка[Наименование расходного материала],MATCH(Расходка[№],Поиск_расходки[Индекс7],0)),"")</f>
        <v>Launcher 6F AL 1</v>
      </c>
      <c r="Y33" s="144" t="str">
        <f>IFERROR(INDEX(Расходка[Наименование расходного материала],MATCH(Расходка[№],Поиск_расходки[Индекс8],0)),"")</f>
        <v>Launcher 6F AL 1</v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444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33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>Launcher 6F AL 2</v>
      </c>
      <c r="W34" s="144" t="str">
        <f>IFERROR(INDEX(Расходка[Наименование расходного материала],MATCH(Расходка[№],Поиск_расходки[Индекс6],0)),"")</f>
        <v>Launcher 6F AL 2</v>
      </c>
      <c r="X34" s="144" t="str">
        <f>IFERROR(INDEX(Расходка[Наименование расходного материала],MATCH(Расходка[№],Поиск_расходки[Индекс7],0)),"")</f>
        <v>Launcher 6F AL 2</v>
      </c>
      <c r="Y34" s="144" t="str">
        <f>IFERROR(INDEX(Расходка[Наименование расходного материала],MATCH(Расходка[№],Поиск_расходки[Индекс8],0)),"")</f>
        <v>Launcher 6F AL 2</v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403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34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>Launcher 6F JR 3.5</v>
      </c>
      <c r="W35" s="144" t="str">
        <f>IFERROR(INDEX(Расходка[Наименование расходного материала],MATCH(Расходка[№],Поиск_расходки[Индекс6],0)),"")</f>
        <v>Launcher 6F JR 3.5</v>
      </c>
      <c r="X35" s="144" t="str">
        <f>IFERROR(INDEX(Расходка[Наименование расходного материала],MATCH(Расходка[№],Поиск_расходки[Индекс7],0)),"")</f>
        <v>Launcher 6F JR 3.5</v>
      </c>
      <c r="Y35" s="144" t="str">
        <f>IFERROR(INDEX(Расходка[Наименование расходного материала],MATCH(Расходка[№],Поиск_расходки[Индекс8],0)),"")</f>
        <v>Launcher 6F JR 3.5</v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453</v>
      </c>
    </row>
    <row r="36" spans="1:33">
      <c r="A36">
        <v>35</v>
      </c>
      <c r="B36" t="s">
        <v>4</v>
      </c>
      <c r="C36" t="s">
        <v>404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35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>Launcher 6F JR 4.0</v>
      </c>
      <c r="W36" s="144" t="str">
        <f>IFERROR(INDEX(Расходка[Наименование расходного материала],MATCH(Расходка[№],Поиск_расходки[Индекс6],0)),"")</f>
        <v>Launcher 6F JR 4.0</v>
      </c>
      <c r="X36" s="144" t="str">
        <f>IFERROR(INDEX(Расходка[Наименование расходного материала],MATCH(Расходка[№],Поиск_расходки[Индекс7],0)),"")</f>
        <v>Launcher 6F JR 4.0</v>
      </c>
      <c r="Y36" s="144" t="str">
        <f>IFERROR(INDEX(Расходка[Наименование расходного материала],MATCH(Расходка[№],Поиск_расходки[Индекс8],0)),"")</f>
        <v>Launcher 6F JR 4.0</v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415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36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>Launcher 7F JL 3.5</v>
      </c>
      <c r="W37" s="144" t="str">
        <f>IFERROR(INDEX(Расходка[Наименование расходного материала],MATCH(Расходка[№],Поиск_расходки[Индекс6],0)),"")</f>
        <v>Launcher 7F JL 3.5</v>
      </c>
      <c r="X37" s="144" t="str">
        <f>IFERROR(INDEX(Расходка[Наименование расходного материала],MATCH(Расходка[№],Поиск_расходки[Индекс7],0)),"")</f>
        <v>Launcher 7F JL 3.5</v>
      </c>
      <c r="Y37" s="144" t="str">
        <f>IFERROR(INDEX(Расходка[Наименование расходного материала],MATCH(Расходка[№],Поиск_расходки[Индекс8],0)),"")</f>
        <v>Launcher 7F JL 3.5</v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414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37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>Launcher 7F JL 4.0</v>
      </c>
      <c r="W38" s="144" t="str">
        <f>IFERROR(INDEX(Расходка[Наименование расходного материала],MATCH(Расходка[№],Поиск_расходки[Индекс6],0)),"")</f>
        <v>Launcher 7F JL 4.0</v>
      </c>
      <c r="X38" s="144" t="str">
        <f>IFERROR(INDEX(Расходка[Наименование расходного материала],MATCH(Расходка[№],Поиск_расходки[Индекс7],0)),"")</f>
        <v>Launcher 7F JL 4.0</v>
      </c>
      <c r="Y38" s="144" t="str">
        <f>IFERROR(INDEX(Расходка[Наименование расходного материала],MATCH(Расходка[№],Поиск_расходки[Индекс8],0)),"")</f>
        <v>Launcher 7F JL 4.0</v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431</v>
      </c>
    </row>
    <row r="39" spans="1:33">
      <c r="A39">
        <v>38</v>
      </c>
      <c r="B39" t="s">
        <v>367</v>
      </c>
      <c r="C39" s="1" t="s">
        <v>405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1</v>
      </c>
      <c r="I39" s="142">
        <f>IF(ISNUMBER(SEARCH('Карта учёта'!$B$17,Расходка[Наименование расходного материала])),MAX($I$1:I38)+1,0)</f>
        <v>38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>Angio-Seal™ VIP</v>
      </c>
      <c r="W39" s="144" t="str">
        <f>IFERROR(INDEX(Расходка[Наименование расходного материала],MATCH(Расходка[№],Поиск_расходки[Индекс6],0)),"")</f>
        <v>Angio-Seal™ VIP</v>
      </c>
      <c r="X39" s="144" t="str">
        <f>IFERROR(INDEX(Расходка[Наименование расходного материала],MATCH(Расходка[№],Поиск_расходки[Индекс7],0)),"")</f>
        <v>Angio-Seal™ VIP</v>
      </c>
      <c r="Y39" s="144" t="str">
        <f>IFERROR(INDEX(Расходка[Наименование расходного материала],MATCH(Расходка[№],Поиск_расходки[Индекс8],0)),"")</f>
        <v>Angio-Seal™ VIP</v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376</v>
      </c>
      <c r="C40" t="s">
        <v>406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39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>BasixCOMPAK</v>
      </c>
      <c r="W40" s="144" t="str">
        <f>IFERROR(INDEX(Расходка[Наименование расходного материала],MATCH(Расходка[№],Поиск_расходки[Индекс6],0)),"")</f>
        <v>BasixCOMPAK</v>
      </c>
      <c r="X40" s="144" t="str">
        <f>IFERROR(INDEX(Расходка[Наименование расходного материала],MATCH(Расходка[№],Поиск_расходки[Индекс7],0)),"")</f>
        <v>BasixCOMPAK</v>
      </c>
      <c r="Y40" s="144" t="str">
        <f>IFERROR(INDEX(Расходка[Наименование расходного материала],MATCH(Расходка[№],Поиск_расходки[Индекс8],0)),"")</f>
        <v>BasixCOMPAK</v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432</v>
      </c>
    </row>
    <row r="41" spans="1:33">
      <c r="A41">
        <v>40</v>
      </c>
      <c r="B41" t="s">
        <v>378</v>
      </c>
      <c r="C41" s="1" t="s">
        <v>407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40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>Nitrex 260</v>
      </c>
      <c r="W41" s="144" t="str">
        <f>IFERROR(INDEX(Расходка[Наименование расходного материала],MATCH(Расходка[№],Поиск_расходки[Индекс6],0)),"")</f>
        <v>Nitrex 260</v>
      </c>
      <c r="X41" s="144" t="str">
        <f>IFERROR(INDEX(Расходка[Наименование расходного материала],MATCH(Расходка[№],Поиск_расходки[Индекс7],0)),"")</f>
        <v>Nitrex 260</v>
      </c>
      <c r="Y41" s="144" t="str">
        <f>IFERROR(INDEX(Расходка[Наименование расходного материала],MATCH(Расходка[№],Поиск_расходки[Индекс8],0)),"")</f>
        <v>Nitrex 260</v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412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41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>Oscor 7F</v>
      </c>
      <c r="W42" s="144" t="str">
        <f>IFERROR(INDEX(Расходка[Наименование расходного материала],MATCH(Расходка[№],Поиск_расходки[Индекс6],0)),"")</f>
        <v>Oscor 7F</v>
      </c>
      <c r="X42" s="144" t="str">
        <f>IFERROR(INDEX(Расходка[Наименование расходного материала],MATCH(Расходка[№],Поиск_расходки[Индекс7],0)),"")</f>
        <v>Oscor 7F</v>
      </c>
      <c r="Y42" s="144" t="str">
        <f>IFERROR(INDEX(Расходка[Наименование расходного материала],MATCH(Расходка[№],Поиск_расходки[Индекс8],0)),"")</f>
        <v>Oscor 7F</v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447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42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>Runthrough NS (Floppy)</v>
      </c>
      <c r="W43" s="144" t="str">
        <f>IFERROR(INDEX(Расходка[Наименование расходного материала],MATCH(Расходка[№],Поиск_расходки[Индекс6],0)),"")</f>
        <v>Runthrough NS (Floppy)</v>
      </c>
      <c r="X43" s="144" t="str">
        <f>IFERROR(INDEX(Расходка[Наименование расходного материала],MATCH(Расходка[№],Поиск_расходки[Индекс7],0)),"")</f>
        <v>Runthrough NS (Floppy)</v>
      </c>
      <c r="Y43" s="144" t="str">
        <f>IFERROR(INDEX(Расходка[Наименование расходного материала],MATCH(Расходка[№],Поиск_расходки[Индекс8],0)),"")</f>
        <v>Runthrough NS (Floppy)</v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418</v>
      </c>
    </row>
    <row r="44" spans="1:33">
      <c r="A44">
        <v>43</v>
      </c>
      <c r="B44" t="s">
        <v>3</v>
      </c>
      <c r="C44" s="1" t="s">
        <v>459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43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>Runthrough NS Intermediate</v>
      </c>
      <c r="W44" s="144" t="str">
        <f>IFERROR(INDEX(Расходка[Наименование расходного материала],MATCH(Расходка[№],Поиск_расходки[Индекс6],0)),"")</f>
        <v>Runthrough NS Intermediate</v>
      </c>
      <c r="X44" s="144" t="str">
        <f>IFERROR(INDEX(Расходка[Наименование расходного материала],MATCH(Расходка[№],Поиск_расходки[Индекс7],0)),"")</f>
        <v>Runthrough NS Intermediate</v>
      </c>
      <c r="Y44" s="144" t="str">
        <f>IFERROR(INDEX(Расходка[Наименование расходного материала],MATCH(Расходка[№],Поиск_расходки[Индекс8],0)),"")</f>
        <v>Runthrough NS Intermediate</v>
      </c>
      <c r="Z44" s="144" t="str">
        <f>IFERROR(INDEX(Расходка[Наименование расходного материала],MATCH(Расходка[№],Поиск_расходки[Индекс9],0)),"")</f>
        <v>Runthrough NS Intermediate</v>
      </c>
      <c r="AA44" s="144" t="str">
        <f>IFERROR(INDEX(Расходка[Наименование расходного материала],MATCH(Расходка[№],Поиск_расходки[Индекс10],0)),"")</f>
        <v>Runthrough NS Intermediate</v>
      </c>
      <c r="AB44" s="144" t="str">
        <f>IFERROR(INDEX(Расходка[Наименование расходного материала],MATCH(Расходка[№],Поиск_расходки[Индекс11],0)),"")</f>
        <v>Runthrough NS Intermediate</v>
      </c>
      <c r="AC44" s="144" t="str">
        <f>IFERROR(INDEX(Расходка[Наименование расходного материала],MATCH(Расходка[№],Поиск_расходки[Индекс12],0)),"")</f>
        <v>Runthrough NS Intermediate</v>
      </c>
      <c r="AD44" s="144" t="str">
        <f>IFERROR(INDEX(Расходка[Наименование расходного материала],MATCH(Расходка[№],Поиск_расходки[Индекс13],0)),"")</f>
        <v>Runthrough NS Intermediate</v>
      </c>
      <c r="AF44" s="4" t="s">
        <v>6</v>
      </c>
      <c r="AG44" s="4" t="s">
        <v>419</v>
      </c>
    </row>
    <row r="45" spans="1:33">
      <c r="A45">
        <v>44</v>
      </c>
      <c r="B45" t="s">
        <v>3</v>
      </c>
      <c r="C45" s="1" t="s">
        <v>460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44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>Runthrough NS Hypercoat</v>
      </c>
      <c r="W45" s="144" t="str">
        <f>IFERROR(INDEX(Расходка[Наименование расходного материала],MATCH(Расходка[№],Поиск_расходки[Индекс6],0)),"")</f>
        <v>Runthrough NS Hypercoat</v>
      </c>
      <c r="X45" s="144" t="str">
        <f>IFERROR(INDEX(Расходка[Наименование расходного материала],MATCH(Расходка[№],Поиск_расходки[Индекс7],0)),"")</f>
        <v>Runthrough NS Hypercoat</v>
      </c>
      <c r="Y45" s="144" t="str">
        <f>IFERROR(INDEX(Расходка[Наименование расходного материала],MATCH(Расходка[№],Поиск_расходки[Индекс8],0)),"")</f>
        <v>Runthrough NS Hypercoat</v>
      </c>
      <c r="Z45" s="144" t="str">
        <f>IFERROR(INDEX(Расходка[Наименование расходного материала],MATCH(Расходка[№],Поиск_расходки[Индекс9],0)),"")</f>
        <v>Runthrough NS Hypercoat</v>
      </c>
      <c r="AA45" s="144" t="str">
        <f>IFERROR(INDEX(Расходка[Наименование расходного материала],MATCH(Расходка[№],Поиск_расходки[Индекс10],0)),"")</f>
        <v>Runthrough NS Hypercoat</v>
      </c>
      <c r="AB45" s="144" t="str">
        <f>IFERROR(INDEX(Расходка[Наименование расходного материала],MATCH(Расходка[№],Поиск_расходки[Индекс11],0)),"")</f>
        <v>Runthrough NS Hypercoat</v>
      </c>
      <c r="AC45" s="144" t="str">
        <f>IFERROR(INDEX(Расходка[Наименование расходного материала],MATCH(Расходка[№],Поиск_расходки[Индекс12],0)),"")</f>
        <v>Runthrough NS Hypercoat</v>
      </c>
      <c r="AD45" s="144" t="str">
        <f>IFERROR(INDEX(Расходка[Наименование расходного материала],MATCH(Расходка[№],Поиск_расходки[Индекс13],0)),"")</f>
        <v>Runthrough NS Hypercoat</v>
      </c>
      <c r="AF45" s="4" t="s">
        <v>6</v>
      </c>
      <c r="AG45" s="4" t="s">
        <v>420</v>
      </c>
    </row>
    <row r="46" spans="1:33">
      <c r="A46">
        <v>45</v>
      </c>
      <c r="B46" t="s">
        <v>376</v>
      </c>
      <c r="C46" t="s">
        <v>448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45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>Dolphin</v>
      </c>
      <c r="W46" s="144" t="str">
        <f>IFERROR(INDEX(Расходка[Наименование расходного материала],MATCH(Расходка[№],Поиск_расходки[Индекс6],0)),"")</f>
        <v>Dolphin</v>
      </c>
      <c r="X46" s="144" t="str">
        <f>IFERROR(INDEX(Расходка[Наименование расходного материала],MATCH(Расходка[№],Поиск_расходки[Индекс7],0)),"")</f>
        <v>Dolphin</v>
      </c>
      <c r="Y46" s="144" t="str">
        <f>IFERROR(INDEX(Расходка[Наименование расходного материала],MATCH(Расходка[№],Поиск_расходки[Индекс8],0)),"")</f>
        <v>Dolphin</v>
      </c>
      <c r="Z46" s="144" t="str">
        <f>IFERROR(INDEX(Расходка[Наименование расходного материала],MATCH(Расходка[№],Поиск_расходки[Индекс9],0)),"")</f>
        <v>Dolphin</v>
      </c>
      <c r="AA46" s="144" t="str">
        <f>IFERROR(INDEX(Расходка[Наименование расходного материала],MATCH(Расходка[№],Поиск_расходки[Индекс10],0)),"")</f>
        <v>Dolphin</v>
      </c>
      <c r="AB46" s="144" t="str">
        <f>IFERROR(INDEX(Расходка[Наименование расходного материала],MATCH(Расходка[№],Поиск_расходки[Индекс11],0)),"")</f>
        <v>Dolphin</v>
      </c>
      <c r="AC46" s="144" t="str">
        <f>IFERROR(INDEX(Расходка[Наименование расходного материала],MATCH(Расходка[№],Поиск_расходки[Индекс12],0)),"")</f>
        <v>Dolphin</v>
      </c>
      <c r="AD46" s="144" t="str">
        <f>IFERROR(INDEX(Расходка[Наименование расходного материала],MATCH(Расходка[№],Поиск_расходки[Индекс13],0)),"")</f>
        <v>Dolphin</v>
      </c>
      <c r="AF46" s="4" t="s">
        <v>6</v>
      </c>
      <c r="AG46" s="4" t="s">
        <v>434</v>
      </c>
    </row>
    <row r="47" spans="1:33">
      <c r="A47">
        <v>46</v>
      </c>
      <c r="B47" t="s">
        <v>6</v>
      </c>
      <c r="C47" t="s">
        <v>455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46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>DES, Yukon Chrome PC</v>
      </c>
      <c r="W47" s="144" t="str">
        <f>IFERROR(INDEX(Расходка[Наименование расходного материала],MATCH(Расходка[№],Поиск_расходки[Индекс6],0)),"")</f>
        <v>DES, Yukon Chrome PC</v>
      </c>
      <c r="X47" s="144" t="str">
        <f>IFERROR(INDEX(Расходка[Наименование расходного материала],MATCH(Расходка[№],Поиск_расходки[Индекс7],0)),"")</f>
        <v>DES, Yukon Chrome PC</v>
      </c>
      <c r="Y47" s="144" t="str">
        <f>IFERROR(INDEX(Расходка[Наименование расходного материала],MATCH(Расходка[№],Поиск_расходки[Индекс8],0)),"")</f>
        <v>DES, Yukon Chrome PC</v>
      </c>
      <c r="Z47" s="144" t="str">
        <f>IFERROR(INDEX(Расходка[Наименование расходного материала],MATCH(Расходка[№],Поиск_расходки[Индекс9],0)),"")</f>
        <v>DES, Yukon Chrome PC</v>
      </c>
      <c r="AA47" s="144" t="str">
        <f>IFERROR(INDEX(Расходка[Наименование расходного материала],MATCH(Расходка[№],Поиск_расходки[Индекс10],0)),"")</f>
        <v>DES, Yukon Chrome PC</v>
      </c>
      <c r="AB47" s="144" t="str">
        <f>IFERROR(INDEX(Расходка[Наименование расходного материала],MATCH(Расходка[№],Поиск_расходки[Индекс11],0)),"")</f>
        <v>DES, Yukon Chrome PC</v>
      </c>
      <c r="AC47" s="144" t="str">
        <f>IFERROR(INDEX(Расходка[Наименование расходного материала],MATCH(Расходка[№],Поиск_расходки[Индекс12],0)),"")</f>
        <v>DES, Yukon Chrome PC</v>
      </c>
      <c r="AD47" s="144" t="str">
        <f>IFERROR(INDEX(Расходка[Наименование расходного материала],MATCH(Расходка[№],Поиск_расходки[Индекс13],0)),"")</f>
        <v>DES, Yukon Chrome PC</v>
      </c>
      <c r="AF47" s="4" t="s">
        <v>6</v>
      </c>
      <c r="AG47" s="4" t="s">
        <v>421</v>
      </c>
    </row>
    <row r="48" spans="1:33">
      <c r="A48">
        <v>47</v>
      </c>
      <c r="B48" t="s">
        <v>5</v>
      </c>
      <c r="C48" t="s">
        <v>456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47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>SubMarine Rapido, Invatec</v>
      </c>
      <c r="W48" s="144" t="str">
        <f>IFERROR(INDEX(Расходка[Наименование расходного материала],MATCH(Расходка[№],Поиск_расходки[Индекс6],0)),"")</f>
        <v>SubMarine Rapido, Invatec</v>
      </c>
      <c r="X48" s="144" t="str">
        <f>IFERROR(INDEX(Расходка[Наименование расходного материала],MATCH(Расходка[№],Поиск_расходки[Индекс7],0)),"")</f>
        <v>SubMarine Rapido, Invatec</v>
      </c>
      <c r="Y48" s="144" t="str">
        <f>IFERROR(INDEX(Расходка[Наименование расходного материала],MATCH(Расходка[№],Поиск_расходки[Индекс8],0)),"")</f>
        <v>SubMarine Rapido, Invatec</v>
      </c>
      <c r="Z48" s="144" t="str">
        <f>IFERROR(INDEX(Расходка[Наименование расходного материала],MATCH(Расходка[№],Поиск_расходки[Индекс9],0)),"")</f>
        <v>SubMarine Rapido, Invatec</v>
      </c>
      <c r="AA48" s="144" t="str">
        <f>IFERROR(INDEX(Расходка[Наименование расходного материала],MATCH(Расходка[№],Поиск_расходки[Индекс10],0)),"")</f>
        <v>SubMarine Rapido, Invatec</v>
      </c>
      <c r="AB48" s="144" t="str">
        <f>IFERROR(INDEX(Расходка[Наименование расходного материала],MATCH(Расходка[№],Поиск_расходки[Индекс11],0)),"")</f>
        <v>SubMarine Rapido, Invatec</v>
      </c>
      <c r="AC48" s="144" t="str">
        <f>IFERROR(INDEX(Расходка[Наименование расходного материала],MATCH(Расходка[№],Поиск_расходки[Индекс12],0)),"")</f>
        <v>SubMarine Rapido, Invatec</v>
      </c>
      <c r="AD48" s="144" t="str">
        <f>IFERROR(INDEX(Расходка[Наименование расходного материала],MATCH(Расходка[№],Поиск_расходки[Индекс13],0)),"")</f>
        <v>SubMarine Rapido, Invatec</v>
      </c>
      <c r="AF48" s="4" t="s">
        <v>6</v>
      </c>
      <c r="AG48" s="4" t="s">
        <v>435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C54" s="1"/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0</v>
      </c>
      <c r="K54" s="142">
        <f>IF(ISNUMBER(SEARCH('Карта учёта'!$B$19,Расходка[Наименование расходного материала])),MAX($K$1:K53)+1,0)</f>
        <v>0</v>
      </c>
      <c r="L54" s="142">
        <f>IF(ISNUMBER(SEARCH('Карта учёта'!$B$20,Расходка[Наименование расходного материала])),MAX($L$1:L53)+1,0)</f>
        <v>0</v>
      </c>
      <c r="M54" s="142">
        <f>IF(ISNUMBER(SEARCH('Карта учёта'!$B$21,Расходка[Наименование расходного материала])),MAX($M$1:M53)+1,0)</f>
        <v>0</v>
      </c>
      <c r="N54" s="142">
        <f>IF(ISNUMBER(SEARCH('Карта учёта'!$B$22,Расходка[Наименование расходного материала])),MAX($N$1:N53)+1,0)</f>
        <v>0</v>
      </c>
      <c r="O54" s="142">
        <f>IF(ISNUMBER(SEARCH('Карта учёта'!$B$23,Расходка[Наименование расходного материала])),MAX($O$1:O53)+1,0)</f>
        <v>0</v>
      </c>
      <c r="P54" s="142">
        <f>IF(ISNUMBER(SEARCH('Карта учёта'!$B$24,Расходка[Наименование расходного материала])),MAX($P$1:P53)+1,0)</f>
        <v>0</v>
      </c>
      <c r="Q54" s="142">
        <f>IF(ISNUMBER(SEARCH('Карта учёта'!$B$25,Расходка[Наименование расходного материала])),MAX($Q$1:Q53)+1,0)</f>
        <v>0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/>
      </c>
      <c r="X54" s="144" t="str">
        <f>IFERROR(INDEX(Расходка[Наименование расходного материала],MATCH(Расходка[№],Поиск_расходки[Индекс7],0)),"")</f>
        <v/>
      </c>
      <c r="Y54" s="144" t="str">
        <f>IFERROR(INDEX(Расходка[Наименование расходного материала],MATCH(Расходка[№],Поиск_расходки[Индекс8],0)),"")</f>
        <v/>
      </c>
      <c r="Z54" s="144" t="str">
        <f>IFERROR(INDEX(Расходка[Наименование расходного материала],MATCH(Расходка[№],Поиск_расходки[Индекс9],0)),"")</f>
        <v/>
      </c>
      <c r="AA54" s="144" t="str">
        <f>IFERROR(INDEX(Расходка[Наименование расходного материала],MATCH(Расходка[№],Поиск_расходки[Индекс10],0)),"")</f>
        <v/>
      </c>
      <c r="AB54" s="144" t="str">
        <f>IFERROR(INDEX(Расходка[Наименование расходного материала],MATCH(Расходка[№],Поиск_расходки[Индекс11],0)),"")</f>
        <v/>
      </c>
      <c r="AC54" s="144" t="str">
        <f>IFERROR(INDEX(Расходка[Наименование расходного материала],MATCH(Расходка[№],Поиск_расходки[Индекс12],0)),"")</f>
        <v/>
      </c>
      <c r="AD54" s="144" t="str">
        <f>IFERROR(INDEX(Расходка[Наименование расходного материала],MATCH(Расходка[№],Поиск_расходки[Индекс13],0)),"")</f>
        <v/>
      </c>
      <c r="AF54" s="4" t="s">
        <v>6</v>
      </c>
      <c r="AG54" s="4" t="s">
        <v>429</v>
      </c>
    </row>
    <row r="55" spans="1:33">
      <c r="A55">
        <v>54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0</v>
      </c>
      <c r="K55" s="142">
        <f>IF(ISNUMBER(SEARCH('Карта учёта'!$B$19,Расходка[Наименование расходного материала])),MAX($K$1:K54)+1,0)</f>
        <v>0</v>
      </c>
      <c r="L55" s="142">
        <f>IF(ISNUMBER(SEARCH('Карта учёта'!$B$20,Расходка[Наименование расходного материала])),MAX($L$1:L54)+1,0)</f>
        <v>0</v>
      </c>
      <c r="M55" s="142">
        <f>IF(ISNUMBER(SEARCH('Карта учёта'!$B$21,Расходка[Наименование расходного материала])),MAX($M$1:M54)+1,0)</f>
        <v>0</v>
      </c>
      <c r="N55" s="142">
        <f>IF(ISNUMBER(SEARCH('Карта учёта'!$B$22,Расходка[Наименование расходного материала])),MAX($N$1:N54)+1,0)</f>
        <v>0</v>
      </c>
      <c r="O55" s="142">
        <f>IF(ISNUMBER(SEARCH('Карта учёта'!$B$23,Расходка[Наименование расходного материала])),MAX($O$1:O54)+1,0)</f>
        <v>0</v>
      </c>
      <c r="P55" s="142">
        <f>IF(ISNUMBER(SEARCH('Карта учёта'!$B$24,Расходка[Наименование расходного материала])),MAX($P$1:P54)+1,0)</f>
        <v>0</v>
      </c>
      <c r="Q55" s="142">
        <f>IF(ISNUMBER(SEARCH('Карта учёта'!$B$25,Расходка[Наименование расходного материала])),MAX($Q$1:Q54)+1,0)</f>
        <v>0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/>
      </c>
      <c r="X55" s="144" t="str">
        <f>IFERROR(INDEX(Расходка[Наименование расходного материала],MATCH(Расходка[№],Поиск_расходки[Индекс7],0)),"")</f>
        <v/>
      </c>
      <c r="Y55" s="144" t="str">
        <f>IFERROR(INDEX(Расходка[Наименование расходного материала],MATCH(Расходка[№],Поиск_расходки[Индекс8],0)),"")</f>
        <v/>
      </c>
      <c r="Z55" s="144" t="str">
        <f>IFERROR(INDEX(Расходка[Наименование расходного материала],MATCH(Расходка[№],Поиск_расходки[Индекс9],0)),"")</f>
        <v/>
      </c>
      <c r="AA55" s="144" t="str">
        <f>IFERROR(INDEX(Расходка[Наименование расходного материала],MATCH(Расходка[№],Поиск_расходки[Индекс10],0)),"")</f>
        <v/>
      </c>
      <c r="AB55" s="144" t="str">
        <f>IFERROR(INDEX(Расходка[Наименование расходного материала],MATCH(Расходка[№],Поиск_расходки[Индекс11],0)),"")</f>
        <v/>
      </c>
      <c r="AC55" s="144" t="str">
        <f>IFERROR(INDEX(Расходка[Наименование расходного материала],MATCH(Расходка[№],Поиск_расходки[Индекс12],0)),"")</f>
        <v/>
      </c>
      <c r="AD55" s="144" t="str">
        <f>IFERROR(INDEX(Расходка[Наименование расходного материала],MATCH(Расходка[№],Поиск_расходки[Индекс13],0)),"")</f>
        <v/>
      </c>
      <c r="AF55" s="4" t="s">
        <v>6</v>
      </c>
      <c r="AG55" s="4" t="s">
        <v>173</v>
      </c>
    </row>
    <row r="56" spans="1:33">
      <c r="A56">
        <v>55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0</v>
      </c>
      <c r="K56" s="142">
        <f>IF(ISNUMBER(SEARCH('Карта учёта'!$B$19,Расходка[Наименование расходного материала])),MAX($K$1:K55)+1,0)</f>
        <v>0</v>
      </c>
      <c r="L56" s="142">
        <f>IF(ISNUMBER(SEARCH('Карта учёта'!$B$20,Расходка[Наименование расходного материала])),MAX($L$1:L55)+1,0)</f>
        <v>0</v>
      </c>
      <c r="M56" s="142">
        <f>IF(ISNUMBER(SEARCH('Карта учёта'!$B$21,Расходка[Наименование расходного материала])),MAX($M$1:M55)+1,0)</f>
        <v>0</v>
      </c>
      <c r="N56" s="142">
        <f>IF(ISNUMBER(SEARCH('Карта учёта'!$B$22,Расходка[Наименование расходного материала])),MAX($N$1:N55)+1,0)</f>
        <v>0</v>
      </c>
      <c r="O56" s="142">
        <f>IF(ISNUMBER(SEARCH('Карта учёта'!$B$23,Расходка[Наименование расходного материала])),MAX($O$1:O55)+1,0)</f>
        <v>0</v>
      </c>
      <c r="P56" s="142">
        <f>IF(ISNUMBER(SEARCH('Карта учёта'!$B$24,Расходка[Наименование расходного материала])),MAX($P$1:P55)+1,0)</f>
        <v>0</v>
      </c>
      <c r="Q56" s="142">
        <f>IF(ISNUMBER(SEARCH('Карта учёта'!$B$25,Расходка[Наименование расходного материала])),MAX($Q$1:Q55)+1,0)</f>
        <v>0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/>
      </c>
      <c r="X56" s="144" t="str">
        <f>IFERROR(INDEX(Расходка[Наименование расходного материала],MATCH(Расходка[№],Поиск_расходки[Индекс7],0)),"")</f>
        <v/>
      </c>
      <c r="Y56" s="144" t="str">
        <f>IFERROR(INDEX(Расходка[Наименование расходного материала],MATCH(Расходка[№],Поиск_расходки[Индекс8],0)),"")</f>
        <v/>
      </c>
      <c r="Z56" s="144" t="str">
        <f>IFERROR(INDEX(Расходка[Наименование расходного материала],MATCH(Расходка[№],Поиск_расходки[Индекс9],0)),"")</f>
        <v/>
      </c>
      <c r="AA56" s="144" t="str">
        <f>IFERROR(INDEX(Расходка[Наименование расходного материала],MATCH(Расходка[№],Поиск_расходки[Индекс10],0)),"")</f>
        <v/>
      </c>
      <c r="AB56" s="144" t="str">
        <f>IFERROR(INDEX(Расходка[Наименование расходного материала],MATCH(Расходка[№],Поиск_расходки[Индекс11],0)),"")</f>
        <v/>
      </c>
      <c r="AC56" s="144" t="str">
        <f>IFERROR(INDEX(Расходка[Наименование расходного материала],MATCH(Расходка[№],Поиск_расходки[Индекс12],0)),"")</f>
        <v/>
      </c>
      <c r="AD56" s="144" t="str">
        <f>IFERROR(INDEX(Расходка[Наименование расходного материала],MATCH(Расходка[№],Поиск_расходки[Индекс13],0)),"")</f>
        <v/>
      </c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425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430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436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56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369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441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440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370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368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445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369</v>
      </c>
      <c r="B41" t="s">
        <v>323</v>
      </c>
    </row>
    <row r="42" spans="1:2">
      <c r="A42" t="s">
        <v>369</v>
      </c>
      <c r="B42" t="s">
        <v>324</v>
      </c>
    </row>
    <row r="43" spans="1:2">
      <c r="A43" t="s">
        <v>369</v>
      </c>
      <c r="B43" t="s">
        <v>325</v>
      </c>
    </row>
    <row r="44" spans="1:2">
      <c r="A44" t="s">
        <v>369</v>
      </c>
      <c r="B44" t="s">
        <v>240</v>
      </c>
    </row>
    <row r="45" spans="1:2">
      <c r="A45" t="s">
        <v>369</v>
      </c>
      <c r="B45" t="s">
        <v>321</v>
      </c>
    </row>
    <row r="46" spans="1:2">
      <c r="A46" t="s">
        <v>369</v>
      </c>
      <c r="B46" t="s">
        <v>332</v>
      </c>
    </row>
    <row r="47" spans="1:2">
      <c r="A47" t="s">
        <v>369</v>
      </c>
      <c r="B47" t="s">
        <v>239</v>
      </c>
    </row>
    <row r="48" spans="1:2">
      <c r="A48" t="s">
        <v>369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422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2022-10-13T03:44:02Z</cp:lastPrinted>
  <dcterms:created xsi:type="dcterms:W3CDTF">2015-06-05T18:19:34Z</dcterms:created>
  <dcterms:modified xsi:type="dcterms:W3CDTF">2022-10-13T03:44:04Z</dcterms:modified>
</cp:coreProperties>
</file>