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1\08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M15" i="1"/>
  <c r="L13" i="1"/>
  <c r="L14" i="1" s="1"/>
  <c r="L15" i="1" s="1"/>
  <c r="K12" i="1"/>
  <c r="P59" i="1" l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N18" i="1"/>
  <c r="L17" i="1"/>
  <c r="K15" i="1"/>
  <c r="K16" i="1" s="1"/>
  <c r="K17" i="1" s="1"/>
  <c r="G15" i="1"/>
  <c r="J19" i="1" l="1"/>
  <c r="J20" i="1" s="1"/>
  <c r="J21" i="1" s="1"/>
  <c r="AD56" i="1"/>
  <c r="Q61" i="1"/>
  <c r="AD60" i="1"/>
  <c r="AD62" i="1"/>
  <c r="AD57" i="1"/>
  <c r="AD61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AD63" i="1" l="1"/>
  <c r="Q62" i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B59" i="1" l="1"/>
  <c r="O61" i="1"/>
  <c r="AB62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AB63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L25" i="1" l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V2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T22" i="1"/>
  <c r="T29" i="1"/>
  <c r="T49" i="1"/>
  <c r="M51" i="1"/>
  <c r="M52" i="1" s="1"/>
  <c r="M53" i="1" s="1"/>
  <c r="L50" i="1"/>
  <c r="T43" i="1" l="1"/>
  <c r="T55" i="1"/>
  <c r="T9" i="1"/>
  <c r="T35" i="1"/>
  <c r="T45" i="1"/>
  <c r="T5" i="1"/>
  <c r="T24" i="1"/>
  <c r="T60" i="1"/>
  <c r="T11" i="1"/>
  <c r="T6" i="1"/>
  <c r="T44" i="1"/>
  <c r="T23" i="1"/>
  <c r="T30" i="1"/>
  <c r="T18" i="1"/>
  <c r="T34" i="1"/>
  <c r="T53" i="1"/>
  <c r="T61" i="1"/>
  <c r="T27" i="1"/>
  <c r="T50" i="1"/>
  <c r="T56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<sst xmlns="http://schemas.openxmlformats.org/spreadsheetml/2006/main" count="799" uniqueCount="495">
  <si>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</si>
  <si>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</si>
  <si>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</si>
  <si>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</si>
  <si>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</si>
  <si>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</si>
  <si>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</si>
  <si>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</si>
  <si>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</si>
  <si>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</si>
  <si>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</si>
  <si>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</si>
  <si>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</si>
  <si>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</si>
  <si>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</si>
  <si>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</si>
  <si>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</si>
  <si>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</si>
  <si>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</si>
  <si>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</si>
  <si>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</si>
  <si>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</si>
  <si>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</si>
  <si>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</si>
  <si>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</si>
  <si>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</si>
  <si>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</si>
  <si>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</si>
  <si>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</si>
  <si>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</si>
  <si>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</si>
  <si>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</si>
  <si>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</si>
  <si>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</si>
  <si>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</si>
  <si>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</si>
  <si>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</si>
  <si>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</si>
  <si>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</si>
  <si>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</si>
  <si>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</si>
  <si>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</si>
  <si>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</si>
  <si>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</si>
  <si>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</si>
  <si>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</si>
  <si>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</si>
  <si>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</si>
  <si>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</si>
  <si>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</si>
  <si>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</si>
  <si>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</si>
  <si>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</si>
  <si>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</si>
  <si>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</si>
  <si>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</si>
  <si>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</si>
  <si>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</si>
  <si>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</si>
  <si>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</si>
  <si>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</si>
  <si>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</si>
  <si>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</si>
  <si>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</si>
  <si>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</si>
  <si>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</si>
  <si>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</si>
  <si>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</si>
  <si>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</si>
  <si>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</si>
  <si>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</si>
  <si>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</si>
  <si>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</si>
  <si>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</si>
  <si>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</si>
  <si>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</si>
  <si>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</si>
  <si>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</si>
  <si>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</si>
  <si>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</si>
  <si>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</si>
  <si>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</si>
  <si>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</si>
  <si>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</si>
  <si>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</si>
  <si>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</si>
  <si>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</si>
  <si>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</si>
  <si>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</si>
  <si>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</si>
  <si>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</si>
  <si>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</si>
  <si>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</si>
  <si>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</si>
  <si>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</si>
  <si>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</si>
  <si>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</si>
  <si>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</si>
  <si>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</si>
  <si>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</si>
  <si>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</si>
  <si>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</si>
  <si>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</si>
  <si>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</si>
  <si>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</si>
  <si>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</si>
  <si>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</si>
  <si>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</si>
  <si>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</si>
  <si>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</si>
  <si>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</si>
  <si>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</si>
  <si>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</si>
  <si>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</si>
  <si>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</si>
  <si>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</si>
  <si>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</si>
  <si>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</si>
  <si>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</si>
  <si>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</si>
  <si>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</si>
  <si>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</si>
  <si>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</si>
  <si>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</si>
  <si>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</si>
  <si>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</si>
  <si>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</si>
  <si>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</si>
  <si>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</si>
  <si>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</si>
  <si>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</si>
  <si>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</si>
  <si>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</si>
  <si>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</si>
  <si>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</si>
  <si>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</si>
  <si>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</si>
  <si>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</si>
  <si>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</si>
  <si>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</si>
  <si>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</si>
  <si>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</si>
  <si>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</si>
  <si>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</si>
  <si>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</si>
  <si>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</si>
  <si>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</si>
  <si>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</si>
  <si>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</si>
  <si>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</si>
  <si>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</si>
  <si>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</si>
  <si>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</si>
  <si>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</si>
  <si>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</si>
  <si>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</si>
  <si>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</si>
  <si>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</si>
  <si>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</si>
  <si>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</si>
  <si>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</si>
  <si>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</si>
  <si>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</si>
  <si>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</si>
  <si>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</si>
  <si>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</si>
  <si>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</si>
  <si>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</si>
  <si>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</si>
  <si>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</si>
  <si>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</si>
  <si>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</si>
  <si>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</si>
  <si>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</si>
  <si>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</si>
  <si>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</si>
  <si>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</si>
  <si>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</si>
  <si>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</si>
  <si>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</si>
  <si>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</si>
  <si>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</si>
  <si>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</si>
  <si>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</si>
  <si>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</si>
  <si>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</si>
  <si>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</si>
  <si>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</si>
  <si>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</si>
  <si>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</si>
  <si>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</si>
  <si>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</si>
  <si>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</si>
  <si>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</si>
  <si>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</si>
  <si>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</si>
  <si>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</si>
  <si>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</si>
  <si>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</si>
  <si>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</si>
  <si>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</si>
  <si>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</si>
  <si>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</si>
  <si>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</si>
  <si>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</si>
  <si>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</si>
  <si>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</si>
  <si>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</si>
  <si>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</si>
  <si>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</si>
  <si>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</si>
  <si>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</si>
  <si>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</si>
  <si>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</si>
  <si>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</si>
  <si>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</si>
  <si>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</si>
  <si>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</si>
  <si>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</si>
  <si>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</si>
  <si>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</si>
  <si>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</si>
  <si>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</si>
  <si>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</si>
  <si>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</si>
  <si>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</si>
  <si>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</si>
  <si>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</si>
  <si>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</si>
  <si>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</si>
  <si>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</si>
  <si>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</si>
  <si>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</si>
  <si>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</si>
  <si>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</si>
  <si>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</si>
  <si>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</si>
  <si>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</si>
  <si>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</si>
  <si>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</si>
  <si>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</si>
  <si>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</si>
  <si>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</si>
  <si>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</si>
  <si>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</si>
  <si>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</si>
  <si>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</si>
  <si>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</si>
  <si>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</si>
  <si>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</si>
  <si>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</si>
  <si>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</si>
  <si>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</si>
  <si>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</si>
  <si>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</si>
  <si>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</si>
  <si>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</si>
  <si>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</si>
  <si>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</si>
  <si>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</si>
  <si>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</si>
  <si>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</si>
  <si>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</si>
  <si>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</si>
  <si>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</si>
  <si>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</si>
  <si>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</si>
  <si>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</si>
  <si>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</si>
  <si>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</si>
  <si>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</si>
  <si>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</si>
  <si>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</si>
  <si>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</si>
  <si>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</si>
  <si>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</si>
  <si>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</si>
  <si>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</si>
  <si>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</si>
  <si>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</si>
  <si>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</si>
  <si>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</si>
  <si>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</si>
  <si>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</si>
  <si>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</si>
  <si>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</si>
  <si>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</si>
  <si>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</si>
  <si>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</si>
  <si>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</si>
  <si>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</si>
  <si>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</si>
  <si>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</si>
  <si>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</si>
  <si>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</si>
  <si>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</si>
  <si>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</si>
  <si>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</si>
  <si>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</si>
  <si>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</si>
  <si>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</si>
  <si>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</si>
  <si>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</si>
  <si>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</si>
  <si>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</si>
  <si>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</si>
  <si>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</si>
  <si>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</si>
  <si>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</si>
  <si>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</si>
  <si>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</si>
  <si>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</si>
  <si>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</si>
  <si>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</si>
  <si>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</si>
  <si>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</si>
  <si>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</si>
  <si>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</si>
  <si>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</si>
  <si>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</si>
  <si>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</si>
  <si>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</si>
  <si>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</si>
  <si>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</si>
  <si>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</si>
  <si>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</si>
  <si>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</si>
  <si>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</si>
  <si>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</si>
  <si>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</si>
  <si>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</si>
  <si>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</si>
  <si>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</si>
  <si>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</si>
  <si>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</si>
  <si>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</si>
  <si>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</si>
  <si>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</si>
  <si>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</si>
  <si>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</si>
  <si>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</si>
  <si>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</si>
  <si>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</si>
  <si>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</si>
  <si>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</si>
  <si>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</si>
  <si>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</si>
  <si>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</si>
  <si>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</si>
  <si>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</si>
  <si>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</si>
  <si>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</si>
  <si>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</si>
  <si>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</si>
  <si>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</si>
  <si>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</si>
  <si>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</si>
  <si>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</si>
  <si>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</si>
  <si>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</si>
  <si>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</si>
  <si>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</si>
  <si>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</si>
  <si>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</si>
  <si>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</si>
  <si>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</si>
  <si>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</si>
  <si>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</si>
  <si>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</si>
  <si>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</si>
  <si>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</si>
  <si>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</si>
  <si>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</si>
  <si>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</si>
  <si>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</si>
  <si>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</si>
  <si>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</si>
  <si>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</si>
  <si>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</si>
  <si>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</si>
  <si>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</si>
  <si>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</si>
  <si>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</si>
  <si>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</si>
  <si>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</si>
  <si>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</si>
  <si>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</si>
  <si>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</si>
  <si>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</si>
  <si>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</si>
  <si>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</si>
  <si>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</si>
  <si>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</si>
  <si>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</si>
  <si>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</si>
  <si>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</si>
  <si>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</si>
  <si>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</si>
  <si>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</si>
  <si>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</si>
  <si>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</si>
  <si>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</si>
  <si>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</si>
  <si>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</si>
  <si>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</si>
  <si>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</si>
  <si>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</si>
  <si>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</si>
  <si>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</si>
  <si>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</si>
  <si>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</si>
  <si>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</si>
  <si>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</si>
  <si>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</si>
  <si>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</si>
  <si>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</si>
  <si>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</si>
  <si>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</si>
  <si>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</si>
  <si>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</si>
  <si>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</si>
  <si>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</si>
  <si>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</si>
  <si>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</si>
  <si>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</si>
  <si>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</si>
  <si>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</si>
  <si>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</si>
  <si>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</si>
  <si>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</si>
  <si>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</si>
  <si>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</si>
  <si>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</si>
  <si>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</si>
  <si>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</si>
  <si>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</si>
  <si>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</si>
  <si>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</si>
  <si>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</si>
  <si>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</si>
  <si>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</si>
  <si>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</si>
  <si>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</si>
  <si>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</si>
  <si>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</si>
  <si>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</si>
  <si>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</si>
  <si>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</si>
  <si>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</si>
  <si>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</si>
  <si>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</si>
  <si>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</si>
  <si>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</si>
  <si>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</si>
  <si>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</si>
  <si>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</si>
  <si>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</si>
  <si>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</si>
  <si>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</si>
  <si>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</si>
  <si>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</si>
  <si>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</si>
  <si>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</si>
  <si>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</si>
  <si>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</si>
  <si>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</si>
  <si>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</si>
  <si>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</si>
  <si>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</si>
  <si>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</si>
  <si>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</si>
  <si>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</si>
  <si>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</si>
  <si>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</si>
  <si>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</si>
  <si>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</si>
  <si>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</si>
  <si>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</si>
  <si>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</si>
  <si>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Resolute Onyx</t>
  </si>
  <si>
    <t>Колибри</t>
  </si>
  <si>
    <t>Lepu Medical</t>
  </si>
  <si>
    <t>50 ml</t>
  </si>
  <si>
    <t xml:space="preserve">Заведующий отделения: Д.В. Карчевский </t>
  </si>
  <si>
    <t>Sion Black</t>
  </si>
  <si>
    <t>Левый</t>
  </si>
  <si>
    <t>150 ml</t>
  </si>
  <si>
    <t>Ерёмин В.Н.</t>
  </si>
  <si>
    <t>11:42</t>
  </si>
  <si>
    <t>стеноз дист/30%.</t>
  </si>
  <si>
    <t xml:space="preserve">Артерия крупная. Неровности контуров устья и проксимального сегмента. Стеноз проксисмальной трети крупной ВТК 30%. Антеградный кровоток кровоток TIMI III. </t>
  </si>
  <si>
    <r>
      <rPr>
        <b/>
        <i/>
        <sz val="9"/>
        <color theme="1"/>
        <rFont val="Calibri"/>
        <family val="2"/>
        <charset val="204"/>
        <scheme val="minor"/>
      </rPr>
      <t>гипоплазирован, проходим, контуры ровные.</t>
    </r>
    <r>
      <rPr>
        <sz val="9"/>
        <color theme="1"/>
        <rFont val="Calibri"/>
        <family val="2"/>
        <charset val="204"/>
        <scheme val="minor"/>
      </rPr>
      <t xml:space="preserve">  Антеградный кровоток TIMI III.</t>
    </r>
  </si>
  <si>
    <t xml:space="preserve">субокклюзирующий стеноз устья 95%, неровности контуров проксимального сегмента, на границе проксимального и среднего сегментов стеноз 30%, неровности контуров среднего сегмента. Антеградный кровоток IMI II. </t>
  </si>
  <si>
    <t>С учётом клинических данных совместно с деж.кардиологом принято решение  о выполнении экстренной реваскуляризации ПНА. С учётом характера поражения ПНА и угла отхождения принято решение в пользу стентирования пна из ствола ЛКА.</t>
  </si>
  <si>
    <t>Устье ствола ЛКА катетеризировано проводниковым катетером Launcher JL 3.5 7Fr. Коронарный проводник Sion Blue заведен в дистальный сегмент ПНА, Sion Black в малую ИМА. В ствол ЛКА с полным покрытием устья и частичным покрытием проксимального сегмента позиционирован и имплантирован DES Resolute Integrity 4,0-15 мм, давлением 14 атм. Выполнена оптимизация стента в зоне бифуркациии и ствола ЛКА БК NC Euphora 5.0-8, давлением 14 атм. На контрольных съёмках  антеградный кровоток по ПНА полностью  восстановлен, TIMI III, диссекции и признаков тромбирования не определяется. Ангиографический оптимальный,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</si>
</sst>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9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17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49" fontId="57" fillId="0" borderId="26" xfId="0" applyNumberFormat="1" applyFont="1" applyBorder="1" applyAlignment="1" applyProtection="1">
      <alignment horizontal="center" vertical="center"/>
      <protection locked="0"/>
    </xf>
    <xf numFmtId="49" fontId="57" fillId="0" borderId="25" xfId="0" applyNumberFormat="1" applyFont="1" applyBorder="1" applyAlignment="1" applyProtection="1">
      <alignment horizontal="center" vertical="center"/>
      <protection locked="0"/>
    </xf>
    <xf numFmtId="49" fontId="57" fillId="0" borderId="25" xfId="0" applyNumberFormat="1" applyFont="1" applyFill="1" applyBorder="1" applyAlignment="1" applyProtection="1">
      <alignment horizontal="center" vertical="center"/>
      <protection locked="0"/>
    </xf>
    <xf numFmtId="49" fontId="57" fillId="0" borderId="3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5">
  <tableColumns count="4">
    <tableColumn id="1" name="Модель"/>
    <tableColumn id="2" name="Код модели" dataDxfId="34"/>
    <tableColumn id="3" name="Метод"/>
    <tableColumn id="4" name="Код метода" dataDxfId="3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2">
  <sortState ref="AF2:AG57">
    <sortCondition ref="AF2:AF57"/>
    <sortCondition ref="AG2:AG57"/>
  </sortState>
  <tableColumns count="2">
    <tableColumn id="3" name="Тип" dataDxfId="31"/>
    <tableColumn id="1" name="Размеры" dataDxfId="3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9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8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7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6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5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4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3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2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1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20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9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8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7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6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5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4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3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2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1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10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9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8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7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6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5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4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3">
  <autoFilter ref="AI11:AJ15"/>
  <tableColumns count="2">
    <tableColumn id="1" name="Код" dataDxfId="2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1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0"/>
    <tableColumn id="4" name="Количество" dataDxfId="49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8" dataDxfId="47">
  <tableColumns count="2">
    <tableColumn id="1" name="Код ЕНМУ" totalsRowFunction="custom" dataDxfId="46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5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4" tableBorderDxfId="43">
  <tableColumns count="4">
    <tableColumn id="1" name="№" dataDxfId="42"/>
    <tableColumn id="2" name="Код услуги" dataDxfId="41"/>
    <tableColumn id="3" name="Номенклатура мед.услуги" dataDxfId="40"/>
    <tableColumn id="4" name="Рентгенэндоваскулярная диагностика и лечение" dataDxfId="39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8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7">
  <tableColumns count="1">
    <tableColumn id="1" name="Диагноз" dataDxfId="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3" zoomScaleNormal="100" zoomScaleSheetLayoutView="100" zoomScalePageLayoutView="90" workbookViewId="0">
      <selection activeCell="K31" sqref="K3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276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44934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0.72916666666666663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0.73611111111111116</v>
      </c>
      <c r="C10" s="61"/>
      <c r="D10" s="116" t="s">
        <v>235</v>
      </c>
      <c r="E10" s="112"/>
      <c r="F10" s="112"/>
      <c r="G10" s="29" t="s">
        <v>247</v>
      </c>
      <c r="H10" s="31"/>
    </row>
    <row r="11" spans="1:8" ht="18" thickTop="1" thickBot="1">
      <c r="A11" s="106" t="s">
        <v>255</v>
      </c>
      <c r="B11" s="107" t="s">
        <v>487</v>
      </c>
      <c r="C11" s="62"/>
      <c r="D11" s="116" t="s">
        <v>232</v>
      </c>
      <c r="E11" s="112"/>
      <c r="F11" s="112"/>
      <c r="G11" s="29" t="s">
        <v>368</v>
      </c>
      <c r="H11" s="31"/>
    </row>
    <row r="12" spans="1:8" ht="16.5" thickTop="1">
      <c r="A12" s="97" t="s">
        <v>8</v>
      </c>
      <c r="B12" s="98">
        <v>17418</v>
      </c>
      <c r="C12" s="63"/>
      <c r="D12" s="116" t="s">
        <v>369</v>
      </c>
      <c r="E12" s="112"/>
      <c r="F12" s="112"/>
      <c r="G12" s="29" t="s">
        <v>470</v>
      </c>
      <c r="H12" s="31"/>
    </row>
    <row r="13" spans="1:8" ht="15.75">
      <c r="A13" s="20" t="s">
        <v>10</v>
      </c>
      <c r="B13" s="35">
        <f>DATEDIF(B12,B8,"y")</f>
        <v>75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254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383</v>
      </c>
      <c r="C16" s="18"/>
      <c r="D16" s="41"/>
      <c r="E16" s="41"/>
      <c r="F16" s="41"/>
      <c r="G16" s="159" t="s">
        <v>488</v>
      </c>
      <c r="H16" s="117">
        <v>1306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485</v>
      </c>
      <c r="C18" s="18"/>
      <c r="D18" s="33" t="s">
        <v>273</v>
      </c>
      <c r="E18" s="33"/>
      <c r="F18" s="33"/>
      <c r="G18" s="101" t="s">
        <v>252</v>
      </c>
      <c r="H18" s="102" t="s">
        <v>468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45" t="s">
        <v>489</v>
      </c>
      <c r="C20" s="207"/>
      <c r="D20" s="207"/>
      <c r="E20" s="207"/>
      <c r="F20" s="207"/>
      <c r="G20" s="207"/>
      <c r="H20" s="208"/>
    </row>
    <row r="21" spans="1:8">
      <c r="A21" s="66"/>
      <c r="B21" s="209"/>
      <c r="C21" s="209"/>
      <c r="D21" s="209"/>
      <c r="E21" s="209"/>
      <c r="F21" s="209"/>
      <c r="G21" s="209"/>
      <c r="H21" s="210"/>
    </row>
    <row r="22" spans="1:8" ht="15.6" customHeight="1">
      <c r="A22" s="67" t="s">
        <v>334</v>
      </c>
      <c r="B22" s="211" t="s">
        <v>492</v>
      </c>
      <c r="C22" s="211"/>
      <c r="D22" s="211"/>
      <c r="E22" s="211"/>
      <c r="F22" s="211"/>
      <c r="G22" s="211"/>
      <c r="H22" s="212"/>
    </row>
    <row r="23" spans="1:8" ht="14.45" customHeight="1">
      <c r="A23" s="43"/>
      <c r="B23" s="213"/>
      <c r="C23" s="213"/>
      <c r="D23" s="213"/>
      <c r="E23" s="213"/>
      <c r="F23" s="213"/>
      <c r="G23" s="213"/>
      <c r="H23" s="214"/>
    </row>
    <row r="24" spans="1:8" ht="14.45" customHeight="1">
      <c r="A24" s="68"/>
      <c r="B24" s="213"/>
      <c r="C24" s="213"/>
      <c r="D24" s="213"/>
      <c r="E24" s="213"/>
      <c r="F24" s="213"/>
      <c r="G24" s="213"/>
      <c r="H24" s="214"/>
    </row>
    <row r="25" spans="1:8" ht="14.45" customHeight="1">
      <c r="A25" s="43"/>
      <c r="B25" s="213"/>
      <c r="C25" s="213"/>
      <c r="D25" s="213"/>
      <c r="E25" s="213"/>
      <c r="F25" s="213"/>
      <c r="G25" s="213"/>
      <c r="H25" s="214"/>
    </row>
    <row r="26" spans="1:8" ht="14.45" customHeight="1">
      <c r="A26" s="45"/>
      <c r="B26" s="215"/>
      <c r="C26" s="215"/>
      <c r="D26" s="215"/>
      <c r="E26" s="215"/>
      <c r="F26" s="215"/>
      <c r="G26" s="215"/>
      <c r="H26" s="216"/>
    </row>
    <row r="27" spans="1:8" ht="14.45" customHeight="1">
      <c r="A27" s="67" t="s">
        <v>335</v>
      </c>
      <c r="B27" s="211" t="s">
        <v>490</v>
      </c>
      <c r="C27" s="211"/>
      <c r="D27" s="211"/>
      <c r="E27" s="211"/>
      <c r="F27" s="211"/>
      <c r="G27" s="211"/>
      <c r="H27" s="212"/>
    </row>
    <row r="28" spans="1:8" ht="15.6" customHeight="1">
      <c r="A28" s="43"/>
      <c r="B28" s="213"/>
      <c r="C28" s="213"/>
      <c r="D28" s="213"/>
      <c r="E28" s="213"/>
      <c r="F28" s="213"/>
      <c r="G28" s="213"/>
      <c r="H28" s="214"/>
    </row>
    <row r="29" spans="1:8" ht="14.45" customHeight="1">
      <c r="A29" s="43"/>
      <c r="B29" s="213"/>
      <c r="C29" s="213"/>
      <c r="D29" s="213"/>
      <c r="E29" s="213"/>
      <c r="F29" s="213"/>
      <c r="G29" s="213"/>
      <c r="H29" s="214"/>
    </row>
    <row r="30" spans="1:8" ht="14.45" customHeight="1">
      <c r="A30" s="37"/>
      <c r="B30" s="213"/>
      <c r="C30" s="213"/>
      <c r="D30" s="213"/>
      <c r="E30" s="213"/>
      <c r="F30" s="213"/>
      <c r="G30" s="213"/>
      <c r="H30" s="214"/>
    </row>
    <row r="31" spans="1:8" ht="14.45" customHeight="1">
      <c r="A31" s="38"/>
      <c r="B31" s="215"/>
      <c r="C31" s="215"/>
      <c r="D31" s="215"/>
      <c r="E31" s="215"/>
      <c r="F31" s="215"/>
      <c r="G31" s="215"/>
      <c r="H31" s="216"/>
    </row>
    <row r="32" spans="1:8" ht="14.45" customHeight="1">
      <c r="A32" s="67" t="s">
        <v>336</v>
      </c>
      <c r="B32" s="217" t="s">
        <v>491</v>
      </c>
      <c r="C32" s="217"/>
      <c r="D32" s="217"/>
      <c r="E32" s="217"/>
      <c r="F32" s="217"/>
      <c r="G32" s="217"/>
      <c r="H32" s="218"/>
    </row>
    <row r="33" spans="1:8" ht="14.45" customHeight="1">
      <c r="A33" s="43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43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43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151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43"/>
      <c r="B37" s="146"/>
      <c r="C37" s="18"/>
      <c r="D37" s="200" t="str">
        <f>IF($A$6=Вмешательства!$D$3,Вмешательства!$N$2,"")</f>
        <v/>
      </c>
      <c r="E37" s="200"/>
      <c r="F37" s="147"/>
      <c r="G37" s="147"/>
      <c r="H37" s="152"/>
    </row>
    <row r="38" spans="1:8" ht="14.45" customHeight="1">
      <c r="A38" s="43"/>
      <c r="B38" s="146"/>
      <c r="C38" s="153"/>
      <c r="D38" s="201"/>
      <c r="E38" s="202"/>
      <c r="F38" s="202"/>
      <c r="G38" s="202"/>
      <c r="H38" s="203"/>
    </row>
    <row r="39" spans="1:8" ht="14.45" customHeight="1">
      <c r="A39" s="40"/>
      <c r="B39" s="147"/>
      <c r="C39" s="153"/>
      <c r="D39" s="202"/>
      <c r="E39" s="202"/>
      <c r="F39" s="202"/>
      <c r="G39" s="202"/>
      <c r="H39" s="203"/>
    </row>
    <row r="40" spans="1:8" ht="14.45" customHeight="1">
      <c r="A40" s="40"/>
      <c r="B40" s="147"/>
      <c r="C40" s="153"/>
      <c r="D40" s="202"/>
      <c r="E40" s="202"/>
      <c r="F40" s="202"/>
      <c r="G40" s="202"/>
      <c r="H40" s="203"/>
    </row>
    <row r="41" spans="1:8" ht="14.45" customHeight="1">
      <c r="A41" s="40"/>
      <c r="B41" s="147"/>
      <c r="C41" s="153"/>
      <c r="D41" s="202"/>
      <c r="E41" s="202"/>
      <c r="F41" s="202"/>
      <c r="G41" s="202"/>
      <c r="H41" s="203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197" t="s">
        <v>493</v>
      </c>
      <c r="E43" s="198"/>
      <c r="F43" s="198"/>
      <c r="G43" s="198"/>
      <c r="H43" s="199"/>
    </row>
    <row r="44" spans="1:8" ht="14.45" customHeight="1">
      <c r="A44" s="40"/>
      <c r="B44" s="147"/>
      <c r="C44" s="155"/>
      <c r="D44" s="198"/>
      <c r="E44" s="198"/>
      <c r="F44" s="198"/>
      <c r="G44" s="198"/>
      <c r="H44" s="199"/>
    </row>
    <row r="45" spans="1:8" ht="14.45" customHeight="1">
      <c r="A45" s="40"/>
      <c r="B45" s="147"/>
      <c r="C45" s="155"/>
      <c r="D45" s="198"/>
      <c r="E45" s="198"/>
      <c r="F45" s="198"/>
      <c r="G45" s="198"/>
      <c r="H45" s="199"/>
    </row>
    <row r="46" spans="1:8">
      <c r="A46" s="40"/>
      <c r="B46" s="147"/>
      <c r="C46" s="155"/>
      <c r="D46" s="198"/>
      <c r="E46" s="198"/>
      <c r="F46" s="198"/>
      <c r="G46" s="198"/>
      <c r="H46" s="199"/>
    </row>
    <row r="47" spans="1:8">
      <c r="A47" s="43"/>
      <c r="B47" s="18"/>
      <c r="C47" s="155"/>
      <c r="D47" s="198"/>
      <c r="E47" s="198"/>
      <c r="F47" s="198"/>
      <c r="G47" s="198"/>
      <c r="H47" s="199"/>
    </row>
    <row r="48" spans="1:8">
      <c r="A48" s="43"/>
      <c r="B48" s="18"/>
      <c r="C48" s="155"/>
      <c r="D48" s="198"/>
      <c r="E48" s="198"/>
      <c r="F48" s="198"/>
      <c r="G48" s="198"/>
      <c r="H48" s="199"/>
    </row>
    <row r="49" spans="1:13">
      <c r="A49" s="45"/>
      <c r="B49" s="36"/>
      <c r="C49" s="156"/>
      <c r="D49" s="198"/>
      <c r="E49" s="198"/>
      <c r="F49" s="198"/>
      <c r="G49" s="198"/>
      <c r="H49" s="199"/>
    </row>
    <row r="50" spans="1:13">
      <c r="A50" s="43"/>
      <c r="B50" s="18"/>
      <c r="C50" s="18"/>
      <c r="D50" s="198"/>
      <c r="E50" s="198"/>
      <c r="F50" s="198"/>
      <c r="G50" s="198"/>
      <c r="H50" s="199"/>
      <c r="M50" t="s">
        <v>274</v>
      </c>
    </row>
    <row r="51" spans="1:13">
      <c r="A51" s="70" t="s">
        <v>267</v>
      </c>
      <c r="B51" s="71" t="s">
        <v>482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16" zoomScaleNormal="100" zoomScaleSheetLayoutView="100" zoomScalePageLayoutView="90" workbookViewId="0">
      <selection activeCell="J26" sqref="J2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1" t="s">
        <v>271</v>
      </c>
      <c r="B6" s="232"/>
      <c r="C6" s="232"/>
      <c r="D6" s="232"/>
      <c r="E6" s="232"/>
      <c r="F6" s="232"/>
      <c r="G6" s="232"/>
      <c r="H6" s="233"/>
    </row>
    <row r="7" spans="1:8" ht="21.6" customHeight="1">
      <c r="A7" s="231"/>
      <c r="B7" s="232"/>
      <c r="C7" s="232"/>
      <c r="D7" s="232"/>
      <c r="E7" s="232"/>
      <c r="F7" s="232"/>
      <c r="G7" s="232"/>
      <c r="H7" s="233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0" t="s">
        <v>281</v>
      </c>
      <c r="D8" s="230"/>
      <c r="E8" s="230"/>
      <c r="F8" s="83">
        <v>1</v>
      </c>
      <c r="G8" s="145" t="s">
        <v>379</v>
      </c>
      <c r="H8" s="193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30"/>
      <c r="D9" s="230"/>
      <c r="E9" s="230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30"/>
      <c r="D10" s="230"/>
      <c r="E10" s="230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44934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0.73611111111111116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0.78472222222222221</v>
      </c>
      <c r="C14" s="63"/>
      <c r="D14" s="116" t="s">
        <v>235</v>
      </c>
      <c r="E14" s="112"/>
      <c r="F14" s="112"/>
      <c r="G14" s="96" t="str">
        <f>КАГ!G10</f>
        <v>Щербакова С.М.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86" t="str">
        <f>КАГ!B11</f>
        <v>Ерёмин В.Н.</v>
      </c>
      <c r="C15" s="18"/>
      <c r="D15" s="116" t="s">
        <v>232</v>
      </c>
      <c r="E15" s="112"/>
      <c r="F15" s="112"/>
      <c r="G15" s="96" t="str">
        <f>КАГ!G11</f>
        <v>Медведева 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17418</v>
      </c>
      <c r="C16" s="18"/>
      <c r="D16" s="116" t="s">
        <v>369</v>
      </c>
      <c r="E16" s="112"/>
      <c r="F16" s="112"/>
      <c r="G16" s="96" t="str">
        <f>КАГ!G12</f>
        <v>Фисура О.И.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75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254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11:42</v>
      </c>
      <c r="H20" s="118">
        <f>КАГ!H16</f>
        <v>1306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37" t="s">
        <v>494</v>
      </c>
      <c r="B23" s="238"/>
      <c r="C23" s="238"/>
      <c r="D23" s="238"/>
      <c r="E23" s="238"/>
      <c r="F23" s="238"/>
      <c r="G23" s="238"/>
      <c r="H23" s="239"/>
    </row>
    <row r="24" spans="1:8" ht="14.45" customHeight="1">
      <c r="A24" s="240"/>
      <c r="B24" s="238"/>
      <c r="C24" s="238"/>
      <c r="D24" s="238"/>
      <c r="E24" s="238"/>
      <c r="F24" s="238"/>
      <c r="G24" s="238"/>
      <c r="H24" s="239"/>
    </row>
    <row r="25" spans="1:8" ht="14.45" customHeight="1">
      <c r="A25" s="240"/>
      <c r="B25" s="238"/>
      <c r="C25" s="238"/>
      <c r="D25" s="238"/>
      <c r="E25" s="238"/>
      <c r="F25" s="238"/>
      <c r="G25" s="238"/>
      <c r="H25" s="239"/>
    </row>
    <row r="26" spans="1:8" ht="14.45" customHeight="1">
      <c r="A26" s="240"/>
      <c r="B26" s="238"/>
      <c r="C26" s="238"/>
      <c r="D26" s="238"/>
      <c r="E26" s="238"/>
      <c r="F26" s="238"/>
      <c r="G26" s="238"/>
      <c r="H26" s="239"/>
    </row>
    <row r="27" spans="1:8" ht="14.45" customHeight="1">
      <c r="A27" s="240"/>
      <c r="B27" s="238"/>
      <c r="C27" s="238"/>
      <c r="D27" s="238"/>
      <c r="E27" s="238"/>
      <c r="F27" s="238"/>
      <c r="G27" s="238"/>
      <c r="H27" s="239"/>
    </row>
    <row r="28" spans="1:8" ht="14.45" customHeight="1">
      <c r="A28" s="240"/>
      <c r="B28" s="238"/>
      <c r="C28" s="238"/>
      <c r="D28" s="238"/>
      <c r="E28" s="238"/>
      <c r="F28" s="238"/>
      <c r="G28" s="238"/>
      <c r="H28" s="239"/>
    </row>
    <row r="29" spans="1:8" ht="14.45" customHeight="1">
      <c r="A29" s="240"/>
      <c r="B29" s="238"/>
      <c r="C29" s="238"/>
      <c r="D29" s="238"/>
      <c r="E29" s="238"/>
      <c r="F29" s="238"/>
      <c r="G29" s="238"/>
      <c r="H29" s="239"/>
    </row>
    <row r="30" spans="1:8" ht="14.45" customHeight="1">
      <c r="A30" s="240"/>
      <c r="B30" s="238"/>
      <c r="C30" s="238"/>
      <c r="D30" s="238"/>
      <c r="E30" s="238"/>
      <c r="F30" s="238"/>
      <c r="G30" s="238"/>
      <c r="H30" s="239"/>
    </row>
    <row r="31" spans="1:8" ht="14.45" customHeight="1">
      <c r="A31" s="240"/>
      <c r="B31" s="238"/>
      <c r="C31" s="238"/>
      <c r="D31" s="238"/>
      <c r="E31" s="238"/>
      <c r="F31" s="238"/>
      <c r="G31" s="238"/>
      <c r="H31" s="239"/>
    </row>
    <row r="32" spans="1:8" ht="14.45" customHeight="1">
      <c r="A32" s="240"/>
      <c r="B32" s="238"/>
      <c r="C32" s="238"/>
      <c r="D32" s="238"/>
      <c r="E32" s="238"/>
      <c r="F32" s="238"/>
      <c r="G32" s="238"/>
      <c r="H32" s="239"/>
    </row>
    <row r="33" spans="1:12" ht="14.45" customHeight="1">
      <c r="A33" s="240"/>
      <c r="B33" s="238"/>
      <c r="C33" s="238"/>
      <c r="D33" s="238"/>
      <c r="E33" s="238"/>
      <c r="F33" s="238"/>
      <c r="G33" s="238"/>
      <c r="H33" s="239"/>
    </row>
    <row r="34" spans="1:12" ht="14.45" customHeight="1">
      <c r="A34" s="240"/>
      <c r="B34" s="238"/>
      <c r="C34" s="238"/>
      <c r="D34" s="238"/>
      <c r="E34" s="238"/>
      <c r="F34" s="238"/>
      <c r="G34" s="238"/>
      <c r="H34" s="239"/>
    </row>
    <row r="35" spans="1:12" ht="14.45" customHeight="1">
      <c r="A35" s="240"/>
      <c r="B35" s="238"/>
      <c r="C35" s="238"/>
      <c r="D35" s="238"/>
      <c r="E35" s="238"/>
      <c r="F35" s="238"/>
      <c r="G35" s="238"/>
      <c r="H35" s="239"/>
    </row>
    <row r="36" spans="1:12" ht="14.45" customHeight="1">
      <c r="A36" s="240"/>
      <c r="B36" s="238"/>
      <c r="C36" s="238"/>
      <c r="D36" s="238"/>
      <c r="E36" s="238"/>
      <c r="F36" s="238"/>
      <c r="G36" s="238"/>
      <c r="H36" s="239"/>
    </row>
    <row r="37" spans="1:12" ht="14.45" customHeight="1">
      <c r="A37" s="240"/>
      <c r="B37" s="238"/>
      <c r="C37" s="238"/>
      <c r="D37" s="238"/>
      <c r="E37" s="238"/>
      <c r="F37" s="238"/>
      <c r="G37" s="238"/>
      <c r="H37" s="239"/>
    </row>
    <row r="38" spans="1:12" ht="14.45" customHeight="1">
      <c r="A38" s="81" t="s">
        <v>463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4" t="s">
        <v>473</v>
      </c>
      <c r="E40" s="235"/>
      <c r="F40" s="235"/>
      <c r="G40" s="235"/>
      <c r="H40" s="236"/>
    </row>
    <row r="41" spans="1:12" ht="14.45" customHeight="1">
      <c r="A41" s="37"/>
      <c r="B41" s="33"/>
      <c r="C41" s="148"/>
      <c r="D41" s="235"/>
      <c r="E41" s="235"/>
      <c r="F41" s="235"/>
      <c r="G41" s="235"/>
      <c r="H41" s="236"/>
    </row>
    <row r="42" spans="1:12" ht="14.45" customHeight="1">
      <c r="A42" s="37"/>
      <c r="B42" s="33"/>
      <c r="C42" s="148"/>
      <c r="D42" s="235"/>
      <c r="E42" s="235"/>
      <c r="F42" s="235"/>
      <c r="G42" s="235"/>
      <c r="H42" s="236"/>
    </row>
    <row r="43" spans="1:12" ht="14.45" customHeight="1">
      <c r="A43" s="37"/>
      <c r="B43" s="33"/>
      <c r="C43" s="148"/>
      <c r="D43" s="235"/>
      <c r="E43" s="235"/>
      <c r="F43" s="235"/>
      <c r="G43" s="235"/>
      <c r="H43" s="236"/>
    </row>
    <row r="44" spans="1:12" ht="14.45" customHeight="1">
      <c r="A44" s="37"/>
      <c r="B44" s="33"/>
      <c r="C44" s="148"/>
      <c r="D44" s="235"/>
      <c r="E44" s="235"/>
      <c r="F44" s="235"/>
      <c r="G44" s="235"/>
      <c r="H44" s="236"/>
      <c r="L44" s="196"/>
    </row>
    <row r="45" spans="1:12" ht="14.45" customHeight="1">
      <c r="A45" s="37"/>
      <c r="B45" s="33"/>
      <c r="C45" s="148"/>
      <c r="D45" s="235"/>
      <c r="E45" s="235"/>
      <c r="F45" s="235"/>
      <c r="G45" s="235"/>
      <c r="H45" s="236"/>
    </row>
    <row r="46" spans="1:12" ht="14.45" customHeight="1">
      <c r="A46" s="37"/>
      <c r="B46" s="33"/>
      <c r="C46" s="148"/>
      <c r="D46" s="235"/>
      <c r="E46" s="235"/>
      <c r="F46" s="235"/>
      <c r="G46" s="235"/>
      <c r="H46" s="236"/>
    </row>
    <row r="47" spans="1:12" ht="14.45" customHeight="1">
      <c r="A47" s="43"/>
      <c r="B47" s="18"/>
      <c r="C47" s="148"/>
      <c r="D47" s="235"/>
      <c r="E47" s="235"/>
      <c r="F47" s="235"/>
      <c r="G47" s="235"/>
      <c r="H47" s="236"/>
    </row>
    <row r="48" spans="1:12" ht="14.45" customHeight="1">
      <c r="A48" s="43"/>
      <c r="B48" s="18"/>
      <c r="C48" s="148"/>
      <c r="D48" s="235"/>
      <c r="E48" s="235"/>
      <c r="F48" s="235"/>
      <c r="G48" s="235"/>
      <c r="H48" s="236"/>
    </row>
    <row r="49" spans="1:8" ht="14.45" customHeight="1">
      <c r="A49" s="43"/>
      <c r="B49" s="18"/>
      <c r="C49" s="148"/>
      <c r="D49" s="235"/>
      <c r="E49" s="235"/>
      <c r="F49" s="235"/>
      <c r="G49" s="235"/>
      <c r="H49" s="236"/>
    </row>
    <row r="50" spans="1:8">
      <c r="A50" s="70" t="s">
        <v>267</v>
      </c>
      <c r="B50" s="71" t="s">
        <v>486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1" t="s">
        <v>475</v>
      </c>
      <c r="B52" s="222"/>
      <c r="C52" s="222"/>
      <c r="D52" s="222"/>
      <c r="E52" s="222"/>
      <c r="F52" s="223"/>
      <c r="G52" s="18"/>
      <c r="H52" s="44"/>
    </row>
    <row r="53" spans="1:8" ht="15" customHeight="1">
      <c r="A53" s="224"/>
      <c r="B53" s="225"/>
      <c r="C53" s="225"/>
      <c r="D53" s="225"/>
      <c r="E53" s="225"/>
      <c r="F53" s="226"/>
      <c r="G53" s="89" t="str">
        <f>IF(ISBLANK(H13),"",H13)</f>
        <v/>
      </c>
      <c r="H53" s="72"/>
    </row>
    <row r="54" spans="1:8">
      <c r="A54" s="227"/>
      <c r="B54" s="228"/>
      <c r="C54" s="228"/>
      <c r="D54" s="228"/>
      <c r="E54" s="228"/>
      <c r="F54" s="229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3" sqref="B23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44934</v>
      </c>
      <c r="C2" s="185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79" t="s">
        <v>258</v>
      </c>
      <c r="B4" s="180" t="s">
        <v>133</v>
      </c>
      <c r="C4" s="181" t="s">
        <v>15</v>
      </c>
      <c r="D4" s="182" t="str">
        <f>КАГ!$B$11</f>
        <v>Ерёмин В.Н.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17418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75</v>
      </c>
    </row>
    <row r="7" spans="1:4">
      <c r="A7" s="43"/>
      <c r="B7" s="18"/>
      <c r="C7" s="124" t="s">
        <v>12</v>
      </c>
      <c r="D7" s="126">
        <f>КАГ!$B$14</f>
        <v>254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3" t="s">
        <v>13</v>
      </c>
      <c r="D10" s="184">
        <f>КАГ!$B$8</f>
        <v>44934</v>
      </c>
    </row>
    <row r="11" spans="1:4">
      <c r="A11" s="32"/>
      <c r="B11" s="136"/>
      <c r="C11" s="136"/>
      <c r="D11" s="137"/>
    </row>
    <row r="12" spans="1:4" ht="18.75" customHeight="1">
      <c r="A12" s="168" t="s">
        <v>410</v>
      </c>
      <c r="B12" s="169" t="s">
        <v>0</v>
      </c>
      <c r="C12" s="169" t="s">
        <v>14</v>
      </c>
      <c r="D12" s="170" t="s">
        <v>128</v>
      </c>
    </row>
    <row r="13" spans="1:4" ht="27.75" customHeight="1">
      <c r="A13" s="17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87" t="s">
        <v>481</v>
      </c>
      <c r="C13" s="241"/>
      <c r="D13" s="172">
        <v>1</v>
      </c>
    </row>
    <row r="14" spans="1:4" ht="27.75" customHeight="1">
      <c r="A14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Интродьюсер </v>
      </c>
      <c r="B14" s="188" t="s">
        <v>413</v>
      </c>
      <c r="C14" s="242"/>
      <c r="D14" s="172">
        <v>1</v>
      </c>
    </row>
    <row r="15" spans="1:4" ht="27.75" customHeight="1">
      <c r="A15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88" t="s">
        <v>416</v>
      </c>
      <c r="C15" s="242"/>
      <c r="D15" s="172">
        <v>1</v>
      </c>
    </row>
    <row r="16" spans="1:4" ht="27.75" customHeight="1">
      <c r="A16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88" t="s">
        <v>387</v>
      </c>
      <c r="C16" s="242" t="s">
        <v>373</v>
      </c>
      <c r="D16" s="172">
        <v>1</v>
      </c>
    </row>
    <row r="17" spans="1:4" ht="27.75" customHeight="1">
      <c r="A17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88" t="s">
        <v>398</v>
      </c>
      <c r="C17" s="242" t="s">
        <v>117</v>
      </c>
      <c r="D17" s="172">
        <v>1</v>
      </c>
    </row>
    <row r="18" spans="1:4" ht="27.75" customHeight="1">
      <c r="A18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8" s="188" t="s">
        <v>476</v>
      </c>
      <c r="C18" s="242"/>
      <c r="D18" s="172">
        <v>1</v>
      </c>
    </row>
    <row r="19" spans="1:4" ht="27.75" customHeight="1">
      <c r="A19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9" s="188" t="s">
        <v>484</v>
      </c>
      <c r="C19" s="242"/>
      <c r="D19" s="172">
        <v>1</v>
      </c>
    </row>
    <row r="20" spans="1:4" ht="27.75" customHeight="1">
      <c r="A20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9"/>
      <c r="C20" s="242"/>
      <c r="D20" s="172"/>
    </row>
    <row r="21" spans="1:4" ht="27.75" customHeight="1">
      <c r="A21" s="17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88"/>
      <c r="C21" s="242"/>
      <c r="D21" s="172"/>
    </row>
    <row r="22" spans="1:4" ht="27.75" customHeight="1">
      <c r="A22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0"/>
      <c r="C22" s="242"/>
      <c r="D22" s="174"/>
    </row>
    <row r="23" spans="1:4" ht="27.75" customHeight="1">
      <c r="A23" s="17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0"/>
      <c r="C23" s="242"/>
      <c r="D23" s="174"/>
    </row>
    <row r="24" spans="1:4" ht="27.75" customHeight="1">
      <c r="A2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0"/>
      <c r="C24" s="243"/>
      <c r="D24" s="174"/>
    </row>
    <row r="25" spans="1:4" ht="27.75" customHeight="1">
      <c r="A25" s="17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1"/>
      <c r="C25" s="244"/>
      <c r="D25" s="178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483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8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0" zoomScaleNormal="100" workbookViewId="0">
      <selection activeCell="C49" sqref="C4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Oscor 7F</v>
      </c>
      <c r="T2" s="139" t="str">
        <f>IFERROR(INDEX(Расходка[Наименование расходного материала],MATCH(Расходка[№],Поиск_расходки[Индекс3],0)),"")</f>
        <v>Launcher 7F JL 3.5</v>
      </c>
      <c r="U2" s="139" t="str">
        <f>IFERROR(INDEX(Расходка[Наименование расходного материала],MATCH(Расходка[№],Поиск_расходки[Индекс4],0)),"")</f>
        <v>NC Accuforce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Sion Blue</v>
      </c>
      <c r="X2" s="139" t="str">
        <f>IFERROR(INDEX(Расходка[Наименование расходного материала],MATCH(Расходка[№],Поиск_расходки[Индекс7],0)),"")</f>
        <v>Sion Black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474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0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1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454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5</v>
      </c>
      <c r="C10" t="s">
        <v>480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175</v>
      </c>
      <c r="AI11" s="2" t="s">
        <v>90</v>
      </c>
      <c r="AJ11" s="195" t="s">
        <v>450</v>
      </c>
      <c r="AM11" t="s">
        <v>378</v>
      </c>
    </row>
    <row r="12" spans="1:39">
      <c r="A12">
        <v>11</v>
      </c>
      <c r="B12" t="s">
        <v>378</v>
      </c>
      <c r="C12" t="s">
        <v>466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462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448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481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417</v>
      </c>
    </row>
    <row r="17" spans="1:33">
      <c r="A17">
        <v>16</v>
      </c>
      <c r="B17" t="s">
        <v>376</v>
      </c>
      <c r="C17" t="s">
        <v>469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414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1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477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t="s">
        <v>478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456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472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455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6</v>
      </c>
      <c r="AG30" s="4" t="s">
        <v>452</v>
      </c>
    </row>
    <row r="31" spans="1:33">
      <c r="A31">
        <v>30</v>
      </c>
      <c r="B31" t="s">
        <v>3</v>
      </c>
      <c r="C31" s="1" t="s">
        <v>447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418</v>
      </c>
    </row>
    <row r="32" spans="1:33">
      <c r="A32">
        <v>31</v>
      </c>
      <c r="B32" t="s">
        <v>3</v>
      </c>
      <c r="C32" s="1" t="s">
        <v>458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429</v>
      </c>
    </row>
    <row r="33" spans="1:33">
      <c r="A33">
        <v>32</v>
      </c>
      <c r="B33" t="s">
        <v>3</v>
      </c>
      <c r="C33" s="1" t="s">
        <v>457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105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160</v>
      </c>
    </row>
    <row r="35" spans="1:33">
      <c r="A35">
        <v>34</v>
      </c>
      <c r="B35" t="s">
        <v>3</v>
      </c>
      <c r="C35" t="s">
        <v>484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1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451</v>
      </c>
    </row>
    <row r="36" spans="1:33">
      <c r="A36">
        <v>35</v>
      </c>
      <c r="B36" t="s">
        <v>3</v>
      </c>
      <c r="C36" s="1" t="s">
        <v>476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1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163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165</v>
      </c>
    </row>
    <row r="38" spans="1:33">
      <c r="A38">
        <v>37</v>
      </c>
      <c r="B38" t="s">
        <v>3</v>
      </c>
      <c r="C38" t="s">
        <v>460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432</v>
      </c>
    </row>
    <row r="39" spans="1:33">
      <c r="A39">
        <v>38</v>
      </c>
      <c r="B39" t="s">
        <v>3</v>
      </c>
      <c r="C39" t="s">
        <v>461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164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433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167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168</v>
      </c>
    </row>
    <row r="43" spans="1:33">
      <c r="A43">
        <v>42</v>
      </c>
      <c r="B43" t="s">
        <v>6</v>
      </c>
      <c r="C43" s="192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419</v>
      </c>
    </row>
    <row r="44" spans="1:33">
      <c r="A44">
        <v>43</v>
      </c>
      <c r="B44" t="s">
        <v>6</v>
      </c>
      <c r="C44" s="192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420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1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421</v>
      </c>
    </row>
    <row r="46" spans="1:33">
      <c r="A46">
        <v>45</v>
      </c>
      <c r="B46" t="s">
        <v>6</v>
      </c>
      <c r="C46" t="s">
        <v>453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435</v>
      </c>
    </row>
    <row r="47" spans="1:33">
      <c r="A47">
        <v>46</v>
      </c>
      <c r="B47" t="s">
        <v>6</v>
      </c>
      <c r="C47" s="194" t="s">
        <v>443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>DES,Firehawk</v>
      </c>
      <c r="Z47" s="144" t="str">
        <f>IFERROR(INDEX(Расходка[Наименование расходного материала],MATCH(Расходка[№],Поиск_расходки[Индекс9],0)),"")</f>
        <v>DES,Firehawk</v>
      </c>
      <c r="AA47" s="144" t="str">
        <f>IFERROR(INDEX(Расходка[Наименование расходного материала],MATCH(Расходка[№],Поиск_расходки[Индекс10],0)),"")</f>
        <v>DES,Firehawk</v>
      </c>
      <c r="AB47" s="144" t="str">
        <f>IFERROR(INDEX(Расходка[Наименование расходного материала],MATCH(Расходка[№],Поиск_расходки[Индекс11],0)),"")</f>
        <v>DES,Firehawk</v>
      </c>
      <c r="AC47" s="144" t="str">
        <f>IFERROR(INDEX(Расходка[Наименование расходного материала],MATCH(Расходка[№],Поиск_расходки[Индекс12],0)),"")</f>
        <v>DES,Firehawk</v>
      </c>
      <c r="AD47" s="144" t="str">
        <f>IFERROR(INDEX(Расходка[Наименование расходного материала],MATCH(Расходка[№],Поиск_расходки[Индекс13],0)),"")</f>
        <v>DES,Firehawk</v>
      </c>
      <c r="AF47" s="4" t="s">
        <v>6</v>
      </c>
      <c r="AG47" s="4" t="s">
        <v>422</v>
      </c>
    </row>
    <row r="48" spans="1:33">
      <c r="A48">
        <v>47</v>
      </c>
      <c r="B48" t="s">
        <v>6</v>
      </c>
      <c r="C48" t="s">
        <v>479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>Resolute Onyx</v>
      </c>
      <c r="Z48" s="144" t="str">
        <f>IFERROR(INDEX(Расходка[Наименование расходного материала],MATCH(Расходка[№],Поиск_расходки[Индекс9],0)),"")</f>
        <v>Resolute Onyx</v>
      </c>
      <c r="AA48" s="144" t="str">
        <f>IFERROR(INDEX(Расходка[Наименование расходного материала],MATCH(Расходка[№],Поиск_расходки[Индекс10],0)),"")</f>
        <v>Resolute Onyx</v>
      </c>
      <c r="AB48" s="144" t="str">
        <f>IFERROR(INDEX(Расходка[Наименование расходного материала],MATCH(Расходка[№],Поиск_расходки[Индекс11],0)),"")</f>
        <v>Resolute Onyx</v>
      </c>
      <c r="AC48" s="144" t="str">
        <f>IFERROR(INDEX(Расходка[Наименование расходного материала],MATCH(Расходка[№],Поиск_расходки[Индекс12],0)),"")</f>
        <v>Resolute Onyx</v>
      </c>
      <c r="AD48" s="144" t="str">
        <f>IFERROR(INDEX(Расходка[Наименование расходного материала],MATCH(Расходка[№],Поиск_расходки[Индекс13],0)),"")</f>
        <v>Resolute Onyx</v>
      </c>
      <c r="AF48" s="4" t="s">
        <v>6</v>
      </c>
      <c r="AG48" s="4" t="s">
        <v>436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175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169</v>
      </c>
    </row>
    <row r="51" spans="1:33">
      <c r="A51">
        <v>50</v>
      </c>
      <c r="B51" t="s">
        <v>4</v>
      </c>
      <c r="C51" t="s">
        <v>444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170</v>
      </c>
    </row>
    <row r="52" spans="1:33">
      <c r="A52">
        <v>51</v>
      </c>
      <c r="B52" t="s">
        <v>4</v>
      </c>
      <c r="C52" t="s">
        <v>445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171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172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430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173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174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0</v>
      </c>
      <c r="J57" s="142">
        <f>IF(ISNUMBER(SEARCH('Карта учёта'!$B$18,Расходка[Наименование расходного материала])),MAX($J$1:J56)+1,0)</f>
        <v>0</v>
      </c>
      <c r="K57" s="142">
        <f>IF(ISNUMBER(SEARCH('Карта учёта'!$B$19,Расходка[Наименование расходного материала])),MAX($K$1:K56)+1,0)</f>
        <v>0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187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111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0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/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112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1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0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/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161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/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176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0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/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166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177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431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178</v>
      </c>
    </row>
    <row r="67" spans="5:33">
      <c r="AF67" s="4" t="s">
        <v>6</v>
      </c>
      <c r="AG67" s="4" t="s">
        <v>179</v>
      </c>
    </row>
    <row r="68" spans="5:33">
      <c r="AF68" s="4" t="s">
        <v>6</v>
      </c>
      <c r="AG68" s="4" t="s">
        <v>186</v>
      </c>
    </row>
    <row r="69" spans="5:33">
      <c r="AF69" s="4" t="s">
        <v>6</v>
      </c>
      <c r="AG69" s="4" t="s">
        <v>116</v>
      </c>
    </row>
    <row r="70" spans="5:33">
      <c r="AF70" s="4" t="s">
        <v>6</v>
      </c>
      <c r="AG70" s="4" t="s">
        <v>117</v>
      </c>
    </row>
    <row r="71" spans="5:33">
      <c r="AF71" s="4" t="s">
        <v>6</v>
      </c>
      <c r="AG71" s="4" t="s">
        <v>180</v>
      </c>
    </row>
    <row r="72" spans="5:33">
      <c r="AF72" s="4" t="s">
        <v>6</v>
      </c>
      <c r="AG72" s="4" t="s">
        <v>181</v>
      </c>
    </row>
    <row r="73" spans="5:33">
      <c r="AF73" s="4" t="s">
        <v>6</v>
      </c>
      <c r="AG73" s="4" t="s">
        <v>182</v>
      </c>
    </row>
    <row r="74" spans="5:33">
      <c r="AF74" s="4" t="s">
        <v>6</v>
      </c>
      <c r="AG74" s="4" t="s">
        <v>183</v>
      </c>
    </row>
    <row r="75" spans="5:33">
      <c r="AF75" s="4" t="s">
        <v>6</v>
      </c>
      <c r="AG75" s="4" t="s">
        <v>184</v>
      </c>
    </row>
    <row r="76" spans="5:33">
      <c r="AF76" s="4" t="s">
        <v>6</v>
      </c>
      <c r="AG76" s="4" t="s">
        <v>185</v>
      </c>
    </row>
    <row r="77" spans="5:33">
      <c r="AF77" s="4" t="s">
        <v>6</v>
      </c>
      <c r="AG77" s="4" t="s">
        <v>371</v>
      </c>
    </row>
    <row r="78" spans="5:33">
      <c r="AF78" s="4" t="s">
        <v>6</v>
      </c>
      <c r="AG78" s="4" t="s">
        <v>120</v>
      </c>
    </row>
    <row r="79" spans="5:33">
      <c r="AF79" s="4" t="s">
        <v>6</v>
      </c>
      <c r="AG79" s="4" t="s">
        <v>121</v>
      </c>
    </row>
    <row r="80" spans="5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464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369</v>
      </c>
      <c r="B52" t="s">
        <v>465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467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2023-01-08T16:09:58Z</cp:lastPrinted>
  <dcterms:created xsi:type="dcterms:W3CDTF">2015-06-05T18:19:34Z</dcterms:created>
  <dcterms:modified xsi:type="dcterms:W3CDTF">2023-01-08T16:11:00Z</dcterms:modified>
</cp:coreProperties>
</file>