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S58" i="1"/>
  <c r="AB38" i="1"/>
  <c r="AB41" i="1"/>
  <c r="AB39" i="1"/>
  <c r="S54" i="1"/>
  <c r="S52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10" i="1" s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65" i="1" l="1"/>
  <c r="T66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<sst xmlns="http://schemas.openxmlformats.org/spreadsheetml/2006/main" count="865" uniqueCount="528">
  <si>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</si>
  <si>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</si>
  <si>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</si>
  <si>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</si>
  <si>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</si>
  <si>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</si>
  <si>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</si>
  <si>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</si>
  <si>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</si>
  <si>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</si>
  <si>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</si>
  <si>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</si>
  <si>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</si>
  <si>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</si>
  <si>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</si>
  <si>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</si>
  <si>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</si>
  <si>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</si>
  <si>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</si>
  <si>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</si>
  <si>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</si>
  <si>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</si>
  <si>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</si>
  <si>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</si>
  <si>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</si>
  <si>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</si>
  <si>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</si>
  <si>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</si>
  <si>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</si>
  <si>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</si>
  <si>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</si>
  <si>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</si>
  <si>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</si>
  <si>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</si>
  <si>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</si>
  <si>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</si>
  <si>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</si>
  <si>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</si>
  <si>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</si>
  <si>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</si>
  <si>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</si>
  <si>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</si>
  <si>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</si>
  <si>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</si>
  <si>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</si>
  <si>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</si>
  <si>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</si>
  <si>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</si>
  <si>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</si>
  <si>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</si>
  <si>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</si>
  <si>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</si>
  <si>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</si>
  <si>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</si>
  <si>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</si>
  <si>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</si>
  <si>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</si>
  <si>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</si>
  <si>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</si>
  <si>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</si>
  <si>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</si>
  <si>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</si>
  <si>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</si>
  <si>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</si>
  <si>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</si>
  <si>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</si>
  <si>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</si>
  <si>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</si>
  <si>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</si>
  <si>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</si>
  <si>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</si>
  <si>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</si>
  <si>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</si>
  <si>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</si>
  <si>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</si>
  <si>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</si>
  <si>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</si>
  <si>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</si>
  <si>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</si>
  <si>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</si>
  <si>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</si>
  <si>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</si>
  <si>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</si>
  <si>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</si>
  <si>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</si>
  <si>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</si>
  <si>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</si>
  <si>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</si>
  <si>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</si>
  <si>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</si>
  <si>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</si>
  <si>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</si>
  <si>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</si>
  <si>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</si>
  <si>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</si>
  <si>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</si>
  <si>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</si>
  <si>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</si>
  <si>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</si>
  <si>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</si>
  <si>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</si>
  <si>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</si>
  <si>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</si>
  <si>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</si>
  <si>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</si>
  <si>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</si>
  <si>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</si>
  <si>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</si>
  <si>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</si>
  <si>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</si>
  <si>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</si>
  <si>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</si>
  <si>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</si>
  <si>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</si>
  <si>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</si>
  <si>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</si>
  <si>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</si>
  <si>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</si>
  <si>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</si>
  <si>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</si>
  <si>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</si>
  <si>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</si>
  <si>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</si>
  <si>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</si>
  <si>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</si>
  <si>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</si>
  <si>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</si>
  <si>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</si>
  <si>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</si>
  <si>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</si>
  <si>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</si>
  <si>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</si>
  <si>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</si>
  <si>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</si>
  <si>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</si>
  <si>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</si>
  <si>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</si>
  <si>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</si>
  <si>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</si>
  <si>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</si>
  <si>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</si>
  <si>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</si>
  <si>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</si>
  <si>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</si>
  <si>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</si>
  <si>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</si>
  <si>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</si>
  <si>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</si>
  <si>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</si>
  <si>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</si>
  <si>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</si>
  <si>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</si>
  <si>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</si>
  <si>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</si>
  <si>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</si>
  <si>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</si>
  <si>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</si>
  <si>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</si>
  <si>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</si>
  <si>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</si>
  <si>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</si>
  <si>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</si>
  <si>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</si>
  <si>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</si>
  <si>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</si>
  <si>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</si>
  <si>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</si>
  <si>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</si>
  <si>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</si>
  <si>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</si>
  <si>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</si>
  <si>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</si>
  <si>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</si>
  <si>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</si>
  <si>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</si>
  <si>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</si>
  <si>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</si>
  <si>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</si>
  <si>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</si>
  <si>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</si>
  <si>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</si>
  <si>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</si>
  <si>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</si>
  <si>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</si>
  <si>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</si>
  <si>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</si>
  <si>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</si>
  <si>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</si>
  <si>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</si>
  <si>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</si>
  <si>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</si>
  <si>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</si>
  <si>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</si>
  <si>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</si>
  <si>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</si>
  <si>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</si>
  <si>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</si>
  <si>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</si>
  <si>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</si>
  <si>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</si>
  <si>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</si>
  <si>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</si>
  <si>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</si>
  <si>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</si>
  <si>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</si>
  <si>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</si>
  <si>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</si>
  <si>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</si>
  <si>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</si>
  <si>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</si>
  <si>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</si>
  <si>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</si>
  <si>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</si>
  <si>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</si>
  <si>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</si>
  <si>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</si>
  <si>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</si>
  <si>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</si>
  <si>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</si>
  <si>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</si>
  <si>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</si>
  <si>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</si>
  <si>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</si>
  <si>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</si>
  <si>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</si>
  <si>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</si>
  <si>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</si>
  <si>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</si>
  <si>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</si>
  <si>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</si>
  <si>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</si>
  <si>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</si>
  <si>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</si>
  <si>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</si>
  <si>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</si>
  <si>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</si>
  <si>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</si>
  <si>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</si>
  <si>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</si>
  <si>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</si>
  <si>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</si>
  <si>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</si>
  <si>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</si>
  <si>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</si>
  <si>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</si>
  <si>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</si>
  <si>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</si>
  <si>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</si>
  <si>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</si>
  <si>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</si>
  <si>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</si>
  <si>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</si>
  <si>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</si>
  <si>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</si>
  <si>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</si>
  <si>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</si>
  <si>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</si>
  <si>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</si>
  <si>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</si>
  <si>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</si>
  <si>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</si>
  <si>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</si>
  <si>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</si>
  <si>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</si>
  <si>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</si>
  <si>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</si>
  <si>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</si>
  <si>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</si>
  <si>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</si>
  <si>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</si>
  <si>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</si>
  <si>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</si>
  <si>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</si>
  <si>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</si>
  <si>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</si>
  <si>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</si>
  <si>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</si>
  <si>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</si>
  <si>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</si>
  <si>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</si>
  <si>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</si>
  <si>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</si>
  <si>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</si>
  <si>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</si>
  <si>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</si>
  <si>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</si>
  <si>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</si>
  <si>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</si>
  <si>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</si>
  <si>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</si>
  <si>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</si>
  <si>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</si>
  <si>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</si>
  <si>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</si>
  <si>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</si>
  <si>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</si>
  <si>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</si>
  <si>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</si>
  <si>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</si>
  <si>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</si>
  <si>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</si>
  <si>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</si>
  <si>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</si>
  <si>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</si>
  <si>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</si>
  <si>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</si>
  <si>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</si>
  <si>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</si>
  <si>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</si>
  <si>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</si>
  <si>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</si>
  <si>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</si>
  <si>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</si>
  <si>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</si>
  <si>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</si>
  <si>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</si>
  <si>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</si>
  <si>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</si>
  <si>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</si>
  <si>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</si>
  <si>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</si>
  <si>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</si>
  <si>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</si>
  <si>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</si>
  <si>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</si>
  <si>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</si>
  <si>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</si>
  <si>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</si>
  <si>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</si>
  <si>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</si>
  <si>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</si>
  <si>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</si>
  <si>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</si>
  <si>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</si>
  <si>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</si>
  <si>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</si>
  <si>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</si>
  <si>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</si>
  <si>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</si>
  <si>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</si>
  <si>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</si>
  <si>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</si>
  <si>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</si>
  <si>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</si>
  <si>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</si>
  <si>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</si>
  <si>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</si>
  <si>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</si>
  <si>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</si>
  <si>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</si>
  <si>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</si>
  <si>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</si>
  <si>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</si>
  <si>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</si>
  <si>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</si>
  <si>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</si>
  <si>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</si>
  <si>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</si>
  <si>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</si>
  <si>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</si>
  <si>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</si>
  <si>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</si>
  <si>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</si>
  <si>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</si>
  <si>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</si>
  <si>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</si>
  <si>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</si>
  <si>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</si>
  <si>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</si>
  <si>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</si>
  <si>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</si>
  <si>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</si>
  <si>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</si>
  <si>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</si>
  <si>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</si>
  <si>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</si>
  <si>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</si>
  <si>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</si>
  <si>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</si>
  <si>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</si>
  <si>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</si>
  <si>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</si>
  <si>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</si>
  <si>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</si>
  <si>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</si>
  <si>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</si>
  <si>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</si>
  <si>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</si>
  <si>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</si>
  <si>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</si>
  <si>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</si>
  <si>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</si>
  <si>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</si>
  <si>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</si>
  <si>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</si>
  <si>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</si>
  <si>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</si>
  <si>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</si>
  <si>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</si>
  <si>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</si>
  <si>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</si>
  <si>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</si>
  <si>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</si>
  <si>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</si>
  <si>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</si>
  <si>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</si>
  <si>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</si>
  <si>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</si>
  <si>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</si>
  <si>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</si>
  <si>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</si>
  <si>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</si>
  <si>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</si>
  <si>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</si>
  <si>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</si>
  <si>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</si>
  <si>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</si>
  <si>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</si>
  <si>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</si>
  <si>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</si>
  <si>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</si>
  <si>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</si>
  <si>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</si>
  <si>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</si>
  <si>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</si>
  <si>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</si>
  <si>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</si>
  <si>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</si>
  <si>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</si>
  <si>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</si>
  <si>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</si>
  <si>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</si>
  <si>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</si>
  <si>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</si>
  <si>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</si>
  <si>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</si>
  <si>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</si>
  <si>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</si>
  <si>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</si>
  <si>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</si>
  <si>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</si>
  <si>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</si>
  <si>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</si>
  <si>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</si>
  <si>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</si>
  <si>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</si>
  <si>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</si>
  <si>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</si>
  <si>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</si>
  <si>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</si>
  <si>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</si>
  <si>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</si>
  <si>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</si>
  <si>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</si>
  <si>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</si>
  <si>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</si>
  <si>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</si>
  <si>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</si>
  <si>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</si>
  <si>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</si>
  <si>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</si>
  <si>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</si>
  <si>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</si>
  <si>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</si>
  <si>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</si>
  <si>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</si>
  <si>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</si>
  <si>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</si>
  <si>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</si>
  <si>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</si>
  <si>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</si>
  <si>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</si>
  <si>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</si>
  <si>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</si>
  <si>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</si>
  <si>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</si>
  <si>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</si>
  <si>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</si>
  <si>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</si>
  <si>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</si>
  <si>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</si>
  <si>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</si>
  <si>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</si>
  <si>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</si>
  <si>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</si>
  <si>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</si>
  <si>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</si>
  <si>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</si>
  <si>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</si>
  <si>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</si>
  <si>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</si>
  <si>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</si>
  <si>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</si>
  <si>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</si>
  <si>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</si>
  <si>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</si>
  <si>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</si>
  <si>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</si>
  <si>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</si>
  <si>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</si>
  <si>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</si>
  <si>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</si>
  <si>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</si>
  <si>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</si>
  <si>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</si>
  <si>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</si>
  <si>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</si>
  <si>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</si>
  <si>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</si>
  <si>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</si>
  <si>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</si>
  <si>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</si>
  <si>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</si>
  <si>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</si>
  <si>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Коллатеральный кровоток: нет</t>
  </si>
  <si>
    <t>Оставлен</t>
  </si>
  <si>
    <t>лучевой</t>
  </si>
  <si>
    <t>Соболева Ю.А.</t>
  </si>
  <si>
    <t>Совместно с д/кардиологом: с учетом клинических данных, ЭКГ и КАГ рекомендована ЧТКА ПНА.</t>
  </si>
  <si>
    <t>"МИМ". Тюмень</t>
  </si>
  <si>
    <t xml:space="preserve">Хохлов В.М. </t>
  </si>
  <si>
    <t>11:57</t>
  </si>
  <si>
    <t xml:space="preserve">неровность контуров проксимального сегмента. Антеградный кровоток TIMI  III.   </t>
  </si>
  <si>
    <t xml:space="preserve">стеноз проксимального сегмента 90%, стеноз проксимальной трети ДВ 50%. TIMI II. </t>
  </si>
  <si>
    <t xml:space="preserve">стенозы среднего сегмента до 50%. TIMI III. </t>
  </si>
  <si>
    <t>Устье ЛКА катетеризировано проводниковым катетером Launcher EBU 3,5 6Fr. Коронарный проводник Fielder заведен в дистальный сегмент ПНА. Выполнена предилатация БК Колибри 2.5-15 мм, давлением 12 атм. В зону остаточного стеноза ПНА  имплантирован  DES  Resolute Integtity 3.0-15 мм, давлением 14 атм. На сьемке определяется линейная диссекция дистальной кромки стента. Зона диссекции  закрыта стентом DES  Resolute Integtity 2.75-18 мм, давлением 11 атм.  На контрольных съемках стенты раскрыты удовлетворительно, признаков диссекций, тромбоза, экстравазации не выявлено. Антеградный кровоток по ПНА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</si>
  <si>
    <t>200 ml</t>
  </si>
  <si>
    <t>без стенотических изменений.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</si>
</sst>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0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25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0.67361111111111116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304</v>
      </c>
      <c r="H11" s="26"/>
    </row>
    <row r="12" spans="1:8" ht="16.5" thickTop="1">
      <c r="A12" s="81" t="s">
        <v>8</v>
      </c>
      <c r="B12" s="82">
        <v>19957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14144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409</v>
      </c>
      <c r="H16" s="168">
        <v>3921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7.4499000000000004</v>
      </c>
    </row>
    <row r="18" spans="1:8" ht="14.45" customHeight="1">
      <c r="A18" s="57" t="s">
        <v>188</v>
      </c>
      <c r="B18" s="87" t="s">
        <v>407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514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518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406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B40" sqref="B4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45077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0.70833333333333337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3.472222222222221E-2</v>
      </c>
      <c r="D15" s="96" t="s">
        <v>170</v>
      </c>
      <c r="E15" s="94"/>
      <c r="F15" s="94"/>
      <c r="G15" s="80" t="str">
        <f>КАГ!G11</f>
        <v>Бородкина С.А.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 xml:space="preserve">Хохлов В.М. 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19957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14144</v>
      </c>
      <c r="C19" s="69"/>
      <c r="D19" s="69"/>
      <c r="E19" s="69"/>
      <c r="F19" s="69"/>
      <c r="G19" s="169" t="s">
        <v>404</v>
      </c>
      <c r="H19" s="184" t="str">
        <f>КАГ!H15</f>
        <v>11:57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409</v>
      </c>
      <c r="H20" s="185">
        <f>КАГ!H16</f>
        <v>3921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7.4499000000000004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1" sqref="H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45077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 xml:space="preserve">Хохлов В.М. 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19957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68</v>
      </c>
    </row>
    <row r="7" spans="1:4">
      <c r="A7" s="38"/>
      <c r="C7" s="102" t="s">
        <v>12</v>
      </c>
      <c r="D7" s="104">
        <f>КАГ!$B$14</f>
        <v>14144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45077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519</v>
      </c>
      <c r="C13" s="191"/>
      <c r="D13" s="142">
        <v>3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2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324</v>
      </c>
      <c r="C15" s="137" t="s">
        <v>456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423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379</v>
      </c>
      <c r="C17" s="137" t="s">
        <v>418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8" t="s">
        <v>328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511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Resolute Integtity</v>
      </c>
      <c r="V2" s="116" t="str">
        <f>IFERROR(INDEX(Расходка[Наименование расходного материала],MATCH(Расходка[№],Поиск_расходки[Индекс5],0)),"")</f>
        <v>Колибри</v>
      </c>
      <c r="W2" s="116" t="str">
        <f>IFERROR(INDEX(Расходка[Наименование расходного материала],MATCH(Расходка[№],Поиск_расходки[Индекс6],0)),"")</f>
        <v>Launcher 6F JL 3.5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1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2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306</v>
      </c>
      <c r="C19" t="s">
        <v>513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Demax</v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Oscor 7F</v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306</v>
      </c>
      <c r="C21" s="1" t="s">
        <v>519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"МИМ". Тюмень</v>
      </c>
      <c r="Y21" s="116" t="str">
        <f>IFERROR(INDEX(Расходка[Наименование расходного материала],MATCH(Расходка[№],Поиск_расходки[Индекс8],0)),"")</f>
        <v>"МИМ". Тюмень</v>
      </c>
      <c r="Z21" s="116" t="str">
        <f>IFERROR(INDEX(Расходка[Наименование расходного материала],MATCH(Расходка[№],Поиск_расходки[Индекс9],0)),"")</f>
        <v>"МИМ". Тюмень</v>
      </c>
      <c r="AA21" s="116" t="str">
        <f>IFERROR(INDEX(Расходка[Наименование расходного материала],MATCH(Расходка[№],Поиск_расходки[Индекс10],0)),"")</f>
        <v>"МИМ". Тюмень</v>
      </c>
      <c r="AB21" s="116" t="str">
        <f>IFERROR(INDEX(Расходка[Наименование расходного материала],MATCH(Расходка[№],Поиск_расходки[Индекс11],0)),"")</f>
        <v>"МИМ". Тюмень</v>
      </c>
      <c r="AC21" s="116" t="str">
        <f>IFERROR(INDEX(Расходка[Наименование расходного материала],MATCH(Расходка[№],Поиск_расходки[Индекс12],0)),"")</f>
        <v>"МИМ". Тюмень</v>
      </c>
      <c r="AD21" s="116" t="str">
        <f>IFERROR(INDEX(Расходка[Наименование расходного материала],MATCH(Расходка[№],Поиск_расходки[Индекс13],0)),"")</f>
        <v>"МИМ". Тюмень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Cougar LS Hydro-Track®</v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Cougar XT Hydro-Track®</v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</v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Fielder XT-A</v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Fielder XT-R</v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Gaia Second</v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Gaia Third</v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Intuition</v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3 Hydro-Track®</v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ProVia 6 Hydro-Track®</v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ProVia 9 Hydro-Track®</v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Rinato</v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(Floppy)</v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Runthrough NS Hypercoat</v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Runthrough NS Intermediate</v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</v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Sion Black</v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Sion Blue</v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Thunder</v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Whisper MS</v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Winn 200T</v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445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418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BMS, Integtity</v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Calipso</v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NanoMed</v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1</v>
      </c>
      <c r="H48" s="117">
        <f>IF(ISNUMBER(SEARCH('Карта учёта'!$B$16,Расходка[Наименование расходного материала])),MAX($H$1:H47)+1,0)</f>
        <v>1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Resolute Integtity</v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Yukon Chrome PC</v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451</v>
      </c>
    </row>
    <row r="50" spans="1:33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DES, Firehawk</v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452</v>
      </c>
    </row>
    <row r="51" spans="1:33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DES, Resolute Onyx</v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453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Guidezilla™ II 6F</v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454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Telescope ™ II 6F</v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AL 1</v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AL 2</v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EBU 3.5</v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EBU 4.0</v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1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3.5</v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JL 4.0</v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JL 4.5</v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6F JR 3.5</v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6F JR 4.0</v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463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Launcher 7F JL 3.5</v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464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>Launcher 7F JL 4.0</v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465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64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>Angio-Seal™ VIP</v>
      </c>
      <c r="Y65" s="116" t="str">
        <f>IFERROR(INDEX(Расходка[Наименование расходного материала],MATCH(Расходка[№],Поиск_расходки[Индекс8],0)),"")</f>
        <v>Angio-Seal™ VIP</v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466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467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468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469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470</v>
      </c>
    </row>
    <row r="70" spans="1:33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учёта'!$B$15,Расходка[Наименование расходного материала])),MAX($G$1:G69)+1,0)</f>
        <v>0</v>
      </c>
      <c r="H70" s="202">
        <f>IF(ISNUMBER(SEARCH('Карта учёта'!$B$16,Расходка[Наименование расходного материала])),MAX($H$1:H69)+1,0)</f>
        <v>0</v>
      </c>
      <c r="I70" s="202">
        <f>IF(ISNUMBER(SEARCH('Карта учёта'!$B$17,Расходка[Наименование расходного материала])),MAX($I$1:I69)+1,0)</f>
        <v>0</v>
      </c>
      <c r="J70" s="202">
        <f>IF(ISNUMBER(SEARCH('Карта учёта'!$B$18,Расходка[Наименование расходного материала])),MAX($J$1:J69)+1,0)</f>
        <v>0</v>
      </c>
      <c r="K70" s="202">
        <f>IF(ISNUMBER(SEARCH('Карта учёта'!$B$19,Расходка[Наименование расходного материала])),MAX($K$1:K69)+1,0)</f>
        <v>0</v>
      </c>
      <c r="L70" s="202">
        <f>IF(ISNUMBER(SEARCH('Карта учёта'!$B$20,Расходка[Наименование расходного материала])),MAX($L$1:L69)+1,0)</f>
        <v>0</v>
      </c>
      <c r="M70" s="202">
        <f>IF(ISNUMBER(SEARCH('Карта учёта'!$B$21,Расходка[Наименование расходного материала])),MAX($M$1:M69)+1,0)</f>
        <v>0</v>
      </c>
      <c r="N70" s="202">
        <f>IF(ISNUMBER(SEARCH('Карта учёта'!$B$22,Расходка[Наименование расходного материала])),MAX($N$1:N69)+1,0)</f>
        <v>0</v>
      </c>
      <c r="O70" s="202">
        <f>IF(ISNUMBER(SEARCH('Карта учёта'!$B$23,Расходка[Наименование расходного материала])),MAX($O$1:O69)+1,0)</f>
        <v>0</v>
      </c>
      <c r="P70" s="202">
        <f>IF(ISNUMBER(SEARCH('Карта учёта'!$B$24,Расходка[Наименование расходного материала])),MAX($P$1:P69)+1,0)</f>
        <v>0</v>
      </c>
      <c r="Q70" s="202">
        <f>IF(ISNUMBER(SEARCH('Карта учёта'!$B$25,Расходка[Наименование расходного материала])),MAX($Q$1:Q69)+1,0)</f>
        <v>0</v>
      </c>
      <c r="R70" s="203" t="str">
        <f>IFERROR(INDEX(Расходка[Наименование расходного материала],MATCH(Расходка[№],Поиск_расходки[Индекс1],0)),"")</f>
        <v/>
      </c>
      <c r="S70" s="203" t="str">
        <f>IFERROR(INDEX(Расходка[Наименование расходного материала],MATCH(Расходка[№],Поиск_расходки[Индекс2],0)),"")</f>
        <v/>
      </c>
      <c r="T70" s="203" t="str">
        <f>IFERROR(INDEX(Расходка[Наименование расходного материала],MATCH(Расходка[№],Поиск_расходки[Индекс3],0)),"")</f>
        <v/>
      </c>
      <c r="U70" s="203" t="str">
        <f>IFERROR(INDEX(Расходка[Наименование расходного материала],MATCH(Расходка[№],Поиск_расходки[Индекс4],0)),"")</f>
        <v/>
      </c>
      <c r="V70" s="203" t="str">
        <f>IFERROR(INDEX(Расходка[Наименование расходного материала],MATCH(Расходка[№],Поиск_расходки[Индекс5],0)),"")</f>
        <v/>
      </c>
      <c r="W70" s="203" t="str">
        <f>IFERROR(INDEX(Расходка[Наименование расходного материала],MATCH(Расходка[№],Поиск_расходки[Индекс6],0)),"")</f>
        <v/>
      </c>
      <c r="X70" s="203" t="str">
        <f>IFERROR(INDEX(Расходка[Наименование расходного материала],MATCH(Расходка[№],Поиск_расходки[Индекс7],0)),"")</f>
        <v/>
      </c>
      <c r="Y70" s="203" t="str">
        <f>IFERROR(INDEX(Расходка[Наименование расходного материала],MATCH(Расходка[№],Поиск_расходки[Индекс8],0)),"")</f>
        <v/>
      </c>
      <c r="Z70" s="203" t="str">
        <f>IFERROR(INDEX(Расходка[Наименование расходного материала],MATCH(Расходка[№],Поиск_расходки[Индекс9],0)),"")</f>
        <v/>
      </c>
      <c r="AA70" s="203" t="str">
        <f>IFERROR(INDEX(Расходка[Наименование расходного материала],MATCH(Расходка[№],Поиск_расходки[Индекс10],0)),"")</f>
        <v/>
      </c>
      <c r="AB70" s="203" t="str">
        <f>IFERROR(INDEX(Расходка[Наименование расходного материала],MATCH(Расходка[№],Поиск_расходки[Индекс11],0)),"")</f>
        <v/>
      </c>
      <c r="AC70" s="203" t="str">
        <f>IFERROR(INDEX(Расходка[Наименование расходного материала],MATCH(Расходка[№],Поиск_расходки[Индекс12],0)),"")</f>
        <v/>
      </c>
      <c r="AD70" s="203" t="str">
        <f>IFERROR(INDEX(Расходка[Наименование расходного материала],MATCH(Расходка[№],Поиск_расходки[Индекс13],0)),"")</f>
        <v/>
      </c>
      <c r="AF70" s="4" t="s">
        <v>6</v>
      </c>
      <c r="AG70" s="4" t="s">
        <v>471</v>
      </c>
    </row>
    <row r="71" spans="1:33">
      <c r="AF71" s="4" t="s">
        <v>6</v>
      </c>
      <c r="AG71" s="4" t="s">
        <v>426</v>
      </c>
    </row>
    <row r="72" spans="1:33">
      <c r="AF72" s="4" t="s">
        <v>6</v>
      </c>
      <c r="AG72" s="4" t="s">
        <v>472</v>
      </c>
    </row>
    <row r="73" spans="1:33">
      <c r="AF73" s="4" t="s">
        <v>6</v>
      </c>
      <c r="AG73" s="4" t="s">
        <v>427</v>
      </c>
    </row>
    <row r="74" spans="1:33">
      <c r="AF74" s="4" t="s">
        <v>6</v>
      </c>
      <c r="AG74" s="4" t="s">
        <v>473</v>
      </c>
    </row>
    <row r="75" spans="1:33">
      <c r="AF75" s="4" t="s">
        <v>6</v>
      </c>
      <c r="AG75" s="4" t="s">
        <v>474</v>
      </c>
    </row>
    <row r="76" spans="1:33">
      <c r="AF76" s="4" t="s">
        <v>6</v>
      </c>
      <c r="AG76" s="4" t="s">
        <v>475</v>
      </c>
    </row>
    <row r="77" spans="1:33">
      <c r="AF77" s="4" t="s">
        <v>6</v>
      </c>
      <c r="AG77" s="4" t="s">
        <v>476</v>
      </c>
    </row>
    <row r="78" spans="1:33">
      <c r="AF78" s="4" t="s">
        <v>6</v>
      </c>
      <c r="AG78" s="4" t="s">
        <v>477</v>
      </c>
    </row>
    <row r="79" spans="1:33">
      <c r="AF79" s="4" t="s">
        <v>6</v>
      </c>
      <c r="AG79" s="4" t="s">
        <v>478</v>
      </c>
    </row>
    <row r="80" spans="1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517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512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2023-05-31T14:16:12Z</cp:lastPrinted>
  <dcterms:created xsi:type="dcterms:W3CDTF">2015-06-05T18:19:34Z</dcterms:created>
  <dcterms:modified xsi:type="dcterms:W3CDTF">2023-05-31T14:22:57Z</dcterms:modified>
</cp:coreProperties>
</file>