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Июнь\"/>
    </mc:Choice>
  </mc:AlternateContent>
  <xr:revisionPtr revIDLastSave="0" documentId="13_ncr:1_{4A579DD1-DE44-48C9-964A-A7763E37D8FA}"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AB59" i="1"/>
  <c r="O61" i="1"/>
  <c r="AB56" i="1"/>
  <c r="AB60" i="1"/>
  <c r="AB58" i="1"/>
  <c r="AB57" i="1"/>
  <c r="K28" i="1"/>
  <c r="K29" i="1" s="1"/>
  <c r="AD26" i="1"/>
  <c r="G21" i="1"/>
  <c r="G22" i="1" s="1"/>
  <c r="G23" i="1" s="1"/>
  <c r="H25" i="1"/>
  <c r="I28" i="1"/>
  <c r="M23" i="1"/>
  <c r="J25" i="1"/>
  <c r="N23" i="1"/>
  <c r="L21" i="1"/>
  <c r="F22" i="1"/>
  <c r="AD21" i="1" l="1"/>
  <c r="AD19" i="1"/>
  <c r="AD64" i="1"/>
  <c r="AD65" i="1"/>
  <c r="AD63" i="1"/>
  <c r="AB61" i="1"/>
  <c r="O62" i="1"/>
  <c r="O63" i="1" s="1"/>
  <c r="O64" i="1" s="1"/>
  <c r="O65" i="1" s="1"/>
  <c r="AB66"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4" i="1" l="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46" i="1" l="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50" i="1"/>
  <c r="S42" i="1"/>
  <c r="S57" i="1"/>
  <c r="K52" i="1"/>
  <c r="K53" i="1" s="1"/>
  <c r="G51" i="1"/>
  <c r="AD39" i="1"/>
  <c r="AC35" i="1"/>
  <c r="AC23" i="1"/>
  <c r="AB46" i="1"/>
  <c r="N45" i="1"/>
  <c r="AC44" i="1"/>
  <c r="L40" i="1"/>
  <c r="M38" i="1"/>
  <c r="M39" i="1" s="1"/>
  <c r="M40" i="1" s="1"/>
  <c r="S47" i="1" l="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30" i="1" s="1"/>
  <c r="T4" i="1"/>
  <c r="T52" i="1"/>
  <c r="T42" i="1"/>
  <c r="T3" i="1"/>
  <c r="T5" i="1"/>
  <c r="T41" i="1"/>
  <c r="T54" i="1"/>
  <c r="T39" i="1"/>
  <c r="T36" i="1"/>
  <c r="T50" i="1"/>
  <c r="T43" i="1"/>
  <c r="T56" i="1"/>
  <c r="T55" i="1"/>
  <c r="T65" i="1"/>
  <c r="M56" i="1"/>
  <c r="M57" i="1" s="1"/>
  <c r="L54" i="1"/>
  <c r="T29" i="1" l="1"/>
  <c r="T24" i="1"/>
  <c r="T9" i="1"/>
  <c r="T34" i="1"/>
  <c r="T12" i="1"/>
  <c r="T16" i="1"/>
  <c r="T37" i="1"/>
  <c r="T14" i="1"/>
  <c r="T60" i="1"/>
  <c r="T51" i="1"/>
  <c r="T21" i="1"/>
  <c r="T48" i="1"/>
  <c r="T6" i="1"/>
  <c r="T19" i="1"/>
  <c r="T66" i="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4" i="1"/>
  <c r="Z31" i="1"/>
  <c r="Z12" i="1"/>
  <c r="Z21" i="1"/>
  <c r="Z23" i="1"/>
  <c r="Z33" i="1"/>
  <c r="Z56" i="1"/>
  <c r="Z47" i="1"/>
  <c r="Z32" i="1"/>
  <c r="Z26" i="1"/>
  <c r="Z6" i="1" l="1"/>
  <c r="Z4" i="1"/>
  <c r="Z41" i="1"/>
  <c r="Z25" i="1"/>
  <c r="Z36" i="1"/>
  <c r="Z53" i="1"/>
  <c r="Z48" i="1"/>
  <c r="Z27" i="1"/>
  <c r="Z46" i="1"/>
  <c r="Z49" i="1"/>
  <c r="Z13" i="1"/>
  <c r="Z17" i="1"/>
  <c r="Z29" i="1"/>
  <c r="Z38" i="1"/>
  <c r="Z22" i="1"/>
  <c r="Z64" i="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<sst xmlns="http://schemas.openxmlformats.org/spreadsheetml/2006/main" count="872" uniqueCount="528">
  <si>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</si>
  <si>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</si>
  <si>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</si>
  <si>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</si>
  <si>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</si>
  <si>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</si>
  <si>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</si>
  <si>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</si>
  <si>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</si>
  <si>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</si>
  <si>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</si>
  <si>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</si>
  <si>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</si>
  <si>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</si>
  <si>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</si>
  <si>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</si>
  <si>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</si>
  <si>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</si>
  <si>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</si>
  <si>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</si>
  <si>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</si>
  <si>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</si>
  <si>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</si>
  <si>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</si>
  <si>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</si>
  <si>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</si>
  <si>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</si>
  <si>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</si>
  <si>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</si>
  <si>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</si>
  <si>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</si>
  <si>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</si>
  <si>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</si>
  <si>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</si>
  <si>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</si>
  <si>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</si>
  <si>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</si>
  <si>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</si>
  <si>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</si>
  <si>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</si>
  <si>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</si>
  <si>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</si>
  <si>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</si>
  <si>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</si>
  <si>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</si>
  <si>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</si>
  <si>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</si>
  <si>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</si>
  <si>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</si>
  <si>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</si>
  <si>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</si>
  <si>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</si>
  <si>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</si>
  <si>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</si>
  <si>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</si>
  <si>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</si>
  <si>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</si>
  <si>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</si>
  <si>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</si>
  <si>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</si>
  <si>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</si>
  <si>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</si>
  <si>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</si>
  <si>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</si>
  <si>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</si>
  <si>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</si>
  <si>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</si>
  <si>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</si>
  <si>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</si>
  <si>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</si>
  <si>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</si>
  <si>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</si>
  <si>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</si>
  <si>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</si>
  <si>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</si>
  <si>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</si>
  <si>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</si>
  <si>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</si>
  <si>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</si>
  <si>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</si>
  <si>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</si>
  <si>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</si>
  <si>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</si>
  <si>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</si>
  <si>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</si>
  <si>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</si>
  <si>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</si>
  <si>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</si>
  <si>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</si>
  <si>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</si>
  <si>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</si>
  <si>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</si>
  <si>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</si>
  <si>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</si>
  <si>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</si>
  <si>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</si>
  <si>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</si>
  <si>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</si>
  <si>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</si>
  <si>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</si>
  <si>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</si>
  <si>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</si>
  <si>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</si>
  <si>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</si>
  <si>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</si>
  <si>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</si>
  <si>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</si>
  <si>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</si>
  <si>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</si>
  <si>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</si>
  <si>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</si>
  <si>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</si>
  <si>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</si>
  <si>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</si>
  <si>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</si>
  <si>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</si>
  <si>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</si>
  <si>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</si>
  <si>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</si>
  <si>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</si>
  <si>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</si>
  <si>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</si>
  <si>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</si>
  <si>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</si>
  <si>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</si>
  <si>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</si>
  <si>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</si>
  <si>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</si>
  <si>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</si>
  <si>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</si>
  <si>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</si>
  <si>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</si>
  <si>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</si>
  <si>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</si>
  <si>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</si>
  <si>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</si>
  <si>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</si>
  <si>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</si>
  <si>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</si>
  <si>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</si>
  <si>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</si>
  <si>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</si>
  <si>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</si>
  <si>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</si>
  <si>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</si>
  <si>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</si>
  <si>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</si>
  <si>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</si>
  <si>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</si>
  <si>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</si>
  <si>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</si>
  <si>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</si>
  <si>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</si>
  <si>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</si>
  <si>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</si>
  <si>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</si>
  <si>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</si>
  <si>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</si>
  <si>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</si>
  <si>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</si>
  <si>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</si>
  <si>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</si>
  <si>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</si>
  <si>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</si>
  <si>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</si>
  <si>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</si>
  <si>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</si>
  <si>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</si>
  <si>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</si>
  <si>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</si>
  <si>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</si>
  <si>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</si>
  <si>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</si>
  <si>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</si>
  <si>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</si>
  <si>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</si>
  <si>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</si>
  <si>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</si>
  <si>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</si>
  <si>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</si>
  <si>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</si>
  <si>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</si>
  <si>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</si>
  <si>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</si>
  <si>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</si>
  <si>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</si>
  <si>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</si>
  <si>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</si>
  <si>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</si>
  <si>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</si>
  <si>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</si>
  <si>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</si>
  <si>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</si>
  <si>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</si>
  <si>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</si>
  <si>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</si>
  <si>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</si>
  <si>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</si>
  <si>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</si>
  <si>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</si>
  <si>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</si>
  <si>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</si>
  <si>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</si>
  <si>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</si>
  <si>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</si>
  <si>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</si>
  <si>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</si>
  <si>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</si>
  <si>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</si>
  <si>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</si>
  <si>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</si>
  <si>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</si>
  <si>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</si>
  <si>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</si>
  <si>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</si>
  <si>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</si>
  <si>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</si>
  <si>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</si>
  <si>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</si>
  <si>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</si>
  <si>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</si>
  <si>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</si>
  <si>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</si>
  <si>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</si>
  <si>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</si>
  <si>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</si>
  <si>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</si>
  <si>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</si>
  <si>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</si>
  <si>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</si>
  <si>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</si>
  <si>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</si>
  <si>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</si>
  <si>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</si>
  <si>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</si>
  <si>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</si>
  <si>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</si>
  <si>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</si>
  <si>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</si>
  <si>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</si>
  <si>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</si>
  <si>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</si>
  <si>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</si>
  <si>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</si>
  <si>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</si>
  <si>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</si>
  <si>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</si>
  <si>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</si>
  <si>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</si>
  <si>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</si>
  <si>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</si>
  <si>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</si>
  <si>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</si>
  <si>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</si>
  <si>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</si>
  <si>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</si>
  <si>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</si>
  <si>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</si>
  <si>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</si>
  <si>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</si>
  <si>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</si>
  <si>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</si>
  <si>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</si>
  <si>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</si>
  <si>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</si>
  <si>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</si>
  <si>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</si>
  <si>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</si>
  <si>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</si>
  <si>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</si>
  <si>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</si>
  <si>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</si>
  <si>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</si>
  <si>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</si>
  <si>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</si>
  <si>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</si>
  <si>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</si>
  <si>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</si>
  <si>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</si>
  <si>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</si>
  <si>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</si>
  <si>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</si>
  <si>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</si>
  <si>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</si>
  <si>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</si>
  <si>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</si>
  <si>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</si>
  <si>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</si>
  <si>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</si>
  <si>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</si>
  <si>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</si>
  <si>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</si>
  <si>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</si>
  <si>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</si>
  <si>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</si>
  <si>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</si>
  <si>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</si>
  <si>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</si>
  <si>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</si>
  <si>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</si>
  <si>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</si>
  <si>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</si>
  <si>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</si>
  <si>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</si>
  <si>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</si>
  <si>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</si>
  <si>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</si>
  <si>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</si>
  <si>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</si>
  <si>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</si>
  <si>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</si>
  <si>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</si>
  <si>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</si>
  <si>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</si>
  <si>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</si>
  <si>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</si>
  <si>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</si>
  <si>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</si>
  <si>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</si>
  <si>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</si>
  <si>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</si>
  <si>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</si>
  <si>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</si>
  <si>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</si>
  <si>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</si>
  <si>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</si>
  <si>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</si>
  <si>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</si>
  <si>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</si>
  <si>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</si>
  <si>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</si>
  <si>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</si>
  <si>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</si>
  <si>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</si>
  <si>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</si>
  <si>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</si>
  <si>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</si>
  <si>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</si>
  <si>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</si>
  <si>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</si>
  <si>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</si>
  <si>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</si>
  <si>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</si>
  <si>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</si>
  <si>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</si>
  <si>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</si>
  <si>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</si>
  <si>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</si>
  <si>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</si>
  <si>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</si>
  <si>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</si>
  <si>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</si>
  <si>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</si>
  <si>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</si>
  <si>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</si>
  <si>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</si>
  <si>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</si>
  <si>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</si>
  <si>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</si>
  <si>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</si>
  <si>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</si>
  <si>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</si>
  <si>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</si>
  <si>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</si>
  <si>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</si>
  <si>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</si>
  <si>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</si>
  <si>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</si>
  <si>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</si>
  <si>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</si>
  <si>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</si>
  <si>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</si>
  <si>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</si>
  <si>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</si>
  <si>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</si>
  <si>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</si>
  <si>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</si>
  <si>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</si>
  <si>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</si>
  <si>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</si>
  <si>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</si>
  <si>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</si>
  <si>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</si>
  <si>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</si>
  <si>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</si>
  <si>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</si>
  <si>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</si>
  <si>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</si>
  <si>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</si>
  <si>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</si>
  <si>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</si>
  <si>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</si>
  <si>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</si>
  <si>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</si>
  <si>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</si>
  <si>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</si>
  <si>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</si>
  <si>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</si>
  <si>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</si>
  <si>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</si>
  <si>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</si>
  <si>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</si>
  <si>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</si>
  <si>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</si>
  <si>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r>
      <rPr>
        <sz val="11"/>
        <color theme="1"/>
        <rFont val="Calibri"/>
        <family val="2"/>
        <charset val="204"/>
        <scheme val="minor"/>
      </rPr>
      <t>Контроль места пункции, повязка  на руке до 6 ч.</t>
    </r>
    <r>
      <rPr>
        <u/>
        <sz val="11"/>
        <color theme="1"/>
        <rFont val="Calibri"/>
        <family val="2"/>
        <charset val="204"/>
        <scheme val="minor"/>
      </rPr>
      <t xml:space="preserve"> </t>
    </r>
  </si>
  <si>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</si>
  <si>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</si>
  <si>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</si>
  <si>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</si>
  <si>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</si>
  <si>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</si>
  <si>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</si>
  <si>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</si>
  <si>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</si>
  <si>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</si>
  <si>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</si>
  <si>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</si>
  <si>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</si>
  <si>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</si>
  <si>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</si>
  <si>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</si>
  <si>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</si>
  <si>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</si>
  <si>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</si>
  <si>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</si>
  <si>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</si>
  <si>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</si>
  <si>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</si>
  <si>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</si>
  <si>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</si>
  <si>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</si>
  <si>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</si>
  <si>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</si>
  <si>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</si>
  <si>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</si>
  <si>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</si>
  <si>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</si>
  <si>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</si>
  <si>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</si>
  <si>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</si>
  <si>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</si>
  <si>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</si>
  <si>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</si>
  <si>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</si>
  <si>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</si>
  <si>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</si>
  <si>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</si>
  <si>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</si>
  <si>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</si>
  <si>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</si>
  <si>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</si>
  <si>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</si>
  <si>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</si>
  <si>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</si>
  <si>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</si>
  <si>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</si>
  <si>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</si>
  <si>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</si>
  <si>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</si>
  <si>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</si>
  <si>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</si>
  <si>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</si>
  <si>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</si>
  <si>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</si>
  <si>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</si>
  <si>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</si>
  <si>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</si>
  <si>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</si>
  <si>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</si>
  <si>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</si>
  <si>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</si>
  <si>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</si>
  <si>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</si>
  <si>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</si>
  <si>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</si>
  <si>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</si>
  <si>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</si>
  <si>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</si>
  <si>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</si>
  <si>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</si>
  <si>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</si>
  <si>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</si>
  <si>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</si>
  <si>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</si>
  <si>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</si>
  <si>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</si>
  <si>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</si>
  <si>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</si>
  <si>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</si>
  <si>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</si>
  <si>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</si>
  <si>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</si>
  <si>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</si>
  <si>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</si>
  <si>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</si>
  <si>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</si>
  <si>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</si>
  <si>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</si>
  <si>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</si>
  <si>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</si>
  <si>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</si>
  <si>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</si>
  <si>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</si>
  <si>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</si>
  <si>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</si>
  <si>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</si>
  <si>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</si>
  <si>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</si>
  <si>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</si>
  <si>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</si>
  <si>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</si>
  <si>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</si>
  <si>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Коллатеральный кровоток: нет</t>
  </si>
  <si>
    <t>Оставлен</t>
  </si>
  <si>
    <t>лучевой</t>
  </si>
  <si>
    <t>Соболева Ю.А.</t>
  </si>
  <si>
    <t>"МИМ". Тюмень</t>
  </si>
  <si>
    <t>Совместно с д/кардиологом: с учетом клинических данных, ЭКГ и КАГ рекомендована ЧТКА ПНА.</t>
  </si>
  <si>
    <t>Александровский П.А.</t>
  </si>
  <si>
    <t>51:36</t>
  </si>
  <si>
    <t>100 ml</t>
  </si>
  <si>
    <t>400 ml</t>
  </si>
  <si>
    <t>2,5 - 10</t>
  </si>
  <si>
    <t>кальциноз. Стеноз проксимальнорй трети 30%</t>
  </si>
  <si>
    <t>Выраженный кальциноз проксимального и среднего сегментов. Тотальная окклюзия на уровне устья ПНА, стеноз устья ДВ 80%. Антеградный кровоток TIMI 0, TTG2, Rentrop 0.</t>
  </si>
  <si>
    <t>кальциноз проксимального сегмента, прямой угол отхождения относительно ствола ЛКА. Стеноз устья 30%, неровности контуров проксимального сегмента, стеноз проксимальной трети ВТК 30%   Антеградный кровоток TIMI III</t>
  </si>
  <si>
    <t>артерия крупная. Неровности контуров проксимального, среднего и дистального сегментов, стеноз в зоне "Креста" 50%. Стеноз средней трети крупной ЗБВ 70%.  Антеградный кровоток TIMI III</t>
  </si>
  <si>
    <t xml:space="preserve">Устье ЛКА катетеризировано проводниковым катетером Launcher EBU 3,5 6Fr с последующей катетеризацией проводниковым катетером Launcher EBU 4,0 для обеспечения наиболее оптимальной поддержки гайд-каттера в устье ствола ЛКА. Коронарный проводник Fielder с техническими сложностями заведен в дистальный сегмент ПНА. Во время проведения стентирования из-за сложности заведения стентов через зоны кальциноза использованы 6 коронарных проводников.   Реканализация артерии выполнена БК Колибри 2.5-15, давлением 10 атм., антеградный кровоток восстановлен до TIMI II. На контрольных съёмках значимые диффузные нестабильные стенозы на протяжении среднего и проксимального сегментов. Длительное и сложное проведение стентов через зоны кальциноза.  В зону среднего сегмента позиционированы и имплантированы два DES Resolute Integtity 2.5-22 мм, давлением 14 атм. В зону проксимального сегмента с выходом на 1/2 ствола ЛКА и полным покрытием устья ПНА имплантирован DES Resolute Integtity 3.0-30 мм, давлением 14 атм.  На контрольных съёмках определяются признаки интракоронарного тромбоза стентов. Ведения эптифибатида (2 флакона). Постдилатация зоны оверлапинга и оптимизация проксимального стента БК  Accuforce  3.0-8, давлением 20 атм. Рекроссинг проводника в ОА провести через ячейку стента БК Колибри 2.5-10 и Колибри 1.5-15  не удалось, пластика устья ОА не выполнена.   На контрольных съемках стенты раскрыты удовлетворительно, признаков диссекций, тромбоза, экстравазации не выявлено. Антеградный кровоток по ПНА восстановлен до TIMI III, устье ДВ нескомпрометировано, кровоток TIMI III. Резидуальный стеноз устья ОА до 50%, признаков диссекции и тромбоза не выявлено, кровоток сохранён, TIMI III. Ангиографический результат удовлетворительный. Пациент в стабильном состоянии транспортируется в ПРИТ для дальнейшего наблюдения и лечения.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</si>
</sst>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9"/>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26" fillId="0" borderId="12" xfId="0" applyFont="1" applyBorder="1" applyAlignment="1" applyProtection="1">
      <alignment horizontal="justify" vertical="top" wrapText="1"/>
      <protection locked="0"/>
    </xf>
    <xf numFmtId="0" fontId="70" fillId="0" borderId="0" xfId="0" applyFont="1" applyAlignment="1">
      <alignment horizontal="justify" vertical="top" wrapText="1"/>
    </xf>
    <xf numFmtId="0" fontId="70" fillId="0" borderId="13" xfId="0" applyFont="1" applyBorder="1" applyAlignment="1">
      <alignment horizontal="justify" vertical="top" wrapText="1"/>
    </xf>
    <xf numFmtId="0" fontId="70"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906780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62875"/>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zoomScaleNormal="100" zoomScaleSheetLayoutView="100" zoomScalePageLayoutView="90" workbookViewId="0">
      <selection activeCell="Q32" sqref="Q32"/>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08" t="s">
        <v>213</v>
      </c>
      <c r="B6" s="209"/>
      <c r="C6" s="209"/>
      <c r="D6" s="209"/>
      <c r="E6" s="209"/>
      <c r="F6" s="209"/>
      <c r="G6" s="209"/>
      <c r="H6" s="210"/>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45096</v>
      </c>
      <c r="C8" s="54"/>
      <c r="D8" s="16" t="s">
        <v>186</v>
      </c>
      <c r="E8" s="29"/>
      <c r="F8" s="29"/>
      <c r="G8" s="17"/>
      <c r="H8" s="18"/>
    </row>
    <row r="9" spans="1:8" ht="15.6" customHeight="1" x14ac:dyDescent="0.25">
      <c r="A9" s="21" t="s">
        <v>193</v>
      </c>
      <c r="B9" s="22">
        <v>0.13194444444444445</v>
      </c>
      <c r="C9" s="54"/>
      <c r="D9" s="94" t="s">
        <v>172</v>
      </c>
      <c r="E9" s="92"/>
      <c r="F9" s="92"/>
      <c r="G9" s="23" t="s">
        <v>163</v>
      </c>
      <c r="H9" s="25"/>
    </row>
    <row r="10" spans="1:8" ht="15.6" customHeight="1" thickBot="1" x14ac:dyDescent="0.3">
      <c r="A10" s="83" t="s">
        <v>194</v>
      </c>
      <c r="B10" s="84">
        <v>0.1388888888888889</v>
      </c>
      <c r="C10" s="55"/>
      <c r="D10" s="95" t="s">
        <v>173</v>
      </c>
      <c r="E10" s="93"/>
      <c r="F10" s="93"/>
      <c r="G10" s="24" t="s">
        <v>164</v>
      </c>
      <c r="H10" s="26"/>
    </row>
    <row r="11" spans="1:8" ht="17.25" thickTop="1" thickBot="1" x14ac:dyDescent="0.3">
      <c r="A11" s="89" t="s">
        <v>192</v>
      </c>
      <c r="B11" s="239" t="s">
        <v>518</v>
      </c>
      <c r="C11" s="8"/>
      <c r="D11" s="95" t="s">
        <v>170</v>
      </c>
      <c r="E11" s="93"/>
      <c r="F11" s="93"/>
      <c r="G11" s="24" t="s">
        <v>268</v>
      </c>
      <c r="H11" s="26"/>
    </row>
    <row r="12" spans="1:8" ht="16.5" thickTop="1" x14ac:dyDescent="0.25">
      <c r="A12" s="81" t="s">
        <v>8</v>
      </c>
      <c r="B12" s="82">
        <v>22473</v>
      </c>
      <c r="C12" s="12"/>
      <c r="D12" s="95" t="s">
        <v>303</v>
      </c>
      <c r="E12" s="93"/>
      <c r="F12" s="93"/>
      <c r="G12" s="24" t="s">
        <v>510</v>
      </c>
      <c r="H12" s="26"/>
    </row>
    <row r="13" spans="1:8" ht="15.75" x14ac:dyDescent="0.25">
      <c r="A13" s="15" t="s">
        <v>10</v>
      </c>
      <c r="B13" s="30">
        <f>DATEDIF(B12,B8,"y")</f>
        <v>61</v>
      </c>
      <c r="C13" s="12"/>
      <c r="D13" s="95"/>
      <c r="E13" s="93"/>
      <c r="F13" s="93"/>
      <c r="G13" s="24"/>
      <c r="H13" s="26"/>
    </row>
    <row r="14" spans="1:8" ht="15.75" x14ac:dyDescent="0.25">
      <c r="A14" s="15" t="s">
        <v>12</v>
      </c>
      <c r="B14" s="19">
        <v>15952</v>
      </c>
      <c r="C14" s="12"/>
      <c r="D14" s="36"/>
      <c r="E14" s="36"/>
      <c r="F14" s="36"/>
      <c r="G14" s="37"/>
      <c r="H14" s="56"/>
    </row>
    <row r="15" spans="1:8" ht="15.75" x14ac:dyDescent="0.25">
      <c r="A15" s="15" t="s">
        <v>133</v>
      </c>
      <c r="B15" s="19">
        <v>35</v>
      </c>
      <c r="D15" s="36"/>
      <c r="E15" s="36"/>
      <c r="F15" s="36"/>
      <c r="G15" s="166" t="s">
        <v>403</v>
      </c>
      <c r="H15" s="170" t="s">
        <v>519</v>
      </c>
    </row>
    <row r="16" spans="1:8" ht="15.6" customHeight="1" x14ac:dyDescent="0.25">
      <c r="A16" s="15" t="s">
        <v>106</v>
      </c>
      <c r="B16" s="19" t="s">
        <v>491</v>
      </c>
      <c r="D16" s="36"/>
      <c r="E16" s="36"/>
      <c r="F16" s="36"/>
      <c r="G16" s="167" t="s">
        <v>407</v>
      </c>
      <c r="H16" s="165">
        <v>20400</v>
      </c>
    </row>
    <row r="17" spans="1:8" ht="14.45" customHeight="1" x14ac:dyDescent="0.25">
      <c r="A17" s="40"/>
      <c r="B17" s="31"/>
      <c r="C17" s="31"/>
      <c r="D17" s="88"/>
      <c r="E17" s="88"/>
      <c r="F17" s="88"/>
      <c r="G17" s="168" t="s">
        <v>392</v>
      </c>
      <c r="H17" s="169">
        <f>H16*0.0019</f>
        <v>38.76</v>
      </c>
    </row>
    <row r="18" spans="1:8" ht="14.45" customHeight="1" x14ac:dyDescent="0.25">
      <c r="A18" s="57" t="s">
        <v>188</v>
      </c>
      <c r="B18" s="87" t="s">
        <v>405</v>
      </c>
      <c r="D18" s="28" t="s">
        <v>210</v>
      </c>
      <c r="E18" s="28"/>
      <c r="F18" s="28"/>
      <c r="G18" s="85" t="s">
        <v>189</v>
      </c>
      <c r="H18" s="86" t="s">
        <v>514</v>
      </c>
    </row>
    <row r="19" spans="1:8" ht="14.45" customHeight="1" x14ac:dyDescent="0.25">
      <c r="A19" s="40"/>
      <c r="B19" s="31"/>
      <c r="C19" s="31"/>
      <c r="D19" s="34"/>
      <c r="E19" s="34"/>
      <c r="F19" s="34"/>
      <c r="G19" s="31"/>
      <c r="H19" s="41"/>
    </row>
    <row r="20" spans="1:8" ht="14.45" customHeight="1" x14ac:dyDescent="0.25">
      <c r="A20" s="57" t="s">
        <v>212</v>
      </c>
      <c r="B20" s="211" t="s">
        <v>523</v>
      </c>
      <c r="C20" s="212"/>
      <c r="D20" s="212"/>
      <c r="E20" s="212"/>
      <c r="F20" s="212"/>
      <c r="G20" s="212"/>
      <c r="H20" s="213"/>
    </row>
    <row r="21" spans="1:8" x14ac:dyDescent="0.25">
      <c r="A21" s="58"/>
      <c r="B21" s="214"/>
      <c r="C21" s="214"/>
      <c r="D21" s="214"/>
      <c r="E21" s="214"/>
      <c r="F21" s="214"/>
      <c r="G21" s="214"/>
      <c r="H21" s="215"/>
    </row>
    <row r="22" spans="1:8" ht="15.6" customHeight="1" x14ac:dyDescent="0.25">
      <c r="A22" s="59" t="s">
        <v>271</v>
      </c>
      <c r="B22" s="216" t="s">
        <v>524</v>
      </c>
      <c r="C22" s="216"/>
      <c r="D22" s="216"/>
      <c r="E22" s="216"/>
      <c r="F22" s="216"/>
      <c r="G22" s="216"/>
      <c r="H22" s="217"/>
    </row>
    <row r="23" spans="1:8" ht="14.45" customHeight="1" x14ac:dyDescent="0.25">
      <c r="A23" s="38"/>
      <c r="B23" s="218"/>
      <c r="C23" s="218"/>
      <c r="D23" s="218"/>
      <c r="E23" s="218"/>
      <c r="F23" s="218"/>
      <c r="G23" s="218"/>
      <c r="H23" s="219"/>
    </row>
    <row r="24" spans="1:8" ht="14.45" customHeight="1" x14ac:dyDescent="0.25">
      <c r="A24" s="60"/>
      <c r="B24" s="218"/>
      <c r="C24" s="218"/>
      <c r="D24" s="218"/>
      <c r="E24" s="218"/>
      <c r="F24" s="218"/>
      <c r="G24" s="218"/>
      <c r="H24" s="219"/>
    </row>
    <row r="25" spans="1:8" ht="14.45" customHeight="1" x14ac:dyDescent="0.25">
      <c r="A25" s="38"/>
      <c r="B25" s="218"/>
      <c r="C25" s="218"/>
      <c r="D25" s="218"/>
      <c r="E25" s="218"/>
      <c r="F25" s="218"/>
      <c r="G25" s="218"/>
      <c r="H25" s="219"/>
    </row>
    <row r="26" spans="1:8" ht="14.45" customHeight="1" x14ac:dyDescent="0.25">
      <c r="A26" s="40"/>
      <c r="B26" s="220"/>
      <c r="C26" s="220"/>
      <c r="D26" s="220"/>
      <c r="E26" s="220"/>
      <c r="F26" s="220"/>
      <c r="G26" s="220"/>
      <c r="H26" s="221"/>
    </row>
    <row r="27" spans="1:8" ht="14.45" customHeight="1" x14ac:dyDescent="0.25">
      <c r="A27" s="59" t="s">
        <v>272</v>
      </c>
      <c r="B27" s="216" t="s">
        <v>525</v>
      </c>
      <c r="C27" s="216"/>
      <c r="D27" s="216"/>
      <c r="E27" s="216"/>
      <c r="F27" s="216"/>
      <c r="G27" s="216"/>
      <c r="H27" s="217"/>
    </row>
    <row r="28" spans="1:8" ht="15.6" customHeight="1" x14ac:dyDescent="0.25">
      <c r="A28" s="38"/>
      <c r="B28" s="218"/>
      <c r="C28" s="218"/>
      <c r="D28" s="218"/>
      <c r="E28" s="218"/>
      <c r="F28" s="218"/>
      <c r="G28" s="218"/>
      <c r="H28" s="219"/>
    </row>
    <row r="29" spans="1:8" ht="14.45" customHeight="1" x14ac:dyDescent="0.25">
      <c r="A29" s="38"/>
      <c r="B29" s="218"/>
      <c r="C29" s="218"/>
      <c r="D29" s="218"/>
      <c r="E29" s="218"/>
      <c r="F29" s="218"/>
      <c r="G29" s="218"/>
      <c r="H29" s="219"/>
    </row>
    <row r="30" spans="1:8" ht="14.45" customHeight="1" x14ac:dyDescent="0.25">
      <c r="A30" s="32"/>
      <c r="B30" s="218"/>
      <c r="C30" s="218"/>
      <c r="D30" s="218"/>
      <c r="E30" s="218"/>
      <c r="F30" s="218"/>
      <c r="G30" s="218"/>
      <c r="H30" s="219"/>
    </row>
    <row r="31" spans="1:8" ht="14.45" customHeight="1" x14ac:dyDescent="0.25">
      <c r="A31" s="33"/>
      <c r="B31" s="220"/>
      <c r="C31" s="220"/>
      <c r="D31" s="220"/>
      <c r="E31" s="220"/>
      <c r="F31" s="220"/>
      <c r="G31" s="220"/>
      <c r="H31" s="221"/>
    </row>
    <row r="32" spans="1:8" ht="14.45" customHeight="1" x14ac:dyDescent="0.25">
      <c r="A32" s="59" t="s">
        <v>273</v>
      </c>
      <c r="B32" s="216" t="s">
        <v>526</v>
      </c>
      <c r="C32" s="216"/>
      <c r="D32" s="216"/>
      <c r="E32" s="216"/>
      <c r="F32" s="216"/>
      <c r="G32" s="216"/>
      <c r="H32" s="217"/>
    </row>
    <row r="33" spans="1:8" ht="14.45" customHeight="1" x14ac:dyDescent="0.25">
      <c r="A33" s="38"/>
      <c r="B33" s="218"/>
      <c r="C33" s="218"/>
      <c r="D33" s="218"/>
      <c r="E33" s="218"/>
      <c r="F33" s="218"/>
      <c r="G33" s="218"/>
      <c r="H33" s="219"/>
    </row>
    <row r="34" spans="1:8" ht="15.6" customHeight="1" x14ac:dyDescent="0.25">
      <c r="A34" s="38"/>
      <c r="B34" s="218"/>
      <c r="C34" s="218"/>
      <c r="D34" s="218"/>
      <c r="E34" s="218"/>
      <c r="F34" s="218"/>
      <c r="G34" s="218"/>
      <c r="H34" s="219"/>
    </row>
    <row r="35" spans="1:8" ht="14.45" customHeight="1" x14ac:dyDescent="0.25">
      <c r="A35" s="38"/>
      <c r="B35" s="218"/>
      <c r="C35" s="218"/>
      <c r="D35" s="218"/>
      <c r="E35" s="218"/>
      <c r="F35" s="218"/>
      <c r="G35" s="218"/>
      <c r="H35" s="219"/>
    </row>
    <row r="36" spans="1:8" ht="15.6" customHeight="1" x14ac:dyDescent="0.25">
      <c r="A36" s="38"/>
      <c r="B36" s="218"/>
      <c r="C36" s="218"/>
      <c r="D36" s="218"/>
      <c r="E36" s="218"/>
      <c r="F36" s="218"/>
      <c r="G36" s="218"/>
      <c r="H36" s="219"/>
    </row>
    <row r="37" spans="1:8" ht="14.45" customHeight="1" x14ac:dyDescent="0.25">
      <c r="A37" s="38"/>
      <c r="D37" s="204" t="str">
        <f>IF($A$6=Вмешательства!$D$3,Вмешательства!$F$18,"")</f>
        <v/>
      </c>
      <c r="E37" s="204"/>
      <c r="F37" s="119"/>
      <c r="G37" s="119"/>
      <c r="H37" s="123"/>
    </row>
    <row r="38" spans="1:8" ht="14.45" customHeight="1" x14ac:dyDescent="0.25">
      <c r="A38" s="38"/>
      <c r="C38" s="124"/>
      <c r="D38" s="205" t="s">
        <v>512</v>
      </c>
      <c r="E38" s="206"/>
      <c r="F38" s="206"/>
      <c r="G38" s="206"/>
      <c r="H38" s="207"/>
    </row>
    <row r="39" spans="1:8" ht="14.45" customHeight="1" x14ac:dyDescent="0.25">
      <c r="A39" s="35"/>
      <c r="B39" s="119"/>
      <c r="C39" s="124"/>
      <c r="D39" s="206"/>
      <c r="E39" s="206"/>
      <c r="F39" s="206"/>
      <c r="G39" s="206"/>
      <c r="H39" s="207"/>
    </row>
    <row r="40" spans="1:8" ht="14.45" customHeight="1" x14ac:dyDescent="0.25">
      <c r="A40" s="35"/>
      <c r="B40" s="119"/>
      <c r="C40" s="124"/>
      <c r="D40" s="206"/>
      <c r="E40" s="206"/>
      <c r="F40" s="206"/>
      <c r="G40" s="206"/>
      <c r="H40" s="207"/>
    </row>
    <row r="41" spans="1:8" ht="14.45" customHeight="1" x14ac:dyDescent="0.25">
      <c r="A41" s="35"/>
      <c r="B41" s="119"/>
      <c r="C41" s="124"/>
      <c r="D41" s="206"/>
      <c r="E41" s="206"/>
      <c r="F41" s="206"/>
      <c r="G41" s="206"/>
      <c r="H41" s="207"/>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19"/>
      <c r="C43" s="126"/>
      <c r="D43" s="201" t="s">
        <v>517</v>
      </c>
      <c r="E43" s="202"/>
      <c r="F43" s="202"/>
      <c r="G43" s="202"/>
      <c r="H43" s="203"/>
    </row>
    <row r="44" spans="1:8" ht="14.45" customHeight="1" x14ac:dyDescent="0.25">
      <c r="A44" s="35"/>
      <c r="B44" s="119"/>
      <c r="C44" s="126"/>
      <c r="D44" s="202"/>
      <c r="E44" s="202"/>
      <c r="F44" s="202"/>
      <c r="G44" s="202"/>
      <c r="H44" s="203"/>
    </row>
    <row r="45" spans="1:8" ht="14.45" customHeight="1" x14ac:dyDescent="0.25">
      <c r="A45" s="35"/>
      <c r="B45" s="119"/>
      <c r="C45" s="126"/>
      <c r="D45" s="202"/>
      <c r="E45" s="202"/>
      <c r="F45" s="202"/>
      <c r="G45" s="202"/>
      <c r="H45" s="203"/>
    </row>
    <row r="46" spans="1:8" x14ac:dyDescent="0.25">
      <c r="A46" s="35"/>
      <c r="B46" s="119"/>
      <c r="C46" s="126"/>
      <c r="D46" s="202"/>
      <c r="E46" s="202"/>
      <c r="F46" s="202"/>
      <c r="G46" s="202"/>
      <c r="H46" s="203"/>
    </row>
    <row r="47" spans="1:8" x14ac:dyDescent="0.25">
      <c r="A47" s="38"/>
      <c r="C47" s="126"/>
      <c r="D47" s="202"/>
      <c r="E47" s="202"/>
      <c r="F47" s="202"/>
      <c r="G47" s="202"/>
      <c r="H47" s="203"/>
    </row>
    <row r="48" spans="1:8" x14ac:dyDescent="0.25">
      <c r="A48" s="38"/>
      <c r="C48" s="126"/>
      <c r="D48" s="202"/>
      <c r="E48" s="202"/>
      <c r="F48" s="202"/>
      <c r="G48" s="202"/>
      <c r="H48" s="203"/>
    </row>
    <row r="49" spans="1:13" x14ac:dyDescent="0.25">
      <c r="A49" s="40"/>
      <c r="B49" s="31"/>
      <c r="C49" s="127"/>
      <c r="D49" s="202"/>
      <c r="E49" s="202"/>
      <c r="F49" s="202"/>
      <c r="G49" s="202"/>
      <c r="H49" s="203"/>
    </row>
    <row r="50" spans="1:13" x14ac:dyDescent="0.25">
      <c r="A50" s="38"/>
      <c r="D50" s="202"/>
      <c r="E50" s="202"/>
      <c r="F50" s="202"/>
      <c r="G50" s="202"/>
      <c r="H50" s="203"/>
      <c r="M50" t="s">
        <v>211</v>
      </c>
    </row>
    <row r="51" spans="1:13" x14ac:dyDescent="0.25">
      <c r="A51" s="62" t="s">
        <v>199</v>
      </c>
      <c r="B51" s="63" t="s">
        <v>520</v>
      </c>
      <c r="G51" s="74" t="str">
        <f>$G$9</f>
        <v>Щербаков А.С.</v>
      </c>
      <c r="H51" s="64"/>
    </row>
    <row r="52" spans="1:13" x14ac:dyDescent="0.25">
      <c r="A52" s="38"/>
      <c r="H52" s="39"/>
    </row>
    <row r="53" spans="1:13" x14ac:dyDescent="0.25">
      <c r="A53" s="65" t="s">
        <v>206</v>
      </c>
      <c r="B53" s="66" t="s">
        <v>513</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zoomScaleNormal="100" zoomScaleSheetLayoutView="100" zoomScalePageLayoutView="90" workbookViewId="0">
      <selection activeCell="K45" sqref="K45"/>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2" t="s">
        <v>208</v>
      </c>
      <c r="B6" s="233"/>
      <c r="C6" s="233"/>
      <c r="D6" s="233"/>
      <c r="E6" s="233"/>
      <c r="F6" s="233"/>
      <c r="G6" s="233"/>
      <c r="H6" s="234"/>
    </row>
    <row r="7" spans="1:8" ht="21.6" customHeight="1" x14ac:dyDescent="0.25">
      <c r="A7" s="232"/>
      <c r="B7" s="233"/>
      <c r="C7" s="233"/>
      <c r="D7" s="233"/>
      <c r="E7" s="233"/>
      <c r="F7" s="233"/>
      <c r="G7" s="233"/>
      <c r="H7" s="234"/>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1" t="s">
        <v>218</v>
      </c>
      <c r="D8" s="231"/>
      <c r="E8" s="231"/>
      <c r="F8" s="191">
        <v>3</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21166</v>
      </c>
      <c r="C9" s="231"/>
      <c r="D9" s="231"/>
      <c r="E9" s="231"/>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45</v>
      </c>
      <c r="B10" s="190"/>
      <c r="C10" s="235"/>
      <c r="D10" s="235"/>
      <c r="E10" s="235"/>
      <c r="F10" s="195"/>
      <c r="G10" s="118"/>
      <c r="H10" s="39"/>
    </row>
    <row r="11" spans="1:8" x14ac:dyDescent="0.25">
      <c r="A11" s="193"/>
      <c r="B11" s="198"/>
      <c r="C11" s="194">
        <f>SUM(F8:F10)</f>
        <v>3</v>
      </c>
      <c r="H11" s="39"/>
    </row>
    <row r="12" spans="1:8" ht="18.75" x14ac:dyDescent="0.25">
      <c r="A12" s="75" t="s">
        <v>191</v>
      </c>
      <c r="B12" s="20">
        <f>КАГ!B8</f>
        <v>45096</v>
      </c>
      <c r="C12" s="12"/>
      <c r="D12" s="16" t="s">
        <v>186</v>
      </c>
      <c r="E12" s="29"/>
      <c r="F12" s="29"/>
      <c r="G12" s="17"/>
      <c r="H12" s="18"/>
    </row>
    <row r="13" spans="1:8" ht="15.75" x14ac:dyDescent="0.25">
      <c r="A13" s="76" t="s">
        <v>193</v>
      </c>
      <c r="B13" s="22">
        <v>0.1388888888888889</v>
      </c>
      <c r="C13" s="12"/>
      <c r="D13" s="94" t="s">
        <v>172</v>
      </c>
      <c r="E13" s="92"/>
      <c r="F13" s="92"/>
      <c r="G13" s="79" t="str">
        <f>КАГ!G9</f>
        <v>Щербаков А.С.</v>
      </c>
      <c r="H13" s="90" t="str">
        <f>IF(ISBLANK(КАГ!H9),"",КАГ!H9)</f>
        <v/>
      </c>
    </row>
    <row r="14" spans="1:8" ht="15.75" x14ac:dyDescent="0.25">
      <c r="A14" s="76" t="s">
        <v>194</v>
      </c>
      <c r="B14" s="22">
        <v>0.24305555555555555</v>
      </c>
      <c r="C14" s="12"/>
      <c r="D14" s="95" t="s">
        <v>173</v>
      </c>
      <c r="E14" s="93"/>
      <c r="F14" s="93"/>
      <c r="G14" s="80" t="str">
        <f>КАГ!G10</f>
        <v>Севринова О.В.</v>
      </c>
      <c r="H14" s="91" t="str">
        <f>IF(ISBLANK(КАГ!H10),"",КАГ!H10)</f>
        <v/>
      </c>
    </row>
    <row r="15" spans="1:8" ht="16.5" thickBot="1" x14ac:dyDescent="0.3">
      <c r="A15" s="164" t="s">
        <v>391</v>
      </c>
      <c r="B15" s="189">
        <f>IF(B14&lt;B13,B14+1,B14)-B13</f>
        <v>0.10416666666666666</v>
      </c>
      <c r="D15" s="95" t="s">
        <v>170</v>
      </c>
      <c r="E15" s="93"/>
      <c r="F15" s="93"/>
      <c r="G15" s="80" t="str">
        <f>КАГ!G11</f>
        <v>Комаров А.С.</v>
      </c>
      <c r="H15" s="91" t="str">
        <f>IF(ISBLANK(КАГ!H11),"",КАГ!H11)</f>
        <v/>
      </c>
    </row>
    <row r="16" spans="1:8" ht="17.25" thickTop="1" thickBot="1" x14ac:dyDescent="0.3">
      <c r="A16" s="89" t="s">
        <v>192</v>
      </c>
      <c r="B16" s="241" t="str">
        <f>КАГ!B11</f>
        <v>Александровский П.А.</v>
      </c>
      <c r="D16" s="95" t="s">
        <v>303</v>
      </c>
      <c r="E16" s="93"/>
      <c r="F16" s="93"/>
      <c r="G16" s="80" t="str">
        <f>КАГ!G12</f>
        <v>Прудникова Ю.А.</v>
      </c>
      <c r="H16" s="91" t="str">
        <f>IF(ISBLANK(КАГ!H12),"",КАГ!H12)</f>
        <v/>
      </c>
    </row>
    <row r="17" spans="1:8" ht="16.5" thickTop="1" x14ac:dyDescent="0.25">
      <c r="A17" s="15" t="s">
        <v>8</v>
      </c>
      <c r="B17" s="67">
        <f>КАГ!B12</f>
        <v>22473</v>
      </c>
      <c r="D17" s="95" t="s">
        <v>184</v>
      </c>
      <c r="E17" s="93"/>
      <c r="F17" s="93"/>
      <c r="G17" s="80" t="str">
        <f>IF(ISBLANK(КАГ!G13),"",КАГ!G13)</f>
        <v/>
      </c>
      <c r="H17" s="91" t="str">
        <f>IF(ISBLANK(КАГ!H13),"",КАГ!H13)</f>
        <v/>
      </c>
    </row>
    <row r="18" spans="1:8" ht="15.75" x14ac:dyDescent="0.25">
      <c r="A18" s="15" t="s">
        <v>10</v>
      </c>
      <c r="B18" s="30">
        <f>КАГ!B13</f>
        <v>61</v>
      </c>
      <c r="H18" s="39"/>
    </row>
    <row r="19" spans="1:8" ht="14.45" customHeight="1" x14ac:dyDescent="0.25">
      <c r="A19" s="15" t="s">
        <v>12</v>
      </c>
      <c r="B19" s="68">
        <f>КАГ!B14</f>
        <v>15952</v>
      </c>
      <c r="C19" s="69"/>
      <c r="D19" s="69"/>
      <c r="E19" s="69"/>
      <c r="F19" s="69"/>
      <c r="G19" s="166" t="s">
        <v>403</v>
      </c>
      <c r="H19" s="181" t="str">
        <f>КАГ!H15</f>
        <v>51:36</v>
      </c>
    </row>
    <row r="20" spans="1:8" ht="14.45" customHeight="1" x14ac:dyDescent="0.25">
      <c r="A20" s="15" t="s">
        <v>133</v>
      </c>
      <c r="B20" s="68">
        <f>КАГ!B15</f>
        <v>35</v>
      </c>
      <c r="C20" s="70"/>
      <c r="D20" s="70"/>
      <c r="E20" s="70"/>
      <c r="F20" s="70"/>
      <c r="G20" s="167" t="s">
        <v>407</v>
      </c>
      <c r="H20" s="182">
        <f>КАГ!H16</f>
        <v>20400</v>
      </c>
    </row>
    <row r="21" spans="1:8" ht="14.45" customHeight="1" x14ac:dyDescent="0.25">
      <c r="A21" s="15" t="s">
        <v>106</v>
      </c>
      <c r="B21" s="67" t="str">
        <f>КАГ!B16</f>
        <v>ОКС с ↑ ST</v>
      </c>
      <c r="C21" s="70"/>
      <c r="E21" s="71"/>
      <c r="F21" s="71"/>
      <c r="G21" s="168" t="s">
        <v>392</v>
      </c>
      <c r="H21" s="169">
        <f>КАГ!H17</f>
        <v>38.76</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Реканализация:</v>
      </c>
      <c r="H22" s="186">
        <f>IFERROR(SUM(IF($B$21=Вмешательства!F3,SUM(КАГ!$B$9+0.01),"")),"")</f>
        <v>0.14194444444444446</v>
      </c>
    </row>
    <row r="23" spans="1:8" ht="14.45" customHeight="1" x14ac:dyDescent="0.25">
      <c r="A23" s="65" t="s">
        <v>395</v>
      </c>
      <c r="B23" s="173" t="s">
        <v>394</v>
      </c>
      <c r="C23" s="163"/>
      <c r="D23" s="163"/>
      <c r="E23" s="163"/>
      <c r="F23" s="163"/>
      <c r="H23" s="39"/>
    </row>
    <row r="24" spans="1:8" ht="14.45" customHeight="1" x14ac:dyDescent="0.3">
      <c r="A24" s="184" t="s">
        <v>393</v>
      </c>
      <c r="B24" s="171"/>
      <c r="C24" s="171"/>
      <c r="D24" s="171"/>
      <c r="E24" s="171"/>
      <c r="F24" s="171"/>
      <c r="G24" s="171"/>
      <c r="H24" s="172"/>
    </row>
    <row r="25" spans="1:8" ht="14.45" customHeight="1" x14ac:dyDescent="0.25">
      <c r="A25" s="242" t="s">
        <v>527</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78" t="s">
        <v>399</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396</v>
      </c>
      <c r="B39" s="70" t="s">
        <v>398</v>
      </c>
      <c r="C39" s="121"/>
      <c r="D39" s="122" t="s">
        <v>187</v>
      </c>
      <c r="E39" s="72"/>
      <c r="F39" s="72"/>
      <c r="G39" s="72"/>
      <c r="H39" s="73"/>
    </row>
    <row r="40" spans="1:12" ht="14.45" customHeight="1" x14ac:dyDescent="0.25">
      <c r="A40" s="175" t="s">
        <v>397</v>
      </c>
      <c r="B40" s="179" t="s">
        <v>520</v>
      </c>
      <c r="C40" s="120"/>
      <c r="D40" s="236" t="s">
        <v>404</v>
      </c>
      <c r="E40" s="237"/>
      <c r="F40" s="237"/>
      <c r="G40" s="237"/>
      <c r="H40" s="238"/>
    </row>
    <row r="41" spans="1:12" ht="14.45" customHeight="1" x14ac:dyDescent="0.25">
      <c r="A41" s="32"/>
      <c r="B41" s="28"/>
      <c r="C41" s="120"/>
      <c r="D41" s="237"/>
      <c r="E41" s="237"/>
      <c r="F41" s="237"/>
      <c r="G41" s="237"/>
      <c r="H41" s="238"/>
    </row>
    <row r="42" spans="1:12" ht="14.45" customHeight="1" x14ac:dyDescent="0.25">
      <c r="A42" s="32"/>
      <c r="B42" s="28"/>
      <c r="C42" s="120"/>
      <c r="D42" s="237"/>
      <c r="E42" s="237"/>
      <c r="F42" s="237"/>
      <c r="G42" s="237"/>
      <c r="H42" s="238"/>
    </row>
    <row r="43" spans="1:12" ht="14.45" customHeight="1" x14ac:dyDescent="0.25">
      <c r="A43" s="32"/>
      <c r="B43" s="28"/>
      <c r="C43" s="120"/>
      <c r="D43" s="237"/>
      <c r="E43" s="237"/>
      <c r="F43" s="237"/>
      <c r="G43" s="237"/>
      <c r="H43" s="238"/>
    </row>
    <row r="44" spans="1:12" ht="14.45" customHeight="1" x14ac:dyDescent="0.25">
      <c r="A44" s="32"/>
      <c r="B44" s="28"/>
      <c r="C44" s="120"/>
      <c r="D44" s="237"/>
      <c r="E44" s="237"/>
      <c r="F44" s="237"/>
      <c r="G44" s="237"/>
      <c r="H44" s="238"/>
      <c r="L44" s="161"/>
    </row>
    <row r="45" spans="1:12" ht="14.45" customHeight="1" x14ac:dyDescent="0.25">
      <c r="A45" s="32"/>
      <c r="B45" s="28"/>
      <c r="C45" s="120"/>
      <c r="D45" s="237"/>
      <c r="E45" s="237"/>
      <c r="F45" s="237"/>
      <c r="G45" s="237"/>
      <c r="H45" s="238"/>
    </row>
    <row r="46" spans="1:12" ht="14.45" customHeight="1" x14ac:dyDescent="0.25">
      <c r="A46" s="32"/>
      <c r="B46" s="28"/>
      <c r="C46" s="120"/>
      <c r="D46" s="237"/>
      <c r="E46" s="237"/>
      <c r="F46" s="237"/>
      <c r="G46" s="237"/>
      <c r="H46" s="238"/>
    </row>
    <row r="47" spans="1:12" ht="14.45" customHeight="1" x14ac:dyDescent="0.25">
      <c r="A47" s="38"/>
      <c r="C47" s="120"/>
      <c r="D47" s="237"/>
      <c r="E47" s="237"/>
      <c r="F47" s="237"/>
      <c r="G47" s="237"/>
      <c r="H47" s="238"/>
    </row>
    <row r="48" spans="1:12" ht="14.45" customHeight="1" x14ac:dyDescent="0.25">
      <c r="A48" s="38"/>
      <c r="C48" s="120"/>
      <c r="D48" s="237"/>
      <c r="E48" s="237"/>
      <c r="F48" s="237"/>
      <c r="G48" s="237"/>
      <c r="H48" s="238"/>
    </row>
    <row r="49" spans="1:8" ht="14.45" customHeight="1" x14ac:dyDescent="0.25">
      <c r="A49" s="38"/>
      <c r="C49" s="120"/>
      <c r="D49" s="237"/>
      <c r="E49" s="237"/>
      <c r="F49" s="237"/>
      <c r="G49" s="237"/>
      <c r="H49" s="238"/>
    </row>
    <row r="50" spans="1:8" x14ac:dyDescent="0.25">
      <c r="A50" s="62" t="s">
        <v>199</v>
      </c>
      <c r="B50" s="63" t="s">
        <v>521</v>
      </c>
      <c r="H50" s="39"/>
    </row>
    <row r="51" spans="1:8" x14ac:dyDescent="0.25">
      <c r="A51" s="65" t="s">
        <v>206</v>
      </c>
      <c r="B51" s="66" t="s">
        <v>311</v>
      </c>
      <c r="G51" s="74" t="str">
        <f>$G$13</f>
        <v>Щербаков А.С.</v>
      </c>
      <c r="H51" s="64"/>
    </row>
    <row r="52" spans="1:8" x14ac:dyDescent="0.25">
      <c r="A52" s="222" t="s">
        <v>375</v>
      </c>
      <c r="B52" s="223"/>
      <c r="C52" s="223"/>
      <c r="D52" s="223"/>
      <c r="E52" s="223"/>
      <c r="F52" s="224"/>
      <c r="H52" s="39"/>
    </row>
    <row r="53" spans="1:8" ht="15" customHeight="1" x14ac:dyDescent="0.25">
      <c r="A53" s="225"/>
      <c r="B53" s="226"/>
      <c r="C53" s="226"/>
      <c r="D53" s="226"/>
      <c r="E53" s="226"/>
      <c r="F53" s="227"/>
      <c r="G53" s="74" t="str">
        <f>IF(ISBLANK(H13),"",H13)</f>
        <v/>
      </c>
      <c r="H53" s="64"/>
    </row>
    <row r="54" spans="1:8" x14ac:dyDescent="0.25">
      <c r="A54" s="228"/>
      <c r="B54" s="229"/>
      <c r="C54" s="229"/>
      <c r="D54" s="229"/>
      <c r="E54" s="229"/>
      <c r="F54" s="230"/>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F13" sqref="F13"/>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45096</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40" t="str">
        <f>КАГ!$B$11</f>
        <v>Александровский П.А.</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22473</v>
      </c>
    </row>
    <row r="6" spans="1:4" ht="30"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61</v>
      </c>
    </row>
    <row r="7" spans="1:4" x14ac:dyDescent="0.25">
      <c r="A7" s="38"/>
      <c r="C7" s="101" t="s">
        <v>12</v>
      </c>
      <c r="D7" s="103">
        <f>КАГ!$B$14</f>
        <v>15952</v>
      </c>
    </row>
    <row r="8" spans="1:4" x14ac:dyDescent="0.25">
      <c r="A8" s="196" t="str">
        <f>ЧКВ!$A$9</f>
        <v>Код модели: 21166</v>
      </c>
      <c r="B8" s="104"/>
      <c r="C8" s="101" t="s">
        <v>133</v>
      </c>
      <c r="D8" s="103">
        <f>КАГ!$B$15</f>
        <v>35</v>
      </c>
    </row>
    <row r="9" spans="1:4" x14ac:dyDescent="0.25">
      <c r="A9" s="196" t="str">
        <f>ЧКВ!$A$10</f>
        <v>Код метода: 45</v>
      </c>
      <c r="C9" s="105" t="s">
        <v>106</v>
      </c>
      <c r="D9" s="103" t="str">
        <f>КАГ!$B$16</f>
        <v>ОКС с ↑ ST</v>
      </c>
    </row>
    <row r="10" spans="1:4" x14ac:dyDescent="0.25">
      <c r="A10" s="197"/>
      <c r="B10" s="31"/>
      <c r="C10" s="151" t="s">
        <v>13</v>
      </c>
      <c r="D10" s="152">
        <f>КАГ!$B$8</f>
        <v>45096</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516</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326</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5" s="155" t="s">
        <v>327</v>
      </c>
      <c r="C15" s="136"/>
      <c r="D15" s="141">
        <v>1</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6" s="155" t="s">
        <v>315</v>
      </c>
      <c r="C16" s="136"/>
      <c r="D16" s="141">
        <v>6</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379</v>
      </c>
      <c r="C17" s="136" t="s">
        <v>409</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5" t="s">
        <v>379</v>
      </c>
      <c r="C18" s="136" t="s">
        <v>416</v>
      </c>
      <c r="D18" s="141">
        <v>1</v>
      </c>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9" s="155" t="s">
        <v>379</v>
      </c>
      <c r="C19" s="183" t="s">
        <v>522</v>
      </c>
      <c r="D19" s="141">
        <v>1</v>
      </c>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20" s="156" t="s">
        <v>313</v>
      </c>
      <c r="C20" s="136" t="s">
        <v>419</v>
      </c>
      <c r="D20" s="141">
        <v>1</v>
      </c>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1" s="155" t="s">
        <v>324</v>
      </c>
      <c r="C21" s="136" t="s">
        <v>446</v>
      </c>
      <c r="D21" s="141">
        <v>2</v>
      </c>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2" s="155" t="s">
        <v>324</v>
      </c>
      <c r="C22" s="136" t="s">
        <v>465</v>
      </c>
      <c r="D22" s="143">
        <v>1</v>
      </c>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381</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492</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491</v>
      </c>
      <c r="G3" s="3" t="s">
        <v>492</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492</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406</v>
      </c>
      <c r="F5" t="s">
        <v>131</v>
      </c>
      <c r="G5" s="3" t="s">
        <v>492</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492</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492</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492</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492</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493</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491</v>
      </c>
      <c r="G13" s="3" t="s">
        <v>493</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493</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493</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494</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509</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506</v>
      </c>
      <c r="AN1" s="2" t="s">
        <v>500</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0</v>
      </c>
      <c r="M2" s="116">
        <f>IF(ISNUMBER(SEARCH('Карта учёта'!$B$21,Расходка[[#This Row],[Наименование расходного материала]])),MAX($M$1:M1)+1,0)</f>
        <v>0</v>
      </c>
      <c r="N2" s="2">
        <f>IF(ISNUMBER(SEARCH('Карта учёта'!$B$22,Расходка[[#This Row],[Наименование расходного материала]])),MAX($N$1:N1)+1,0)</f>
        <v>0</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"МИМ". Тюмень</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Launcher 6F EBU 4.0</v>
      </c>
      <c r="U2" s="115" t="str">
        <f>IFERROR(INDEX(Расходка[Наименование расходного материала],MATCH(Расходка[[#This Row],[№]],Поиск_расходки[Индекс4],0)),"")</f>
        <v>Fielder</v>
      </c>
      <c r="V2" s="115" t="str">
        <f>IFERROR(INDEX(Расходка[Наименование расходного материала],MATCH(Расходка[[#This Row],[№]],Поиск_расходки[Индекс5],0)),"")</f>
        <v>Колибри</v>
      </c>
      <c r="W2" s="115" t="str">
        <f>IFERROR(INDEX(Расходка[Наименование расходного материала],MATCH(Расходка[[#This Row],[№]],Поиск_расходки[Индекс6],0)),"")</f>
        <v>Колибри</v>
      </c>
      <c r="X2" s="115" t="str">
        <f>IFERROR(INDEX(Расходка[Наименование расходного материала],MATCH(Расходка[[#This Row],[№]],Поиск_расходки[Индекс7],0)),"")</f>
        <v>Колибри</v>
      </c>
      <c r="Y2" s="115" t="str">
        <f>IFERROR(INDEX(Расходка[Наименование расходного материала],MATCH(Расходка[[#This Row],[№]],Поиск_расходки[Индекс8],0)),"")</f>
        <v>NC Accuforce</v>
      </c>
      <c r="Z2" s="115" t="str">
        <f>IFERROR(INDEX(Расходка[Наименование расходного материала],MATCH(Расходка[[#This Row],[№]],Поиск_расходки[Индекс9],0)),"")</f>
        <v>DES, Resolute Integtity</v>
      </c>
      <c r="AA2" s="115" t="str">
        <f>IFERROR(INDEX(Расходка[Наименование расходного материала],MATCH(Расходка[[#This Row],[№]],Поиск_расходки[Индекс10],0)),"")</f>
        <v>DES, Resolute Integtity</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408</v>
      </c>
      <c r="AI2" t="s">
        <v>190</v>
      </c>
      <c r="AJ2" t="s">
        <v>199</v>
      </c>
      <c r="AK2" t="str">
        <f>CONCATENATE(AI2,AJ2)</f>
        <v xml:space="preserve">Контраст: Ультравист 370 </v>
      </c>
      <c r="AM2" s="190">
        <v>155800</v>
      </c>
      <c r="AN2" s="2" t="s">
        <v>309</v>
      </c>
      <c r="AO2" t="s">
        <v>502</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0</v>
      </c>
      <c r="M3" s="116">
        <f>IF(ISNUMBER(SEARCH('Карта учёта'!$B$21,Расходка[[#This Row],[Наименование расходного материала]])),MAX($M$1:M2)+1,0)</f>
        <v>0</v>
      </c>
      <c r="N3" s="116">
        <f>IF(ISNUMBER(SEARCH('Карта учёта'!$B$22,Расходка[[#This Row],[Наименование расходного материала]])),MAX($N$1:N2)+1,0)</f>
        <v>0</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c>
      <c r="U3" s="115" t="str">
        <f>IFERROR(INDEX(Расходка[Наименование расходного материала],MATCH(Расходка[[#This Row],[№]],Поиск_расходки[Индекс4],0)),"")</f>
        <v>Fielder XT-A</v>
      </c>
      <c r="V3" s="115" t="str">
        <f>IFERROR(INDEX(Расходка[Наименование расходного материала],MATCH(Расходка[[#This Row],[№]],Поиск_расходки[Индекс5],0)),"")</f>
        <v xml:space="preserve">NC Колибри </v>
      </c>
      <c r="W3" s="115" t="str">
        <f>IFERROR(INDEX(Расходка[Наименование расходного материала],MATCH(Расходка[[#This Row],[№]],Поиск_расходки[Индекс6],0)),"")</f>
        <v xml:space="preserve">NC Колибри </v>
      </c>
      <c r="X3" s="115" t="str">
        <f>IFERROR(INDEX(Расходка[Наименование расходного материала],MATCH(Расходка[[#This Row],[№]],Поиск_расходки[Индекс7],0)),"")</f>
        <v xml:space="preserve">NC Колибри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c>
      <c r="AA3" s="115" t="str">
        <f>IFERROR(INDEX(Расходка[Наименование расходного материала],MATCH(Расходка[[#This Row],[№]],Поиск_расходки[Индекс10],0)),"")</f>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409</v>
      </c>
      <c r="AI3" t="s">
        <v>190</v>
      </c>
      <c r="AJ3" t="s">
        <v>200</v>
      </c>
      <c r="AK3" t="str">
        <f t="shared" ref="AK3:AK6" si="0">CONCATENATE(AI3,AJ3)</f>
        <v>Контраст: Омнипак 350</v>
      </c>
      <c r="AM3" s="190">
        <v>218190</v>
      </c>
      <c r="AN3" s="2" t="s">
        <v>495</v>
      </c>
      <c r="AO3" t="s">
        <v>503</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0</v>
      </c>
      <c r="M4" s="116">
        <f>IF(ISNUMBER(SEARCH('Карта учёта'!$B$21,Расходка[[#This Row],[Наименование расходного материала]])),MAX($M$1:M3)+1,0)</f>
        <v>0</v>
      </c>
      <c r="N4" s="116">
        <f>IF(ISNUMBER(SEARCH('Карта учёта'!$B$22,Расходка[[#This Row],[Наименование расходного материала]])),MAX($N$1:N3)+1,0)</f>
        <v>0</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Fielder XT-R</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
      </c>
      <c r="AA4" s="115" t="str">
        <f>IFERROR(INDEX(Расходка[Наименование расходного материала],MATCH(Расходка[[#This Row],[№]],Поиск_расходки[Индекс10],0)),"")</f>
        <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410</v>
      </c>
      <c r="AI4" t="s">
        <v>190</v>
      </c>
      <c r="AJ4" t="s">
        <v>201</v>
      </c>
      <c r="AK4" t="str">
        <f t="shared" si="0"/>
        <v>Контраст: Оптирей 350</v>
      </c>
      <c r="AM4" s="190">
        <v>337440</v>
      </c>
      <c r="AN4" s="2" t="s">
        <v>508</v>
      </c>
      <c r="AO4" t="s">
        <v>505</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0</v>
      </c>
      <c r="J5" s="116">
        <f>IF(ISNUMBER(SEARCH('Карта учёта'!$B$18,Расходка[[#This Row],[Наименование расходного материала]])),MAX($J$1:J4)+1,0)</f>
        <v>0</v>
      </c>
      <c r="K5" s="116">
        <f>IF(ISNUMBER(SEARCH('Карта учёта'!$B$19,Расходка[[#This Row],[Наименование расходного материала]])),MAX($K$1:K4)+1,0)</f>
        <v>0</v>
      </c>
      <c r="L5" s="116">
        <f>IF(ISNUMBER(SEARCH('Карта учёта'!$B$20,Расходка[[#This Row],[Наименование расходного материала]])),MAX($L$1:L4)+1,0)</f>
        <v>1</v>
      </c>
      <c r="M5" s="116">
        <f>IF(ISNUMBER(SEARCH('Карта учёта'!$B$21,Расходка[[#This Row],[Наименование расходного материала]])),MAX($M$1:M4)+1,0)</f>
        <v>0</v>
      </c>
      <c r="N5" s="116">
        <f>IF(ISNUMBER(SEARCH('Карта учёта'!$B$22,Расходка[[#This Row],[Наименование расходного материала]])),MAX($N$1:N4)+1,0)</f>
        <v>0</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
      </c>
      <c r="AA5" s="115" t="str">
        <f>IFERROR(INDEX(Расходка[Наименование расходного материала],MATCH(Расходка[[#This Row],[№]],Поиск_расходки[Индекс10],0)),"")</f>
        <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411</v>
      </c>
      <c r="AI5" t="s">
        <v>190</v>
      </c>
      <c r="AJ5" t="s">
        <v>202</v>
      </c>
      <c r="AK5" t="str">
        <f t="shared" si="0"/>
        <v>Контраст: Юнигексол 350</v>
      </c>
      <c r="AM5" s="190">
        <v>136170</v>
      </c>
      <c r="AN5" s="2"/>
      <c r="AO5" t="s">
        <v>504</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0</v>
      </c>
      <c r="M6" s="116">
        <f>IF(ISNUMBER(SEARCH('Карта учёта'!$B$21,Расходка[[#This Row],[Наименование расходного материала]])),MAX($M$1:M5)+1,0)</f>
        <v>0</v>
      </c>
      <c r="N6" s="116">
        <f>IF(ISNUMBER(SEARCH('Карта учёта'!$B$22,Расходка[[#This Row],[Наименование расходного материала]])),MAX($N$1:N5)+1,0)</f>
        <v>0</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
      </c>
      <c r="AA6" s="115" t="str">
        <f>IFERROR(INDEX(Расходка[Наименование расходного материала],MATCH(Расходка[[#This Row],[№]],Поиск_расходки[Индекс10],0)),"")</f>
        <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412</v>
      </c>
      <c r="AI6" t="s">
        <v>190</v>
      </c>
      <c r="AJ6" t="s">
        <v>203</v>
      </c>
      <c r="AK6" t="str">
        <f t="shared" si="0"/>
        <v>Контраст: Сканлюкс 370</v>
      </c>
      <c r="AM6" s="190">
        <v>135820</v>
      </c>
      <c r="AN6" s="2"/>
      <c r="AO6" t="s">
        <v>507</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0</v>
      </c>
      <c r="M7" s="116">
        <f>IF(ISNUMBER(SEARCH('Карта учёта'!$B$21,Расходка[[#This Row],[Наименование расходного материала]])),MAX($M$1:M6)+1,0)</f>
        <v>0</v>
      </c>
      <c r="N7" s="116">
        <f>IF(ISNUMBER(SEARCH('Карта учёта'!$B$22,Расходка[[#This Row],[Наименование расходного материала]])),MAX($N$1:N6)+1,0)</f>
        <v>0</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
      </c>
      <c r="AA7" s="115" t="str">
        <f>IFERROR(INDEX(Расходка[Наименование расходного материала],MATCH(Расходка[[#This Row],[№]],Поиск_расходки[Индекс10],0)),"")</f>
        <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413</v>
      </c>
      <c r="AI7" t="s">
        <v>190</v>
      </c>
      <c r="AJ7" t="s">
        <v>204</v>
      </c>
      <c r="AK7" t="str">
        <f t="shared" ref="AK7:AK8" si="1">CONCATENATE(AI7,AJ7)</f>
        <v>Контраст: Йогексол 350</v>
      </c>
      <c r="AM7" s="190">
        <v>155760</v>
      </c>
      <c r="AN7" s="2"/>
      <c r="AO7" t="s">
        <v>501</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0</v>
      </c>
      <c r="M8" s="116">
        <f>IF(ISNUMBER(SEARCH('Карта учёта'!$B$21,Расходка[[#This Row],[Наименование расходного материала]])),MAX($M$1:M7)+1,0)</f>
        <v>0</v>
      </c>
      <c r="N8" s="116">
        <f>IF(ISNUMBER(SEARCH('Карта учёта'!$B$22,Расходка[[#This Row],[Наименование расходного материала]])),MAX($N$1:N7)+1,0)</f>
        <v>0</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
      </c>
      <c r="AA8" s="115" t="str">
        <f>IFERROR(INDEX(Расходка[Наименование расходного материала],MATCH(Расходка[[#This Row],[№]],Поиск_расходки[Индекс10],0)),"")</f>
        <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414</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0</v>
      </c>
      <c r="M9" s="116">
        <f>IF(ISNUMBER(SEARCH('Карта учёта'!$B$21,Расходка[[#This Row],[Наименование расходного материала]])),MAX($M$1:M8)+1,0)</f>
        <v>0</v>
      </c>
      <c r="N9" s="116">
        <f>IF(ISNUMBER(SEARCH('Карта учёта'!$B$22,Расходка[[#This Row],[Наименование расходного материала]])),MAX($N$1:N8)+1,0)</f>
        <v>0</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
      </c>
      <c r="AA9" s="115" t="str">
        <f>IFERROR(INDEX(Расходка[Наименование расходного материала],MATCH(Расходка[[#This Row],[№]],Поиск_расходки[Индекс10],0)),"")</f>
        <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415</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0</v>
      </c>
      <c r="I10" s="116">
        <f>IF(ISNUMBER(SEARCH('Карта учёта'!$B$17,Расходка[[#This Row],[Наименование расходного материала]])),MAX($I$1:I9)+1,0)</f>
        <v>1</v>
      </c>
      <c r="J10" s="116">
        <f>IF(ISNUMBER(SEARCH('Карта учёта'!$B$18,Расходка[[#This Row],[Наименование расходного материала]])),MAX($J$1:J9)+1,0)</f>
        <v>1</v>
      </c>
      <c r="K10" s="116">
        <f>IF(ISNUMBER(SEARCH('Карта учёта'!$B$19,Расходка[[#This Row],[Наименование расходного материала]])),MAX($K$1:K9)+1,0)</f>
        <v>1</v>
      </c>
      <c r="L10" s="116">
        <f>IF(ISNUMBER(SEARCH('Карта учёта'!$B$20,Расходка[[#This Row],[Наименование расходного материала]])),MAX($L$1:L9)+1,0)</f>
        <v>0</v>
      </c>
      <c r="M10" s="116">
        <f>IF(ISNUMBER(SEARCH('Карта учёта'!$B$21,Расходка[[#This Row],[Наименование расходного материала]])),MAX($M$1:M9)+1,0)</f>
        <v>0</v>
      </c>
      <c r="N10" s="116">
        <f>IF(ISNUMBER(SEARCH('Карта учёта'!$B$22,Расходка[[#This Row],[Наименование расходного материала]])),MAX($N$1:N9)+1,0)</f>
        <v>0</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
      </c>
      <c r="AA10" s="115" t="str">
        <f>IFERROR(INDEX(Расходка[Наименование расходного материала],MATCH(Расходка[[#This Row],[№]],Поиск_расходки[Индекс10],0)),"")</f>
        <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416</v>
      </c>
      <c r="AI10" t="s">
        <v>356</v>
      </c>
      <c r="AM10" s="190">
        <v>194510</v>
      </c>
      <c r="AN10" s="2"/>
      <c r="AO10" t="s">
        <v>91</v>
      </c>
    </row>
    <row r="11" spans="1:42" x14ac:dyDescent="0.25">
      <c r="A11">
        <v>10</v>
      </c>
      <c r="B11" t="s">
        <v>5</v>
      </c>
      <c r="C11" t="s">
        <v>402</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0</v>
      </c>
      <c r="I11" s="116">
        <f>IF(ISNUMBER(SEARCH('Карта учёта'!$B$17,Расходка[[#This Row],[Наименование расходного материала]])),MAX($I$1:I10)+1,0)</f>
        <v>2</v>
      </c>
      <c r="J11" s="116">
        <f>IF(ISNUMBER(SEARCH('Карта учёта'!$B$18,Расходка[[#This Row],[Наименование расходного материала]])),MAX($J$1:J10)+1,0)</f>
        <v>2</v>
      </c>
      <c r="K11" s="116">
        <f>IF(ISNUMBER(SEARCH('Карта учёта'!$B$19,Расходка[[#This Row],[Наименование расходного материала]])),MAX($K$1:K10)+1,0)</f>
        <v>2</v>
      </c>
      <c r="L11" s="116">
        <f>IF(ISNUMBER(SEARCH('Карта учёта'!$B$20,Расходка[[#This Row],[Наименование расходного материала]])),MAX($L$1:L10)+1,0)</f>
        <v>0</v>
      </c>
      <c r="M11" s="116">
        <f>IF(ISNUMBER(SEARCH('Карта учёта'!$B$21,Расходка[[#This Row],[Наименование расходного материала]])),MAX($M$1:M10)+1,0)</f>
        <v>0</v>
      </c>
      <c r="N11" s="116">
        <f>IF(ISNUMBER(SEARCH('Карта учёта'!$B$22,Расходка[[#This Row],[Наименование расходного материала]])),MAX($N$1:N10)+1,0)</f>
        <v>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c>
      <c r="AA11" s="115" t="str">
        <f>IFERROR(INDEX(Расходка[Наименование расходного материала],MATCH(Расходка[[#This Row],[№]],Поиск_расходки[Индекс10],0)),"")</f>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417</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0</v>
      </c>
      <c r="M12" s="116">
        <f>IF(ISNUMBER(SEARCH('Карта учёта'!$B$21,Расходка[[#This Row],[Наименование расходного материала]])),MAX($M$1:M11)+1,0)</f>
        <v>0</v>
      </c>
      <c r="N12" s="116">
        <f>IF(ISNUMBER(SEARCH('Карта учёта'!$B$22,Расходка[[#This Row],[Наименование расходного материала]])),MAX($N$1:N11)+1,0)</f>
        <v>0</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
      </c>
      <c r="AA12" s="115" t="str">
        <f>IFERROR(INDEX(Расходка[Наименование расходного материала],MATCH(Расходка[[#This Row],[№]],Поиск_расходки[Индекс10],0)),"")</f>
        <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418</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0</v>
      </c>
      <c r="M13" s="116">
        <f>IF(ISNUMBER(SEARCH('Карта учёта'!$B$21,Расходка[[#This Row],[Наименование расходного материала]])),MAX($M$1:M12)+1,0)</f>
        <v>0</v>
      </c>
      <c r="N13" s="116">
        <f>IF(ISNUMBER(SEARCH('Карта учёта'!$B$22,Расходка[[#This Row],[Наименование расходного материала]])),MAX($N$1:N12)+1,0)</f>
        <v>0</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
      </c>
      <c r="AA13" s="115" t="str">
        <f>IFERROR(INDEX(Расходка[Наименование расходного материала],MATCH(Расходка[[#This Row],[№]],Поиск_расходки[Индекс10],0)),"")</f>
        <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419</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0</v>
      </c>
      <c r="M14" s="116">
        <f>IF(ISNUMBER(SEARCH('Карта учёта'!$B$21,Расходка[[#This Row],[Наименование расходного материала]])),MAX($M$1:M13)+1,0)</f>
        <v>0</v>
      </c>
      <c r="N14" s="116">
        <f>IF(ISNUMBER(SEARCH('Карта учёта'!$B$22,Расходка[[#This Row],[Наименование расходного материала]])),MAX($N$1:N13)+1,0)</f>
        <v>0</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
      </c>
      <c r="AA14" s="115" t="str">
        <f>IFERROR(INDEX(Расходка[Наименование расходного материала],MATCH(Расходка[[#This Row],[№]],Поиск_расходки[Индекс10],0)),"")</f>
        <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498</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0</v>
      </c>
      <c r="M15" s="116">
        <f>IF(ISNUMBER(SEARCH('Карта учёта'!$B$21,Расходка[[#This Row],[Наименование расходного материала]])),MAX($M$1:M14)+1,0)</f>
        <v>0</v>
      </c>
      <c r="N15" s="116">
        <f>IF(ISNUMBER(SEARCH('Карта учёта'!$B$22,Расходка[[#This Row],[Наименование расходного материала]])),MAX($N$1:N14)+1,0)</f>
        <v>0</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
      </c>
      <c r="AA15" s="115" t="str">
        <f>IFERROR(INDEX(Расходка[Наименование расходного материала],MATCH(Расходка[[#This Row],[№]],Поиск_расходки[Индекс10],0)),"")</f>
        <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420</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0</v>
      </c>
      <c r="M16" s="116">
        <f>IF(ISNUMBER(SEARCH('Карта учёта'!$B$21,Расходка[[#This Row],[Наименование расходного материала]])),MAX($M$1:M15)+1,0)</f>
        <v>0</v>
      </c>
      <c r="N16" s="116">
        <f>IF(ISNUMBER(SEARCH('Карта учёта'!$B$22,Расходка[[#This Row],[Наименование расходного материала]])),MAX($N$1:N15)+1,0)</f>
        <v>0</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
      </c>
      <c r="AA16" s="115" t="str">
        <f>IFERROR(INDEX(Расходка[Наименование расходного материала],MATCH(Расходка[[#This Row],[№]],Поиск_расходки[Индекс10],0)),"")</f>
        <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421</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0</v>
      </c>
      <c r="M17" s="116">
        <f>IF(ISNUMBER(SEARCH('Карта учёта'!$B$21,Расходка[[#This Row],[Наименование расходного материала]])),MAX($M$1:M16)+1,0)</f>
        <v>0</v>
      </c>
      <c r="N17" s="116">
        <f>IF(ISNUMBER(SEARCH('Карта учёта'!$B$22,Расходка[[#This Row],[Наименование расходного материала]])),MAX($N$1:N16)+1,0)</f>
        <v>0</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
      </c>
      <c r="AA17" s="115" t="str">
        <f>IFERROR(INDEX(Расходка[Наименование расходного материала],MATCH(Расходка[[#This Row],[№]],Поиск_расходки[Индекс10],0)),"")</f>
        <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422</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0</v>
      </c>
      <c r="M18" s="116">
        <f>IF(ISNUMBER(SEARCH('Карта учёта'!$B$21,Расходка[[#This Row],[Наименование расходного материала]])),MAX($M$1:M17)+1,0)</f>
        <v>0</v>
      </c>
      <c r="N18" s="116">
        <f>IF(ISNUMBER(SEARCH('Карта учёта'!$B$22,Расходка[[#This Row],[Наименование расходного материала]])),MAX($N$1:N17)+1,0)</f>
        <v>0</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
      </c>
      <c r="AA18" s="115" t="str">
        <f>IFERROR(INDEX(Расходка[Наименование расходного материала],MATCH(Расходка[[#This Row],[№]],Поиск_расходки[Индекс10],0)),"")</f>
        <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423</v>
      </c>
      <c r="AI18" t="s">
        <v>95</v>
      </c>
    </row>
    <row r="19" spans="1:35" x14ac:dyDescent="0.25">
      <c r="A19">
        <v>18</v>
      </c>
      <c r="B19" t="s">
        <v>306</v>
      </c>
      <c r="C19" t="s">
        <v>511</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0</v>
      </c>
      <c r="M19" s="116">
        <f>IF(ISNUMBER(SEARCH('Карта учёта'!$B$21,Расходка[[#This Row],[Наименование расходного материала]])),MAX($M$1:M18)+1,0)</f>
        <v>0</v>
      </c>
      <c r="N19" s="116">
        <f>IF(ISNUMBER(SEARCH('Карта учёта'!$B$22,Расходка[[#This Row],[Наименование расходного материала]])),MAX($N$1:N18)+1,0)</f>
        <v>0</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
      </c>
      <c r="AA19" s="115" t="str">
        <f>IFERROR(INDEX(Расходка[Наименование расходного материала],MATCH(Расходка[[#This Row],[№]],Поиск_расходки[Индекс10],0)),"")</f>
        <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424</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0</v>
      </c>
      <c r="M20" s="116">
        <f>IF(ISNUMBER(SEARCH('Карта учёта'!$B$21,Расходка[[#This Row],[Наименование расходного материала]])),MAX($M$1:M19)+1,0)</f>
        <v>0</v>
      </c>
      <c r="N20" s="116">
        <f>IF(ISNUMBER(SEARCH('Карта учёта'!$B$22,Расходка[[#This Row],[Наименование расходного материала]])),MAX($N$1:N19)+1,0)</f>
        <v>0</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
      </c>
      <c r="AA20" s="115" t="str">
        <f>IFERROR(INDEX(Расходка[Наименование расходного материала],MATCH(Расходка[[#This Row],[№]],Поиск_расходки[Индекс10],0)),"")</f>
        <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425</v>
      </c>
      <c r="AI20" t="s">
        <v>308</v>
      </c>
    </row>
    <row r="21" spans="1:35" x14ac:dyDescent="0.25">
      <c r="A21">
        <v>20</v>
      </c>
      <c r="B21" t="s">
        <v>306</v>
      </c>
      <c r="C21" s="1" t="s">
        <v>516</v>
      </c>
      <c r="E21" s="116">
        <f>IF(ISNUMBER(SEARCH('Карта учёта'!$B$13,Расходка[[#This Row],[Наименование расходного материала]])),MAX($E$1:E20)+1,0)</f>
        <v>1</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0</v>
      </c>
      <c r="M21" s="116">
        <f>IF(ISNUMBER(SEARCH('Карта учёта'!$B$21,Расходка[[#This Row],[Наименование расходного материала]])),MAX($M$1:M20)+1,0)</f>
        <v>0</v>
      </c>
      <c r="N21" s="116">
        <f>IF(ISNUMBER(SEARCH('Карта учёта'!$B$22,Расходка[[#This Row],[Наименование расходного материала]])),MAX($N$1:N20)+1,0)</f>
        <v>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
      </c>
      <c r="AA21" s="115" t="str">
        <f>IFERROR(INDEX(Расходка[Наименование расходного материала],MATCH(Расходка[[#This Row],[№]],Поиск_расходки[Индекс10],0)),"")</f>
        <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426</v>
      </c>
    </row>
    <row r="22" spans="1:35" x14ac:dyDescent="0.25">
      <c r="A22">
        <v>21</v>
      </c>
      <c r="B22" t="s">
        <v>3</v>
      </c>
      <c r="C22" t="s">
        <v>322</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0</v>
      </c>
      <c r="M22" s="116">
        <f>IF(ISNUMBER(SEARCH('Карта учёта'!$B$21,Расходка[[#This Row],[Наименование расходного материала]])),MAX($M$1:M21)+1,0)</f>
        <v>0</v>
      </c>
      <c r="N22" s="116">
        <f>IF(ISNUMBER(SEARCH('Карта учёта'!$B$22,Расходка[[#This Row],[Наименование расходного материала]])),MAX($N$1:N21)+1,0)</f>
        <v>0</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
      </c>
      <c r="AA22" s="115" t="str">
        <f>IFERROR(INDEX(Расходка[Наименование расходного материала],MATCH(Расходка[[#This Row],[№]],Поиск_расходки[Индекс10],0)),"")</f>
        <v/>
      </c>
      <c r="AB22" s="115" t="str">
        <f>IFERROR(INDEX(Расходка[Наименование расходного материала],MATCH(Расходка[[#This Row],[№]],Поиск_расходки[Индекс11],0)),"")</f>
        <v>Cougar LS Hydro-Track®</v>
      </c>
      <c r="AC22" s="115" t="str">
        <f>IFERROR(INDEX(Расходка[Наименование расходного материала],MATCH(Расходка[[#This Row],[№]],Поиск_расходки[Индекс12],0)),"")</f>
        <v>Cougar LS Hydro-Track®</v>
      </c>
      <c r="AD22" s="115" t="str">
        <f>IFERROR(INDEX(Расходка[Наименование расходного материала],MATCH(Расходка[[#This Row],[№]],Поиск_расходки[Индекс13],0)),"")</f>
        <v>Cougar LS Hydro-Track®</v>
      </c>
      <c r="AF22" s="4" t="s">
        <v>5</v>
      </c>
      <c r="AG22" s="4" t="s">
        <v>427</v>
      </c>
    </row>
    <row r="23" spans="1:35" x14ac:dyDescent="0.25">
      <c r="A23">
        <v>22</v>
      </c>
      <c r="B23" t="s">
        <v>3</v>
      </c>
      <c r="C23" t="s">
        <v>343</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0</v>
      </c>
      <c r="M23" s="116">
        <f>IF(ISNUMBER(SEARCH('Карта учёта'!$B$21,Расходка[[#This Row],[Наименование расходного материала]])),MAX($M$1:M22)+1,0)</f>
        <v>0</v>
      </c>
      <c r="N23" s="116">
        <f>IF(ISNUMBER(SEARCH('Карта учёта'!$B$22,Расходка[[#This Row],[Наименование расходного материала]])),MAX($N$1:N22)+1,0)</f>
        <v>0</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
      </c>
      <c r="AA23" s="115" t="str">
        <f>IFERROR(INDEX(Расходка[Наименование расходного материала],MATCH(Расходка[[#This Row],[№]],Поиск_расходки[Индекс10],0)),"")</f>
        <v/>
      </c>
      <c r="AB23" s="115" t="str">
        <f>IFERROR(INDEX(Расходка[Наименование расходного материала],MATCH(Расходка[[#This Row],[№]],Поиск_расходки[Индекс11],0)),"")</f>
        <v>Cougar XT Hydro-Track®</v>
      </c>
      <c r="AC23" s="115" t="str">
        <f>IFERROR(INDEX(Расходка[Наименование расходного материала],MATCH(Расходка[[#This Row],[№]],Поиск_расходки[Индекс12],0)),"")</f>
        <v>Cougar XT Hydro-Track®</v>
      </c>
      <c r="AD23" s="115" t="str">
        <f>IFERROR(INDEX(Расходка[Наименование расходного материала],MATCH(Расходка[[#This Row],[№]],Поиск_расходки[Индекс13],0)),"")</f>
        <v>Cougar XT Hydro-Track®</v>
      </c>
      <c r="AF23" s="4" t="s">
        <v>5</v>
      </c>
      <c r="AG23" s="4" t="s">
        <v>428</v>
      </c>
    </row>
    <row r="24" spans="1:35" x14ac:dyDescent="0.25">
      <c r="A24">
        <v>23</v>
      </c>
      <c r="B24" t="s">
        <v>3</v>
      </c>
      <c r="C24" t="s">
        <v>315</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1</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0</v>
      </c>
      <c r="M24" s="116">
        <f>IF(ISNUMBER(SEARCH('Карта учёта'!$B$21,Расходка[[#This Row],[Наименование расходного материала]])),MAX($M$1:M23)+1,0)</f>
        <v>0</v>
      </c>
      <c r="N24" s="116">
        <f>IF(ISNUMBER(SEARCH('Карта учёта'!$B$22,Расходка[[#This Row],[Наименование расходного материала]])),MAX($N$1:N23)+1,0)</f>
        <v>0</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
      </c>
      <c r="AA24" s="115" t="str">
        <f>IFERROR(INDEX(Расходка[Наименование расходного материала],MATCH(Расходка[[#This Row],[№]],Поиск_расходки[Индекс10],0)),"")</f>
        <v/>
      </c>
      <c r="AB24" s="115" t="str">
        <f>IFERROR(INDEX(Расходка[Наименование расходного материала],MATCH(Расходка[[#This Row],[№]],Поиск_расходки[Индекс11],0)),"")</f>
        <v>Fielder</v>
      </c>
      <c r="AC24" s="115" t="str">
        <f>IFERROR(INDEX(Расходка[Наименование расходного материала],MATCH(Расходка[[#This Row],[№]],Поиск_расходки[Индекс12],0)),"")</f>
        <v>Fielder</v>
      </c>
      <c r="AD24" s="115" t="str">
        <f>IFERROR(INDEX(Расходка[Наименование расходного материала],MATCH(Расходка[[#This Row],[№]],Поиск_расходки[Индекс13],0)),"")</f>
        <v>Fielder</v>
      </c>
      <c r="AF24" s="4" t="s">
        <v>5</v>
      </c>
      <c r="AG24" s="4" t="s">
        <v>429</v>
      </c>
    </row>
    <row r="25" spans="1:35" x14ac:dyDescent="0.25">
      <c r="A25">
        <v>24</v>
      </c>
      <c r="B25" t="s">
        <v>3</v>
      </c>
      <c r="C25" t="s">
        <v>377</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2</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0</v>
      </c>
      <c r="M25" s="116">
        <f>IF(ISNUMBER(SEARCH('Карта учёта'!$B$21,Расходка[[#This Row],[Наименование расходного материала]])),MAX($M$1:M24)+1,0)</f>
        <v>0</v>
      </c>
      <c r="N25" s="116">
        <f>IF(ISNUMBER(SEARCH('Карта учёта'!$B$22,Расходка[[#This Row],[Наименование расходного материала]])),MAX($N$1:N24)+1,0)</f>
        <v>0</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
      </c>
      <c r="AA25" s="115" t="str">
        <f>IFERROR(INDEX(Расходка[Наименование расходного материала],MATCH(Расходка[[#This Row],[№]],Поиск_расходки[Индекс10],0)),"")</f>
        <v/>
      </c>
      <c r="AB25" s="115" t="str">
        <f>IFERROR(INDEX(Расходка[Наименование расходного материала],MATCH(Расходка[[#This Row],[№]],Поиск_расходки[Индекс11],0)),"")</f>
        <v>Fielder XT-A</v>
      </c>
      <c r="AC25" s="115" t="str">
        <f>IFERROR(INDEX(Расходка[Наименование расходного материала],MATCH(Расходка[[#This Row],[№]],Поиск_расходки[Индекс12],0)),"")</f>
        <v>Fielder XT-A</v>
      </c>
      <c r="AD25" s="115" t="str">
        <f>IFERROR(INDEX(Расходка[Наименование расходного материала],MATCH(Расходка[[#This Row],[№]],Поиск_расходки[Индекс13],0)),"")</f>
        <v>Fielder XT-A</v>
      </c>
      <c r="AF25" s="4" t="s">
        <v>5</v>
      </c>
      <c r="AG25" s="4" t="s">
        <v>430</v>
      </c>
    </row>
    <row r="26" spans="1:35" x14ac:dyDescent="0.25">
      <c r="A26">
        <v>25</v>
      </c>
      <c r="B26" t="s">
        <v>3</v>
      </c>
      <c r="C26" t="s">
        <v>378</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3</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0</v>
      </c>
      <c r="M26" s="116">
        <f>IF(ISNUMBER(SEARCH('Карта учёта'!$B$21,Расходка[[#This Row],[Наименование расходного материала]])),MAX($M$1:M25)+1,0)</f>
        <v>0</v>
      </c>
      <c r="N26" s="116">
        <f>IF(ISNUMBER(SEARCH('Карта учёта'!$B$22,Расходка[[#This Row],[Наименование расходного материала]])),MAX($N$1:N25)+1,0)</f>
        <v>0</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
      </c>
      <c r="AA26" s="115" t="str">
        <f>IFERROR(INDEX(Расходка[Наименование расходного материала],MATCH(Расходка[[#This Row],[№]],Поиск_расходки[Индекс10],0)),"")</f>
        <v/>
      </c>
      <c r="AB26" s="115" t="str">
        <f>IFERROR(INDEX(Расходка[Наименование расходного материала],MATCH(Расходка[[#This Row],[№]],Поиск_расходки[Индекс11],0)),"")</f>
        <v>Fielder XT-R</v>
      </c>
      <c r="AC26" s="115" t="str">
        <f>IFERROR(INDEX(Расходка[Наименование расходного материала],MATCH(Расходка[[#This Row],[№]],Поиск_расходки[Индекс12],0)),"")</f>
        <v>Fielder XT-R</v>
      </c>
      <c r="AD26" s="115" t="str">
        <f>IFERROR(INDEX(Расходка[Наименование расходного материала],MATCH(Расходка[[#This Row],[№]],Поиск_расходки[Индекс13],0)),"")</f>
        <v>Fielder XT-R</v>
      </c>
      <c r="AF26" s="4" t="s">
        <v>5</v>
      </c>
      <c r="AG26" s="4" t="s">
        <v>431</v>
      </c>
    </row>
    <row r="27" spans="1:35" x14ac:dyDescent="0.25">
      <c r="A27">
        <v>26</v>
      </c>
      <c r="B27" t="s">
        <v>3</v>
      </c>
      <c r="C27" s="1" t="s">
        <v>360</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0</v>
      </c>
      <c r="M27" s="116">
        <f>IF(ISNUMBER(SEARCH('Карта учёта'!$B$21,Расходка[[#This Row],[Наименование расходного материала]])),MAX($M$1:M26)+1,0)</f>
        <v>0</v>
      </c>
      <c r="N27" s="116">
        <f>IF(ISNUMBER(SEARCH('Карта учёта'!$B$22,Расходка[[#This Row],[Наименование расходного материала]])),MAX($N$1:N26)+1,0)</f>
        <v>0</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
      </c>
      <c r="AA27" s="115" t="str">
        <f>IFERROR(INDEX(Расходка[Наименование расходного материала],MATCH(Расходка[[#This Row],[№]],Поиск_расходки[Индекс10],0)),"")</f>
        <v/>
      </c>
      <c r="AB27" s="115" t="str">
        <f>IFERROR(INDEX(Расходка[Наименование расходного материала],MATCH(Расходка[[#This Row],[№]],Поиск_расходки[Индекс11],0)),"")</f>
        <v>Gaia Second</v>
      </c>
      <c r="AC27" s="115" t="str">
        <f>IFERROR(INDEX(Расходка[Наименование расходного материала],MATCH(Расходка[[#This Row],[№]],Поиск_расходки[Индекс12],0)),"")</f>
        <v>Gaia Second</v>
      </c>
      <c r="AD27" s="115" t="str">
        <f>IFERROR(INDEX(Расходка[Наименование расходного материала],MATCH(Расходка[[#This Row],[№]],Поиск_расходки[Индекс13],0)),"")</f>
        <v>Gaia Second</v>
      </c>
      <c r="AF27" s="4" t="s">
        <v>5</v>
      </c>
      <c r="AG27" s="4" t="s">
        <v>432</v>
      </c>
    </row>
    <row r="28" spans="1:35" x14ac:dyDescent="0.25">
      <c r="A28">
        <v>27</v>
      </c>
      <c r="B28" t="s">
        <v>3</v>
      </c>
      <c r="C28" s="1"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0</v>
      </c>
      <c r="M28" s="116">
        <f>IF(ISNUMBER(SEARCH('Карта учёта'!$B$21,Расходка[[#This Row],[Наименование расходного материала]])),MAX($M$1:M27)+1,0)</f>
        <v>0</v>
      </c>
      <c r="N28" s="116">
        <f>IF(ISNUMBER(SEARCH('Карта учёта'!$B$22,Расходка[[#This Row],[Наименование расходного материала]])),MAX($N$1:N27)+1,0)</f>
        <v>0</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
      </c>
      <c r="AA28" s="115" t="str">
        <f>IFERROR(INDEX(Расходка[Наименование расходного материала],MATCH(Расходка[[#This Row],[№]],Поиск_расходки[Индекс10],0)),"")</f>
        <v/>
      </c>
      <c r="AB28" s="115" t="str">
        <f>IFERROR(INDEX(Расходка[Наименование расходного материала],MATCH(Расходка[[#This Row],[№]],Поиск_расходки[Индекс11],0)),"")</f>
        <v>Gaia Third</v>
      </c>
      <c r="AC28" s="115" t="str">
        <f>IFERROR(INDEX(Расходка[Наименование расходного материала],MATCH(Расходка[[#This Row],[№]],Поиск_расходки[Индекс12],0)),"")</f>
        <v>Gaia Third</v>
      </c>
      <c r="AD28" s="115" t="str">
        <f>IFERROR(INDEX(Расходка[Наименование расходного материала],MATCH(Расходка[[#This Row],[№]],Поиск_расходки[Индекс13],0)),"")</f>
        <v>Gaia Third</v>
      </c>
      <c r="AF28" s="4" t="s">
        <v>5</v>
      </c>
      <c r="AG28" s="4" t="s">
        <v>433</v>
      </c>
    </row>
    <row r="29" spans="1:35" x14ac:dyDescent="0.25">
      <c r="A29">
        <v>28</v>
      </c>
      <c r="B29" t="s">
        <v>3</v>
      </c>
      <c r="C29" s="1" t="s">
        <v>323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0</v>
      </c>
      <c r="M29" s="116">
        <f>IF(ISNUMBER(SEARCH('Карта учёта'!$B$21,Расходка[[#This Row],[Наименование расходного материала]])),MAX($M$1:M28)+1,0)</f>
        <v>0</v>
      </c>
      <c r="N29" s="116">
        <f>IF(ISNUMBER(SEARCH('Карта учёта'!$B$22,Расходка[[#This Row],[Наименование расходного материала]])),MAX($N$1:N28)+1,0)</f>
        <v>0</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
      </c>
      <c r="AA29" s="115" t="str">
        <f>IFERROR(INDEX(Расходка[Наименование расходного материала],MATCH(Расходка[[#This Row],[№]],Поиск_расходки[Индекс10],0)),"")</f>
        <v/>
      </c>
      <c r="AB29" s="115" t="str">
        <f>IFERROR(INDEX(Расходка[Наименование расходного материала],MATCH(Расходка[[#This Row],[№]],Поиск_расходки[Индекс11],0)),"")</f>
        <v>Intuition</v>
      </c>
      <c r="AC29" s="115" t="str">
        <f>IFERROR(INDEX(Расходка[Наименование расходного материала],MATCH(Расходка[[#This Row],[№]],Поиск_расходки[Индекс12],0)),"")</f>
        <v>Intuition</v>
      </c>
      <c r="AD29" s="115" t="str">
        <f>IFERROR(INDEX(Расходка[Наименование расходного материала],MATCH(Расходка[[#This Row],[№]],Поиск_расходки[Индекс13],0)),"")</f>
        <v>Intuition</v>
      </c>
      <c r="AF29" s="4" t="s">
        <v>5</v>
      </c>
      <c r="AG29" s="4" t="s">
        <v>434</v>
      </c>
    </row>
    <row r="30" spans="1:35" x14ac:dyDescent="0.25">
      <c r="A30">
        <v>29</v>
      </c>
      <c r="B30" t="s">
        <v>3</v>
      </c>
      <c r="C30" t="s">
        <v>319</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0</v>
      </c>
      <c r="M30" s="116">
        <f>IF(ISNUMBER(SEARCH('Карта учёта'!$B$21,Расходка[[#This Row],[Наименование расходного материала]])),MAX($M$1:M29)+1,0)</f>
        <v>0</v>
      </c>
      <c r="N30" s="116">
        <f>IF(ISNUMBER(SEARCH('Карта учёта'!$B$22,Расходка[[#This Row],[Наименование расходного материала]])),MAX($N$1:N29)+1,0)</f>
        <v>0</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
      </c>
      <c r="AA30" s="115" t="str">
        <f>IFERROR(INDEX(Расходка[Наименование расходного материала],MATCH(Расходка[[#This Row],[№]],Поиск_расходки[Индекс10],0)),"")</f>
        <v/>
      </c>
      <c r="AB30" s="115" t="str">
        <f>IFERROR(INDEX(Расходка[Наименование расходного материала],MATCH(Расходка[[#This Row],[№]],Поиск_расходки[Индекс11],0)),"")</f>
        <v>ProVia 3 Hydro-Track®</v>
      </c>
      <c r="AC30" s="115" t="str">
        <f>IFERROR(INDEX(Расходка[Наименование расходного материала],MATCH(Расходка[[#This Row],[№]],Поиск_расходки[Индекс12],0)),"")</f>
        <v>ProVia 3 Hydro-Track®</v>
      </c>
      <c r="AD30" s="115" t="str">
        <f>IFERROR(INDEX(Расходка[Наименование расходного материала],MATCH(Расходка[[#This Row],[№]],Поиск_расходки[Индекс13],0)),"")</f>
        <v>ProVia 3 Hydro-Track®</v>
      </c>
      <c r="AF30" s="4" t="s">
        <v>5</v>
      </c>
      <c r="AG30" s="4" t="s">
        <v>496</v>
      </c>
    </row>
    <row r="31" spans="1:35" x14ac:dyDescent="0.25">
      <c r="A31">
        <v>30</v>
      </c>
      <c r="B31" t="s">
        <v>3</v>
      </c>
      <c r="C31" t="s">
        <v>320</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0</v>
      </c>
      <c r="M31" s="116">
        <f>IF(ISNUMBER(SEARCH('Карта учёта'!$B$21,Расходка[[#This Row],[Наименование расходного материала]])),MAX($M$1:M30)+1,0)</f>
        <v>0</v>
      </c>
      <c r="N31" s="116">
        <f>IF(ISNUMBER(SEARCH('Карта учёта'!$B$22,Расходка[[#This Row],[Наименование расходного материала]])),MAX($N$1:N30)+1,0)</f>
        <v>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
      </c>
      <c r="AA31" s="115" t="str">
        <f>IFERROR(INDEX(Расходка[Наименование расходного материала],MATCH(Расходка[[#This Row],[№]],Поиск_расходки[Индекс10],0)),"")</f>
        <v/>
      </c>
      <c r="AB31" s="115" t="str">
        <f>IFERROR(INDEX(Расходка[Наименование расходного материала],MATCH(Расходка[[#This Row],[№]],Поиск_расходки[Индекс11],0)),"")</f>
        <v>ProVia 6 Hydro-Track®</v>
      </c>
      <c r="AC31" s="115" t="str">
        <f>IFERROR(INDEX(Расходка[Наименование расходного материала],MATCH(Расходка[[#This Row],[№]],Поиск_расходки[Индекс12],0)),"")</f>
        <v>ProVia 6 Hydro-Track®</v>
      </c>
      <c r="AD31" s="115" t="str">
        <f>IFERROR(INDEX(Расходка[Наименование расходного материала],MATCH(Расходка[[#This Row],[№]],Поиск_расходки[Индекс13],0)),"")</f>
        <v>ProVia 6 Hydro-Track®</v>
      </c>
      <c r="AF31" s="4" t="s">
        <v>5</v>
      </c>
      <c r="AG31" s="4" t="s">
        <v>435</v>
      </c>
    </row>
    <row r="32" spans="1:35" x14ac:dyDescent="0.25">
      <c r="A32">
        <v>31</v>
      </c>
      <c r="B32" t="s">
        <v>3</v>
      </c>
      <c r="C32" t="s">
        <v>321</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0</v>
      </c>
      <c r="M32" s="116">
        <f>IF(ISNUMBER(SEARCH('Карта учёта'!$B$21,Расходка[[#This Row],[Наименование расходного материала]])),MAX($M$1:M31)+1,0)</f>
        <v>0</v>
      </c>
      <c r="N32" s="116">
        <f>IF(ISNUMBER(SEARCH('Карта учёта'!$B$22,Расходка[[#This Row],[Наименование расходного материала]])),MAX($N$1:N31)+1,0)</f>
        <v>0</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
      </c>
      <c r="AA32" s="115" t="str">
        <f>IFERROR(INDEX(Расходка[Наименование расходного материала],MATCH(Расходка[[#This Row],[№]],Поиск_расходки[Индекс10],0)),"")</f>
        <v/>
      </c>
      <c r="AB32" s="115" t="str">
        <f>IFERROR(INDEX(Расходка[Наименование расходного материала],MATCH(Расходка[[#This Row],[№]],Поиск_расходки[Индекс11],0)),"")</f>
        <v>ProVia 9 Hydro-Track®</v>
      </c>
      <c r="AC32" s="115" t="str">
        <f>IFERROR(INDEX(Расходка[Наименование расходного материала],MATCH(Расходка[[#This Row],[№]],Поиск_расходки[Индекс12],0)),"")</f>
        <v>ProVia 9 Hydro-Track®</v>
      </c>
      <c r="AD32" s="115" t="str">
        <f>IFERROR(INDEX(Расходка[Наименование расходного материала],MATCH(Расходка[[#This Row],[№]],Поиск_расходки[Индекс13],0)),"")</f>
        <v>ProVia 9 Hydro-Track®</v>
      </c>
      <c r="AF32" s="4" t="s">
        <v>5</v>
      </c>
      <c r="AG32" s="4" t="s">
        <v>436</v>
      </c>
    </row>
    <row r="33" spans="1:33" x14ac:dyDescent="0.25">
      <c r="A33">
        <v>32</v>
      </c>
      <c r="B33" t="s">
        <v>3</v>
      </c>
      <c r="C33" t="s">
        <v>317</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0</v>
      </c>
      <c r="M33" s="116">
        <f>IF(ISNUMBER(SEARCH('Карта учёта'!$B$21,Расходка[[#This Row],[Наименование расходного материала]])),MAX($M$1:M32)+1,0)</f>
        <v>0</v>
      </c>
      <c r="N33" s="116">
        <f>IF(ISNUMBER(SEARCH('Карта учёта'!$B$22,Расходка[[#This Row],[Наименование расходного материала]])),MAX($N$1:N32)+1,0)</f>
        <v>0</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
      </c>
      <c r="AA33" s="115" t="str">
        <f>IFERROR(INDEX(Расходка[Наименование расходного материала],MATCH(Расходка[[#This Row],[№]],Поиск_расходки[Индекс10],0)),"")</f>
        <v/>
      </c>
      <c r="AB33" s="115" t="str">
        <f>IFERROR(INDEX(Расходка[Наименование расходного материала],MATCH(Расходка[[#This Row],[№]],Поиск_расходки[Индекс11],0)),"")</f>
        <v>Rinato</v>
      </c>
      <c r="AC33" s="115" t="str">
        <f>IFERROR(INDEX(Расходка[Наименование расходного материала],MATCH(Расходка[[#This Row],[№]],Поиск_расходки[Индекс12],0)),"")</f>
        <v>Rinato</v>
      </c>
      <c r="AD33" s="115" t="str">
        <f>IFERROR(INDEX(Расходка[Наименование расходного материала],MATCH(Расходка[[#This Row],[№]],Поиск_расходки[Индекс13],0)),"")</f>
        <v>Rinato</v>
      </c>
      <c r="AF33" s="4" t="s">
        <v>5</v>
      </c>
      <c r="AG33" s="4" t="s">
        <v>437</v>
      </c>
    </row>
    <row r="34" spans="1:33" x14ac:dyDescent="0.25">
      <c r="A34">
        <v>33</v>
      </c>
      <c r="B34" t="s">
        <v>3</v>
      </c>
      <c r="C34" s="1" t="s">
        <v>354</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0</v>
      </c>
      <c r="M34" s="116">
        <f>IF(ISNUMBER(SEARCH('Карта учёта'!$B$21,Расходка[[#This Row],[Наименование расходного материала]])),MAX($M$1:M33)+1,0)</f>
        <v>0</v>
      </c>
      <c r="N34" s="116">
        <f>IF(ISNUMBER(SEARCH('Карта учёта'!$B$22,Расходка[[#This Row],[Наименование расходного материала]])),MAX($N$1:N33)+1,0)</f>
        <v>0</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
      </c>
      <c r="AA34" s="115" t="str">
        <f>IFERROR(INDEX(Расходка[Наименование расходного материала],MATCH(Расходка[[#This Row],[№]],Поиск_расходки[Индекс10],0)),"")</f>
        <v/>
      </c>
      <c r="AB34" s="115" t="str">
        <f>IFERROR(INDEX(Расходка[Наименование расходного материала],MATCH(Расходка[[#This Row],[№]],Поиск_расходки[Индекс11],0)),"")</f>
        <v>Runthrough NS (Floppy)</v>
      </c>
      <c r="AC34" s="115" t="str">
        <f>IFERROR(INDEX(Расходка[Наименование расходного материала],MATCH(Расходка[[#This Row],[№]],Поиск_расходки[Индекс12],0)),"")</f>
        <v>Runthrough NS (Floppy)</v>
      </c>
      <c r="AD34" s="115" t="str">
        <f>IFERROR(INDEX(Расходка[Наименование расходного материала],MATCH(Расходка[[#This Row],[№]],Поиск_расходки[Индекс13],0)),"")</f>
        <v>Runthrough NS (Floppy)</v>
      </c>
      <c r="AF34" s="4" t="s">
        <v>5</v>
      </c>
      <c r="AG34" s="4" t="s">
        <v>438</v>
      </c>
    </row>
    <row r="35" spans="1:33" x14ac:dyDescent="0.25">
      <c r="A35">
        <v>34</v>
      </c>
      <c r="B35" t="s">
        <v>3</v>
      </c>
      <c r="C35" s="1" t="s">
        <v>362</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0</v>
      </c>
      <c r="M35" s="116">
        <f>IF(ISNUMBER(SEARCH('Карта учёта'!$B$21,Расходка[[#This Row],[Наименование расходного материала]])),MAX($M$1:M34)+1,0)</f>
        <v>0</v>
      </c>
      <c r="N35" s="116">
        <f>IF(ISNUMBER(SEARCH('Карта учёта'!$B$22,Расходка[[#This Row],[Наименование расходного материала]])),MAX($N$1:N34)+1,0)</f>
        <v>0</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
      </c>
      <c r="AA35" s="115" t="str">
        <f>IFERROR(INDEX(Расходка[Наименование расходного материала],MATCH(Расходка[[#This Row],[№]],Поиск_расходки[Индекс10],0)),"")</f>
        <v/>
      </c>
      <c r="AB35" s="115" t="str">
        <f>IFERROR(INDEX(Расходка[Наименование расходного материала],MATCH(Расходка[[#This Row],[№]],Поиск_расходки[Индекс11],0)),"")</f>
        <v>Runthrough NS Hypercoat</v>
      </c>
      <c r="AC35" s="115" t="str">
        <f>IFERROR(INDEX(Расходка[Наименование расходного материала],MATCH(Расходка[[#This Row],[№]],Поиск_расходки[Индекс12],0)),"")</f>
        <v>Runthrough NS Hypercoat</v>
      </c>
      <c r="AD35" s="115" t="str">
        <f>IFERROR(INDEX(Расходка[Наименование расходного материала],MATCH(Расходка[[#This Row],[№]],Поиск_расходки[Индекс13],0)),"")</f>
        <v>Runthrough NS Hypercoat</v>
      </c>
      <c r="AF35" s="4" t="s">
        <v>5</v>
      </c>
      <c r="AG35" s="4" t="s">
        <v>497</v>
      </c>
    </row>
    <row r="36" spans="1:33" x14ac:dyDescent="0.25">
      <c r="A36">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0</v>
      </c>
      <c r="M36" s="116">
        <f>IF(ISNUMBER(SEARCH('Карта учёта'!$B$21,Расходка[[#This Row],[Наименование расходного материала]])),MAX($M$1:M35)+1,0)</f>
        <v>0</v>
      </c>
      <c r="N36" s="116">
        <f>IF(ISNUMBER(SEARCH('Карта учёта'!$B$22,Расходка[[#This Row],[Наименование расходного материала]])),MAX($N$1:N35)+1,0)</f>
        <v>0</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
      </c>
      <c r="AA36" s="115" t="str">
        <f>IFERROR(INDEX(Расходка[Наименование расходного материала],MATCH(Расходка[[#This Row],[№]],Поиск_расходки[Индекс10],0)),"")</f>
        <v/>
      </c>
      <c r="AB36" s="115" t="str">
        <f>IFERROR(INDEX(Расходка[Наименование расходного материала],MATCH(Расходка[[#This Row],[№]],Поиск_расходки[Индекс11],0)),"")</f>
        <v>Runthrough NS Intermediate</v>
      </c>
      <c r="AC36" s="115" t="str">
        <f>IFERROR(INDEX(Расходка[Наименование расходного материала],MATCH(Расходка[[#This Row],[№]],Поиск_расходки[Индекс12],0)),"")</f>
        <v>Runthrough NS Intermediate</v>
      </c>
      <c r="AD36" s="115" t="str">
        <f>IFERROR(INDEX(Расходка[Наименование расходного материала],MATCH(Расходка[[#This Row],[№]],Поиск_расходки[Индекс13],0)),"")</f>
        <v>Runthrough NS Intermediate</v>
      </c>
      <c r="AF36" s="4" t="s">
        <v>5</v>
      </c>
      <c r="AG36" s="4" t="s">
        <v>439</v>
      </c>
    </row>
    <row r="37" spans="1:33" x14ac:dyDescent="0.25">
      <c r="A37">
        <v>36</v>
      </c>
      <c r="B37" t="s">
        <v>3</v>
      </c>
      <c r="C37" t="s">
        <v>316</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0</v>
      </c>
      <c r="M37" s="116">
        <f>IF(ISNUMBER(SEARCH('Карта учёта'!$B$21,Расходка[[#This Row],[Наименование расходного материала]])),MAX($M$1:M36)+1,0)</f>
        <v>0</v>
      </c>
      <c r="N37" s="116">
        <f>IF(ISNUMBER(SEARCH('Карта учёта'!$B$22,Расходка[[#This Row],[Наименование расходного материала]])),MAX($N$1:N36)+1,0)</f>
        <v>0</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
      </c>
      <c r="AA37" s="115" t="str">
        <f>IFERROR(INDEX(Расходка[Наименование расходного материала],MATCH(Расходка[[#This Row],[№]],Поиск_расходки[Индекс10],0)),"")</f>
        <v/>
      </c>
      <c r="AB37" s="115" t="str">
        <f>IFERROR(INDEX(Расходка[Наименование расходного материала],MATCH(Расходка[[#This Row],[№]],Поиск_расходки[Индекс11],0)),"")</f>
        <v>Sion</v>
      </c>
      <c r="AC37" s="115" t="str">
        <f>IFERROR(INDEX(Расходка[Наименование расходного материала],MATCH(Расходка[[#This Row],[№]],Поиск_расходки[Индекс12],0)),"")</f>
        <v>Sion</v>
      </c>
      <c r="AD37" s="115" t="str">
        <f>IFERROR(INDEX(Расходка[Наименование расходного материала],MATCH(Расходка[[#This Row],[№]],Поиск_расходки[Индекс13],0)),"")</f>
        <v>Sion</v>
      </c>
      <c r="AF37" s="4" t="s">
        <v>6</v>
      </c>
      <c r="AG37" s="4" t="s">
        <v>412</v>
      </c>
    </row>
    <row r="38" spans="1:33" x14ac:dyDescent="0.25">
      <c r="A38">
        <v>37</v>
      </c>
      <c r="B38" t="s">
        <v>3</v>
      </c>
      <c r="C38" t="s">
        <v>382</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0</v>
      </c>
      <c r="M38" s="116">
        <f>IF(ISNUMBER(SEARCH('Карта учёта'!$B$21,Расходка[[#This Row],[Наименование расходного материала]])),MAX($M$1:M37)+1,0)</f>
        <v>0</v>
      </c>
      <c r="N38" s="116">
        <f>IF(ISNUMBER(SEARCH('Карта учёта'!$B$22,Расходка[[#This Row],[Наименование расходного материала]])),MAX($N$1:N37)+1,0)</f>
        <v>0</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
      </c>
      <c r="AA38" s="115" t="str">
        <f>IFERROR(INDEX(Расходка[Наименование расходного материала],MATCH(Расходка[[#This Row],[№]],Поиск_расходки[Индекс10],0)),"")</f>
        <v/>
      </c>
      <c r="AB38" s="115" t="str">
        <f>IFERROR(INDEX(Расходка[Наименование расходного материала],MATCH(Расходка[[#This Row],[№]],Поиск_расходки[Индекс11],0)),"")</f>
        <v>Sion Black</v>
      </c>
      <c r="AC38" s="115" t="str">
        <f>IFERROR(INDEX(Расходка[Наименование расходного материала],MATCH(Расходка[[#This Row],[№]],Поиск_расходки[Индекс12],0)),"")</f>
        <v>Sion Black</v>
      </c>
      <c r="AD38" s="115" t="str">
        <f>IFERROR(INDEX(Расходка[Наименование расходного материала],MATCH(Расходка[[#This Row],[№]],Поиск_расходки[Индекс13],0)),"")</f>
        <v>Sion Black</v>
      </c>
      <c r="AF38" s="4" t="s">
        <v>6</v>
      </c>
      <c r="AG38" s="4" t="s">
        <v>499</v>
      </c>
    </row>
    <row r="39" spans="1:33" x14ac:dyDescent="0.25">
      <c r="A39">
        <v>38</v>
      </c>
      <c r="B39" t="s">
        <v>3</v>
      </c>
      <c r="C39" s="1" t="s">
        <v>376</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0</v>
      </c>
      <c r="M39" s="116">
        <f>IF(ISNUMBER(SEARCH('Карта учёта'!$B$21,Расходка[[#This Row],[Наименование расходного материала]])),MAX($M$1:M38)+1,0)</f>
        <v>0</v>
      </c>
      <c r="N39" s="116">
        <f>IF(ISNUMBER(SEARCH('Карта учёта'!$B$22,Расходка[[#This Row],[Наименование расходного материала]])),MAX($N$1:N38)+1,0)</f>
        <v>0</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
      </c>
      <c r="AA39" s="115" t="str">
        <f>IFERROR(INDEX(Расходка[Наименование расходного материала],MATCH(Расходка[[#This Row],[№]],Поиск_расходки[Индекс10],0)),"")</f>
        <v/>
      </c>
      <c r="AB39" s="115" t="str">
        <f>IFERROR(INDEX(Расходка[Наименование расходного материала],MATCH(Расходка[[#This Row],[№]],Поиск_расходки[Индекс11],0)),"")</f>
        <v>Sion Blue</v>
      </c>
      <c r="AC39" s="115" t="str">
        <f>IFERROR(INDEX(Расходка[Наименование расходного материала],MATCH(Расходка[[#This Row],[№]],Поиск_расходки[Индекс12],0)),"")</f>
        <v>Sion Blue</v>
      </c>
      <c r="AD39" s="115" t="str">
        <f>IFERROR(INDEX(Расходка[Наименование расходного материала],MATCH(Расходка[[#This Row],[№]],Поиск_расходки[Индекс13],0)),"")</f>
        <v>Sion Blue</v>
      </c>
      <c r="AF39" s="4" t="s">
        <v>6</v>
      </c>
      <c r="AG39" s="4" t="s">
        <v>440</v>
      </c>
    </row>
    <row r="40" spans="1:33" x14ac:dyDescent="0.25">
      <c r="A40">
        <v>39</v>
      </c>
      <c r="B40" t="s">
        <v>3</v>
      </c>
      <c r="C40" t="s">
        <v>318</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0</v>
      </c>
      <c r="M40" s="116">
        <f>IF(ISNUMBER(SEARCH('Карта учёта'!$B$21,Расходка[[#This Row],[Наименование расходного материала]])),MAX($M$1:M39)+1,0)</f>
        <v>0</v>
      </c>
      <c r="N40" s="116">
        <f>IF(ISNUMBER(SEARCH('Карта учёта'!$B$22,Расходка[[#This Row],[Наименование расходного материала]])),MAX($N$1:N39)+1,0)</f>
        <v>0</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
      </c>
      <c r="AA40" s="115" t="str">
        <f>IFERROR(INDEX(Расходка[Наименование расходного материала],MATCH(Расходка[[#This Row],[№]],Поиск_расходки[Индекс10],0)),"")</f>
        <v/>
      </c>
      <c r="AB40" s="115" t="str">
        <f>IFERROR(INDEX(Расходка[Наименование расходного материала],MATCH(Расходка[[#This Row],[№]],Поиск_расходки[Индекс11],0)),"")</f>
        <v>Thunder</v>
      </c>
      <c r="AC40" s="115" t="str">
        <f>IFERROR(INDEX(Расходка[Наименование расходного материала],MATCH(Расходка[[#This Row],[№]],Поиск_расходки[Индекс12],0)),"")</f>
        <v>Thunder</v>
      </c>
      <c r="AD40" s="115" t="str">
        <f>IFERROR(INDEX(Расходка[Наименование расходного материала],MATCH(Расходка[[#This Row],[№]],Поиск_расходки[Индекс13],0)),"")</f>
        <v>Thunder</v>
      </c>
      <c r="AF40" s="4" t="s">
        <v>6</v>
      </c>
      <c r="AG40" s="4" t="s">
        <v>441</v>
      </c>
    </row>
    <row r="41" spans="1:33" x14ac:dyDescent="0.25">
      <c r="A41">
        <v>40</v>
      </c>
      <c r="B41" t="s">
        <v>3</v>
      </c>
      <c r="C41" t="s">
        <v>363</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0</v>
      </c>
      <c r="M41" s="116">
        <f>IF(ISNUMBER(SEARCH('Карта учёта'!$B$21,Расходка[[#This Row],[Наименование расходного материала]])),MAX($M$1:M40)+1,0)</f>
        <v>0</v>
      </c>
      <c r="N41" s="116">
        <f>IF(ISNUMBER(SEARCH('Карта учёта'!$B$22,Расходка[[#This Row],[Наименование расходного материала]])),MAX($N$1:N40)+1,0)</f>
        <v>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
      </c>
      <c r="AA41" s="115" t="str">
        <f>IFERROR(INDEX(Расходка[Наименование расходного материала],MATCH(Расходка[[#This Row],[№]],Поиск_расходки[Индекс10],0)),"")</f>
        <v/>
      </c>
      <c r="AB41" s="115" t="str">
        <f>IFERROR(INDEX(Расходка[Наименование расходного материала],MATCH(Расходка[[#This Row],[№]],Поиск_расходки[Индекс11],0)),"")</f>
        <v>Whisper MS</v>
      </c>
      <c r="AC41" s="115" t="str">
        <f>IFERROR(INDEX(Расходка[Наименование расходного материала],MATCH(Расходка[[#This Row],[№]],Поиск_расходки[Индекс12],0)),"")</f>
        <v>Whisper MS</v>
      </c>
      <c r="AD41" s="115" t="str">
        <f>IFERROR(INDEX(Расходка[Наименование расходного материала],MATCH(Расходка[[#This Row],[№]],Поиск_расходки[Индекс13],0)),"")</f>
        <v>Whisper MS</v>
      </c>
      <c r="AF41" s="4" t="s">
        <v>6</v>
      </c>
      <c r="AG41" s="4" t="s">
        <v>442</v>
      </c>
    </row>
    <row r="42" spans="1:33" x14ac:dyDescent="0.25">
      <c r="A42">
        <v>41</v>
      </c>
      <c r="B42" t="s">
        <v>3</v>
      </c>
      <c r="C42" t="s">
        <v>364</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0</v>
      </c>
      <c r="M42" s="116">
        <f>IF(ISNUMBER(SEARCH('Карта учёта'!$B$21,Расходка[[#This Row],[Наименование расходного материала]])),MAX($M$1:M41)+1,0)</f>
        <v>0</v>
      </c>
      <c r="N42" s="116">
        <f>IF(ISNUMBER(SEARCH('Карта учёта'!$B$22,Расходка[[#This Row],[Наименование расходного материала]])),MAX($N$1:N41)+1,0)</f>
        <v>0</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
      </c>
      <c r="AA42" s="115" t="str">
        <f>IFERROR(INDEX(Расходка[Наименование расходного материала],MATCH(Расходка[[#This Row],[№]],Поиск_расходки[Индекс10],0)),"")</f>
        <v/>
      </c>
      <c r="AB42" s="115" t="str">
        <f>IFERROR(INDEX(Расходка[Наименование расходного материала],MATCH(Расходка[[#This Row],[№]],Поиск_расходки[Индекс11],0)),"")</f>
        <v>Winn 200T</v>
      </c>
      <c r="AC42" s="115" t="str">
        <f>IFERROR(INDEX(Расходка[Наименование расходного материала],MATCH(Расходка[[#This Row],[№]],Поиск_расходки[Индекс12],0)),"")</f>
        <v>Winn 200T</v>
      </c>
      <c r="AD42" s="115" t="str">
        <f>IFERROR(INDEX(Расходка[Наименование расходного материала],MATCH(Расходка[[#This Row],[№]],Поиск_расходки[Индекс13],0)),"")</f>
        <v>Winn 200T</v>
      </c>
      <c r="AF42" s="4" t="s">
        <v>6</v>
      </c>
      <c r="AG42" s="4" t="s">
        <v>443</v>
      </c>
    </row>
    <row r="43" spans="1:33" x14ac:dyDescent="0.25">
      <c r="A43">
        <v>42</v>
      </c>
      <c r="B43" t="s">
        <v>3</v>
      </c>
      <c r="C43" t="s">
        <v>347</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0</v>
      </c>
      <c r="M43" s="116">
        <f>IF(ISNUMBER(SEARCH('Карта учёта'!$B$21,Расходка[[#This Row],[Наименование расходного материала]])),MAX($M$1:M42)+1,0)</f>
        <v>0</v>
      </c>
      <c r="N43" s="116">
        <f>IF(ISNUMBER(SEARCH('Карта учёта'!$B$22,Расходка[[#This Row],[Наименование расходного материала]])),MAX($N$1:N42)+1,0)</f>
        <v>0</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
      </c>
      <c r="AA43" s="115" t="str">
        <f>IFERROR(INDEX(Расходка[Наименование расходного материала],MATCH(Расходка[[#This Row],[№]],Поиск_расходки[Индекс10],0)),"")</f>
        <v/>
      </c>
      <c r="AB43" s="115" t="str">
        <f>IFERROR(INDEX(Расходка[Наименование расходного материала],MATCH(Расходка[[#This Row],[№]],Поиск_расходки[Индекс11],0)),"")</f>
        <v>Проводник коронарный  1g, Angioline</v>
      </c>
      <c r="AC43" s="115" t="str">
        <f>IFERROR(INDEX(Расходка[Наименование расходного материала],MATCH(Расходка[[#This Row],[№]],Поиск_расходки[Индекс12],0)),"")</f>
        <v>Проводник коронарный  1g, Angioline</v>
      </c>
      <c r="AD43" s="115" t="str">
        <f>IFERROR(INDEX(Расходка[Наименование расходного материала],MATCH(Расходка[[#This Row],[№]],Поиск_расходки[Индекс13],0)),"")</f>
        <v>Проводник коронарный  1g, Angioline</v>
      </c>
      <c r="AF43" s="4" t="s">
        <v>6</v>
      </c>
      <c r="AG43" s="4" t="s">
        <v>416</v>
      </c>
    </row>
    <row r="44" spans="1:33" x14ac:dyDescent="0.25">
      <c r="A44">
        <v>43</v>
      </c>
      <c r="B44" t="s">
        <v>3</v>
      </c>
      <c r="C44" t="s">
        <v>96</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0</v>
      </c>
      <c r="M44" s="116">
        <f>IF(ISNUMBER(SEARCH('Карта учёта'!$B$21,Расходка[[#This Row],[Наименование расходного материала]])),MAX($M$1:M43)+1,0)</f>
        <v>0</v>
      </c>
      <c r="N44" s="116">
        <f>IF(ISNUMBER(SEARCH('Карта учёта'!$B$22,Расходка[[#This Row],[Наименование расходного материала]])),MAX($N$1:N43)+1,0)</f>
        <v>0</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
      </c>
      <c r="AA44" s="115" t="str">
        <f>IFERROR(INDEX(Расходка[Наименование расходного материала],MATCH(Расходка[[#This Row],[№]],Поиск_расходки[Индекс10],0)),"")</f>
        <v/>
      </c>
      <c r="AB44" s="115" t="str">
        <f>IFERROR(INDEX(Расходка[Наименование расходного материала],MATCH(Расходка[[#This Row],[№]],Поиск_расходки[Индекс11],0)),"")</f>
        <v>Проводник коронарный  3g, Angioline</v>
      </c>
      <c r="AC44" s="115" t="str">
        <f>IFERROR(INDEX(Расходка[Наименование расходного материала],MATCH(Расходка[[#This Row],[№]],Поиск_расходки[Индекс12],0)),"")</f>
        <v>Проводник коронарный  3g, Angioline</v>
      </c>
      <c r="AD44" s="115" t="str">
        <f>IFERROR(INDEX(Расходка[Наименование расходного материала],MATCH(Расходка[[#This Row],[№]],Поиск_расходки[Индекс13],0)),"")</f>
        <v>Проводник коронарный  3g, Angioline</v>
      </c>
      <c r="AF44" s="4" t="s">
        <v>6</v>
      </c>
      <c r="AG44" s="4" t="s">
        <v>444</v>
      </c>
    </row>
    <row r="45" spans="1:33" x14ac:dyDescent="0.25">
      <c r="A45">
        <v>44</v>
      </c>
      <c r="B45" t="s">
        <v>6</v>
      </c>
      <c r="C45" s="1" t="s">
        <v>278</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0</v>
      </c>
      <c r="M45" s="116">
        <f>IF(ISNUMBER(SEARCH('Карта учёта'!$B$21,Расходка[[#This Row],[Наименование расходного материала]])),MAX($M$1:M44)+1,0)</f>
        <v>0</v>
      </c>
      <c r="N45" s="116">
        <f>IF(ISNUMBER(SEARCH('Карта учёта'!$B$22,Расходка[[#This Row],[Наименование расходного материала]])),MAX($N$1:N44)+1,0)</f>
        <v>0</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
      </c>
      <c r="AA45" s="115" t="str">
        <f>IFERROR(INDEX(Расходка[Наименование расходного материала],MATCH(Расходка[[#This Row],[№]],Поиск_расходки[Индекс10],0)),"")</f>
        <v/>
      </c>
      <c r="AB45" s="115" t="str">
        <f>IFERROR(INDEX(Расходка[Наименование расходного материала],MATCH(Расходка[[#This Row],[№]],Поиск_расходки[Индекс11],0)),"")</f>
        <v>BMS, Integtity</v>
      </c>
      <c r="AC45" s="115" t="str">
        <f>IFERROR(INDEX(Расходка[Наименование расходного материала],MATCH(Расходка[[#This Row],[№]],Поиск_расходки[Индекс12],0)),"")</f>
        <v>BMS, Integtity</v>
      </c>
      <c r="AD45" s="115" t="str">
        <f>IFERROR(INDEX(Расходка[Наименование расходного материала],MATCH(Расходка[[#This Row],[№]],Поиск_расходки[Индекс13],0)),"")</f>
        <v>BMS, Integtity</v>
      </c>
      <c r="AF45" s="4" t="s">
        <v>6</v>
      </c>
      <c r="AG45" s="4" t="s">
        <v>445</v>
      </c>
    </row>
    <row r="46" spans="1:33" x14ac:dyDescent="0.25">
      <c r="A46">
        <v>45</v>
      </c>
      <c r="B46" t="s">
        <v>6</v>
      </c>
      <c r="C46" s="158" t="s">
        <v>346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0</v>
      </c>
      <c r="M46" s="116">
        <f>IF(ISNUMBER(SEARCH('Карта учёта'!$B$21,Расходка[[#This Row],[Наименование расходного материала]])),MAX($M$1:M45)+1,0)</f>
        <v>0</v>
      </c>
      <c r="N46" s="116">
        <f>IF(ISNUMBER(SEARCH('Карта учёта'!$B$22,Расходка[[#This Row],[Наименование расходного материала]])),MAX($N$1:N45)+1,0)</f>
        <v>0</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
      </c>
      <c r="AA46" s="115" t="str">
        <f>IFERROR(INDEX(Расходка[Наименование расходного материала],MATCH(Расходка[[#This Row],[№]],Поиск_расходки[Индекс10],0)),"")</f>
        <v/>
      </c>
      <c r="AB46" s="115" t="str">
        <f>IFERROR(INDEX(Расходка[Наименование расходного материала],MATCH(Расходка[[#This Row],[№]],Поиск_расходки[Индекс11],0)),"")</f>
        <v>DES, Calipso</v>
      </c>
      <c r="AC46" s="115" t="str">
        <f>IFERROR(INDEX(Расходка[Наименование расходного материала],MATCH(Расходка[[#This Row],[№]],Поиск_расходки[Индекс12],0)),"")</f>
        <v>DES, Calipso</v>
      </c>
      <c r="AD46" s="115" t="str">
        <f>IFERROR(INDEX(Расходка[Наименование расходного материала],MATCH(Расходка[[#This Row],[№]],Поиск_расходки[Индекс13],0)),"")</f>
        <v>DES, Calipso</v>
      </c>
      <c r="AF46" s="4" t="s">
        <v>6</v>
      </c>
      <c r="AG46" s="4" t="s">
        <v>446</v>
      </c>
    </row>
    <row r="47" spans="1:33" x14ac:dyDescent="0.25">
      <c r="A47">
        <v>46</v>
      </c>
      <c r="B47" t="s">
        <v>6</v>
      </c>
      <c r="C47" s="158" t="s">
        <v>345</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0</v>
      </c>
      <c r="M47" s="116">
        <f>IF(ISNUMBER(SEARCH('Карта учёта'!$B$21,Расходка[[#This Row],[Наименование расходного материала]])),MAX($M$1:M46)+1,0)</f>
        <v>0</v>
      </c>
      <c r="N47" s="116">
        <f>IF(ISNUMBER(SEARCH('Карта учёта'!$B$22,Расходка[[#This Row],[Наименование расходного материала]])),MAX($N$1:N46)+1,0)</f>
        <v>0</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
      </c>
      <c r="AA47" s="115" t="str">
        <f>IFERROR(INDEX(Расходка[Наименование расходного материала],MATCH(Расходка[[#This Row],[№]],Поиск_расходки[Индекс10],0)),"")</f>
        <v/>
      </c>
      <c r="AB47" s="115" t="str">
        <f>IFERROR(INDEX(Расходка[Наименование расходного материала],MATCH(Расходка[[#This Row],[№]],Поиск_расходки[Индекс11],0)),"")</f>
        <v>DES, NanoMed</v>
      </c>
      <c r="AC47" s="115" t="str">
        <f>IFERROR(INDEX(Расходка[Наименование расходного материала],MATCH(Расходка[[#This Row],[№]],Поиск_расходки[Индекс12],0)),"")</f>
        <v>DES, NanoMed</v>
      </c>
      <c r="AD47" s="115" t="str">
        <f>IFERROR(INDEX(Расходка[Наименование расходного материала],MATCH(Расходка[[#This Row],[№]],Поиск_расходки[Индекс13],0)),"")</f>
        <v>DES, NanoMed</v>
      </c>
      <c r="AF47" s="4" t="s">
        <v>6</v>
      </c>
      <c r="AG47" s="4" t="s">
        <v>447</v>
      </c>
    </row>
    <row r="48" spans="1:33" x14ac:dyDescent="0.25">
      <c r="A48">
        <v>47</v>
      </c>
      <c r="B48" t="s">
        <v>6</v>
      </c>
      <c r="C48" s="131" t="s">
        <v>324</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0</v>
      </c>
      <c r="L48" s="116">
        <f>IF(ISNUMBER(SEARCH('Карта учёта'!$B$20,Расходка[[#This Row],[Наименование расходного материала]])),MAX($L$1:L47)+1,0)</f>
        <v>0</v>
      </c>
      <c r="M48" s="116">
        <f>IF(ISNUMBER(SEARCH('Карта учёта'!$B$21,Расходка[[#This Row],[Наименование расходного материала]])),MAX($M$1:M47)+1,0)</f>
        <v>1</v>
      </c>
      <c r="N48" s="116">
        <f>IF(ISNUMBER(SEARCH('Карта учёта'!$B$22,Расходка[[#This Row],[Наименование расходного материала]])),MAX($N$1:N47)+1,0)</f>
        <v>1</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
      </c>
      <c r="AA48" s="115" t="str">
        <f>IFERROR(INDEX(Расходка[Наименование расходного материала],MATCH(Расходка[[#This Row],[№]],Поиск_расходки[Индекс10],0)),"")</f>
        <v/>
      </c>
      <c r="AB48" s="115" t="str">
        <f>IFERROR(INDEX(Расходка[Наименование расходного материала],MATCH(Расходка[[#This Row],[№]],Поиск_расходки[Индекс11],0)),"")</f>
        <v>DES, Resolute Integtity</v>
      </c>
      <c r="AC48" s="115" t="str">
        <f>IFERROR(INDEX(Расходка[Наименование расходного материала],MATCH(Расходка[[#This Row],[№]],Поиск_расходки[Индекс12],0)),"")</f>
        <v>DES, Resolute Integtity</v>
      </c>
      <c r="AD48" s="115" t="str">
        <f>IFERROR(INDEX(Расходка[Наименование расходного материала],MATCH(Расходка[[#This Row],[№]],Поиск_расходки[Индекс13],0)),"")</f>
        <v>DES, Resolute Integtity</v>
      </c>
      <c r="AF48" s="4" t="s">
        <v>6</v>
      </c>
      <c r="AG48" s="4" t="s">
        <v>448</v>
      </c>
    </row>
    <row r="49" spans="1:33" x14ac:dyDescent="0.25">
      <c r="A49">
        <v>48</v>
      </c>
      <c r="B49" t="s">
        <v>6</v>
      </c>
      <c r="C49" t="s">
        <v>358</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0</v>
      </c>
      <c r="L49" s="116">
        <f>IF(ISNUMBER(SEARCH('Карта учёта'!$B$20,Расходка[[#This Row],[Наименование расходного материала]])),MAX($L$1:L48)+1,0)</f>
        <v>0</v>
      </c>
      <c r="M49" s="116">
        <f>IF(ISNUMBER(SEARCH('Карта учёта'!$B$21,Расходка[[#This Row],[Наименование расходного материала]])),MAX($M$1:M48)+1,0)</f>
        <v>0</v>
      </c>
      <c r="N49" s="116">
        <f>IF(ISNUMBER(SEARCH('Карта учёта'!$B$22,Расходка[[#This Row],[Наименование расходного материала]])),MAX($N$1:N48)+1,0)</f>
        <v>0</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
      </c>
      <c r="AA49" s="115" t="str">
        <f>IFERROR(INDEX(Расходка[Наименование расходного материала],MATCH(Расходка[[#This Row],[№]],Поиск_расходки[Индекс10],0)),"")</f>
        <v/>
      </c>
      <c r="AB49" s="115" t="str">
        <f>IFERROR(INDEX(Расходка[Наименование расходного материала],MATCH(Расходка[[#This Row],[№]],Поиск_расходки[Индекс11],0)),"")</f>
        <v>DES, Yukon Chrome PC</v>
      </c>
      <c r="AC49" s="115" t="str">
        <f>IFERROR(INDEX(Расходка[Наименование расходного материала],MATCH(Расходка[[#This Row],[№]],Поиск_расходки[Индекс12],0)),"")</f>
        <v>DES, Yukon Chrome PC</v>
      </c>
      <c r="AD49" s="115" t="str">
        <f>IFERROR(INDEX(Расходка[Наименование расходного материала],MATCH(Расходка[[#This Row],[№]],Поиск_расходки[Индекс13],0)),"")</f>
        <v>DES, Yukon Chrome PC</v>
      </c>
      <c r="AF49" s="4" t="s">
        <v>6</v>
      </c>
      <c r="AG49" s="4" t="s">
        <v>449</v>
      </c>
    </row>
    <row r="50" spans="1:33" x14ac:dyDescent="0.25">
      <c r="A50">
        <v>49</v>
      </c>
      <c r="B50" t="s">
        <v>6</v>
      </c>
      <c r="C50" s="162" t="s">
        <v>390</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0</v>
      </c>
      <c r="M50" s="116">
        <f>IF(ISNUMBER(SEARCH('Карта учёта'!$B$21,Расходка[[#This Row],[Наименование расходного материала]])),MAX($M$1:M49)+1,0)</f>
        <v>0</v>
      </c>
      <c r="N50" s="116">
        <f>IF(ISNUMBER(SEARCH('Карта учёта'!$B$22,Расходка[[#This Row],[Наименование расходного материала]])),MAX($N$1:N49)+1,0)</f>
        <v>0</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
      </c>
      <c r="AA50" s="115" t="str">
        <f>IFERROR(INDEX(Расходка[Наименование расходного материала],MATCH(Расходка[[#This Row],[№]],Поиск_расходки[Индекс10],0)),"")</f>
        <v/>
      </c>
      <c r="AB50" s="115" t="str">
        <f>IFERROR(INDEX(Расходка[Наименование расходного материала],MATCH(Расходка[[#This Row],[№]],Поиск_расходки[Индекс11],0)),"")</f>
        <v>DES, Firehawk</v>
      </c>
      <c r="AC50" s="115" t="str">
        <f>IFERROR(INDEX(Расходка[Наименование расходного материала],MATCH(Расходка[[#This Row],[№]],Поиск_расходки[Индекс12],0)),"")</f>
        <v>DES, Firehawk</v>
      </c>
      <c r="AD50" s="115" t="str">
        <f>IFERROR(INDEX(Расходка[Наименование расходного материала],MATCH(Расходка[[#This Row],[№]],Поиск_расходки[Индекс13],0)),"")</f>
        <v>DES, Firehawk</v>
      </c>
      <c r="AF50" s="4" t="s">
        <v>6</v>
      </c>
      <c r="AG50" s="4" t="s">
        <v>450</v>
      </c>
    </row>
    <row r="51" spans="1:33" x14ac:dyDescent="0.25">
      <c r="A51">
        <v>50</v>
      </c>
      <c r="B51" t="s">
        <v>6</v>
      </c>
      <c r="C51" t="s">
        <v>389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0</v>
      </c>
      <c r="M51" s="116">
        <f>IF(ISNUMBER(SEARCH('Карта учёта'!$B$21,Расходка[[#This Row],[Наименование расходного материала]])),MAX($M$1:M50)+1,0)</f>
        <v>0</v>
      </c>
      <c r="N51" s="116">
        <f>IF(ISNUMBER(SEARCH('Карта учёта'!$B$22,Расходка[[#This Row],[Наименование расходного материала]])),MAX($N$1:N50)+1,0)</f>
        <v>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
      </c>
      <c r="AA51" s="115" t="str">
        <f>IFERROR(INDEX(Расходка[Наименование расходного материала],MATCH(Расходка[[#This Row],[№]],Поиск_расходки[Индекс10],0)),"")</f>
        <v/>
      </c>
      <c r="AB51" s="115" t="str">
        <f>IFERROR(INDEX(Расходка[Наименование расходного материала],MATCH(Расходка[[#This Row],[№]],Поиск_расходки[Индекс11],0)),"")</f>
        <v>DES, Resolute Onyx</v>
      </c>
      <c r="AC51" s="115" t="str">
        <f>IFERROR(INDEX(Расходка[Наименование расходного материала],MATCH(Расходка[[#This Row],[№]],Поиск_расходки[Индекс12],0)),"")</f>
        <v>DES, Resolute Onyx</v>
      </c>
      <c r="AD51" s="115" t="str">
        <f>IFERROR(INDEX(Расходка[Наименование расходного материала],MATCH(Расходка[[#This Row],[№]],Поиск_расходки[Индекс13],0)),"")</f>
        <v>DES, Resolute Onyx</v>
      </c>
      <c r="AF51" s="4" t="s">
        <v>6</v>
      </c>
      <c r="AG51" s="4" t="s">
        <v>451</v>
      </c>
    </row>
    <row r="52" spans="1:33" x14ac:dyDescent="0.25">
      <c r="A52">
        <v>51</v>
      </c>
      <c r="B52" t="s">
        <v>95</v>
      </c>
      <c r="C52" s="1" t="s">
        <v>325</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0</v>
      </c>
      <c r="M52" s="116">
        <f>IF(ISNUMBER(SEARCH('Карта учёта'!$B$21,Расходка[[#This Row],[Наименование расходного материала]])),MAX($M$1:M51)+1,0)</f>
        <v>0</v>
      </c>
      <c r="N52" s="116">
        <f>IF(ISNUMBER(SEARCH('Карта учёта'!$B$22,Расходка[[#This Row],[Наименование расходного материала]])),MAX($N$1:N51)+1,0)</f>
        <v>0</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
      </c>
      <c r="AA52" s="115" t="str">
        <f>IFERROR(INDEX(Расходка[Наименование расходного материала],MATCH(Расходка[[#This Row],[№]],Поиск_расходки[Индекс10],0)),"")</f>
        <v/>
      </c>
      <c r="AB52" s="115" t="str">
        <f>IFERROR(INDEX(Расходка[Наименование расходного материала],MATCH(Расходка[[#This Row],[№]],Поиск_расходки[Индекс11],0)),"")</f>
        <v>Guidezilla™ II 6F</v>
      </c>
      <c r="AC52" s="115" t="str">
        <f>IFERROR(INDEX(Расходка[Наименование расходного материала],MATCH(Расходка[[#This Row],[№]],Поиск_расходки[Индекс12],0)),"")</f>
        <v>Guidezilla™ II 6F</v>
      </c>
      <c r="AD52" s="115" t="str">
        <f>IFERROR(INDEX(Расходка[Наименование расходного материала],MATCH(Расходка[[#This Row],[№]],Поиск_расходки[Индекс13],0)),"")</f>
        <v>Guidezilla™ II 6F</v>
      </c>
      <c r="AF52" s="4" t="s">
        <v>6</v>
      </c>
      <c r="AG52" s="4" t="s">
        <v>452</v>
      </c>
    </row>
    <row r="53" spans="1:33" x14ac:dyDescent="0.25">
      <c r="A53">
        <v>52</v>
      </c>
      <c r="B53" t="s">
        <v>95</v>
      </c>
      <c r="C53" s="1" t="s">
        <v>344</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0</v>
      </c>
      <c r="M53" s="116">
        <f>IF(ISNUMBER(SEARCH('Карта учёта'!$B$21,Расходка[[#This Row],[Наименование расходного материала]])),MAX($M$1:M52)+1,0)</f>
        <v>0</v>
      </c>
      <c r="N53" s="116">
        <f>IF(ISNUMBER(SEARCH('Карта учёта'!$B$22,Расходка[[#This Row],[Наименование расходного материала]])),MAX($N$1:N52)+1,0)</f>
        <v>0</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
      </c>
      <c r="AA53" s="115" t="str">
        <f>IFERROR(INDEX(Расходка[Наименование расходного материала],MATCH(Расходка[[#This Row],[№]],Поиск_расходки[Индекс10],0)),"")</f>
        <v/>
      </c>
      <c r="AB53" s="115" t="str">
        <f>IFERROR(INDEX(Расходка[Наименование расходного материала],MATCH(Расходка[[#This Row],[№]],Поиск_расходки[Индекс11],0)),"")</f>
        <v>Telescope ™ II 6F</v>
      </c>
      <c r="AC53" s="115" t="str">
        <f>IFERROR(INDEX(Расходка[Наименование расходного материала],MATCH(Расходка[[#This Row],[№]],Поиск_расходки[Индекс12],0)),"")</f>
        <v>Telescope ™ II 6F</v>
      </c>
      <c r="AD53" s="115" t="str">
        <f>IFERROR(INDEX(Расходка[Наименование расходного материала],MATCH(Расходка[[#This Row],[№]],Поиск_расходки[Индекс13],0)),"")</f>
        <v>Telescope ™ II 6F</v>
      </c>
      <c r="AF53" s="4" t="s">
        <v>6</v>
      </c>
      <c r="AG53" s="4" t="s">
        <v>453</v>
      </c>
    </row>
    <row r="54" spans="1:33" x14ac:dyDescent="0.25">
      <c r="A54">
        <v>53</v>
      </c>
      <c r="B54" t="s">
        <v>4</v>
      </c>
      <c r="C54" t="s">
        <v>351</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0</v>
      </c>
      <c r="M54" s="116">
        <f>IF(ISNUMBER(SEARCH('Карта учёта'!$B$21,Расходка[[#This Row],[Наименование расходного материала]])),MAX($M$1:M53)+1,0)</f>
        <v>0</v>
      </c>
      <c r="N54" s="116">
        <f>IF(ISNUMBER(SEARCH('Карта учёта'!$B$22,Расходка[[#This Row],[Наименование расходного материала]])),MAX($N$1:N53)+1,0)</f>
        <v>0</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
      </c>
      <c r="AA54" s="115" t="str">
        <f>IFERROR(INDEX(Расходка[Наименование расходного материала],MATCH(Расходка[[#This Row],[№]],Поиск_расходки[Индекс10],0)),"")</f>
        <v/>
      </c>
      <c r="AB54" s="115" t="str">
        <f>IFERROR(INDEX(Расходка[Наименование расходного материала],MATCH(Расходка[[#This Row],[№]],Поиск_расходки[Индекс11],0)),"")</f>
        <v>Launcher 6F AL 1</v>
      </c>
      <c r="AC54" s="115" t="str">
        <f>IFERROR(INDEX(Расходка[Наименование расходного материала],MATCH(Расходка[[#This Row],[№]],Поиск_расходки[Индекс12],0)),"")</f>
        <v>Launcher 6F AL 1</v>
      </c>
      <c r="AD54" s="115" t="str">
        <f>IFERROR(INDEX(Расходка[Наименование расходного материала],MATCH(Расходка[[#This Row],[№]],Поиск_расходки[Индекс13],0)),"")</f>
        <v>Launcher 6F AL 1</v>
      </c>
      <c r="AF54" s="4" t="s">
        <v>6</v>
      </c>
      <c r="AG54" s="4" t="s">
        <v>454</v>
      </c>
    </row>
    <row r="55" spans="1:33" x14ac:dyDescent="0.25">
      <c r="A55">
        <v>54</v>
      </c>
      <c r="B55" t="s">
        <v>4</v>
      </c>
      <c r="C55" t="s">
        <v>352</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0</v>
      </c>
      <c r="M55" s="116">
        <f>IF(ISNUMBER(SEARCH('Карта учёта'!$B$21,Расходка[[#This Row],[Наименование расходного материала]])),MAX($M$1:M54)+1,0)</f>
        <v>0</v>
      </c>
      <c r="N55" s="116">
        <f>IF(ISNUMBER(SEARCH('Карта учёта'!$B$22,Расходка[[#This Row],[Наименование расходного материала]])),MAX($N$1:N54)+1,0)</f>
        <v>0</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
      </c>
      <c r="AA55" s="115" t="str">
        <f>IFERROR(INDEX(Расходка[Наименование расходного материала],MATCH(Расходка[[#This Row],[№]],Поиск_расходки[Индекс10],0)),"")</f>
        <v/>
      </c>
      <c r="AB55" s="115" t="str">
        <f>IFERROR(INDEX(Расходка[Наименование расходного материала],MATCH(Расходка[[#This Row],[№]],Поиск_расходки[Индекс11],0)),"")</f>
        <v>Launcher 6F AL 2</v>
      </c>
      <c r="AC55" s="115" t="str">
        <f>IFERROR(INDEX(Расходка[Наименование расходного материала],MATCH(Расходка[[#This Row],[№]],Поиск_расходки[Индекс12],0)),"")</f>
        <v>Launcher 6F AL 2</v>
      </c>
      <c r="AD55" s="115" t="str">
        <f>IFERROR(INDEX(Расходка[Наименование расходного материала],MATCH(Расходка[[#This Row],[№]],Поиск_расходки[Индекс13],0)),"")</f>
        <v>Launcher 6F AL 2</v>
      </c>
      <c r="AF55" s="4" t="s">
        <v>6</v>
      </c>
      <c r="AG55" s="4" t="s">
        <v>455</v>
      </c>
    </row>
    <row r="56" spans="1:33" x14ac:dyDescent="0.25">
      <c r="A56">
        <v>55</v>
      </c>
      <c r="B56" t="s">
        <v>4</v>
      </c>
      <c r="C56" t="s">
        <v>326</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1</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0</v>
      </c>
      <c r="L56" s="116">
        <f>IF(ISNUMBER(SEARCH('Карта учёта'!$B$20,Расходка[[#This Row],[Наименование расходного материала]])),MAX($L$1:L55)+1,0)</f>
        <v>0</v>
      </c>
      <c r="M56" s="116">
        <f>IF(ISNUMBER(SEARCH('Карта учёта'!$B$21,Расходка[[#This Row],[Наименование расходного материала]])),MAX($M$1:M55)+1,0)</f>
        <v>0</v>
      </c>
      <c r="N56" s="116">
        <f>IF(ISNUMBER(SEARCH('Карта учёта'!$B$22,Расходка[[#This Row],[Наименование расходного материала]])),MAX($N$1:N55)+1,0)</f>
        <v>0</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
      </c>
      <c r="AA56" s="115" t="str">
        <f>IFERROR(INDEX(Расходка[Наименование расходного материала],MATCH(Расходка[[#This Row],[№]],Поиск_расходки[Индекс10],0)),"")</f>
        <v/>
      </c>
      <c r="AB56" s="115" t="str">
        <f>IFERROR(INDEX(Расходка[Наименование расходного материала],MATCH(Расходка[[#This Row],[№]],Поиск_расходки[Индекс11],0)),"")</f>
        <v>Launcher 6F EBU 3.5</v>
      </c>
      <c r="AC56" s="115" t="str">
        <f>IFERROR(INDEX(Расходка[Наименование расходного материала],MATCH(Расходка[[#This Row],[№]],Поиск_расходки[Индекс12],0)),"")</f>
        <v>Launcher 6F EBU 3.5</v>
      </c>
      <c r="AD56" s="115" t="str">
        <f>IFERROR(INDEX(Расходка[Наименование расходного материала],MATCH(Расходка[[#This Row],[№]],Поиск_расходки[Индекс13],0)),"")</f>
        <v>Launcher 6F EBU 3.5</v>
      </c>
      <c r="AF56" s="4" t="s">
        <v>6</v>
      </c>
      <c r="AG56" s="4" t="s">
        <v>456</v>
      </c>
    </row>
    <row r="57" spans="1:33" x14ac:dyDescent="0.25">
      <c r="A57">
        <v>56</v>
      </c>
      <c r="B57" t="s">
        <v>4</v>
      </c>
      <c r="C57" t="s">
        <v>327</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1</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0</v>
      </c>
      <c r="L57" s="116">
        <f>IF(ISNUMBER(SEARCH('Карта учёта'!$B$20,Расходка[[#This Row],[Наименование расходного материала]])),MAX($L$1:L56)+1,0)</f>
        <v>0</v>
      </c>
      <c r="M57" s="116">
        <f>IF(ISNUMBER(SEARCH('Карта учёта'!$B$21,Расходка[[#This Row],[Наименование расходного материала]])),MAX($M$1:M56)+1,0)</f>
        <v>0</v>
      </c>
      <c r="N57" s="116">
        <f>IF(ISNUMBER(SEARCH('Карта учёта'!$B$22,Расходка[[#This Row],[Наименование расходного материала]])),MAX($N$1:N56)+1,0)</f>
        <v>0</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
      </c>
      <c r="AA57" s="115" t="str">
        <f>IFERROR(INDEX(Расходка[Наименование расходного материала],MATCH(Расходка[[#This Row],[№]],Поиск_расходки[Индекс10],0)),"")</f>
        <v/>
      </c>
      <c r="AB57" s="115" t="str">
        <f>IFERROR(INDEX(Расходка[Наименование расходного материала],MATCH(Расходка[[#This Row],[№]],Поиск_расходки[Индекс11],0)),"")</f>
        <v>Launcher 6F EBU 4.0</v>
      </c>
      <c r="AC57" s="115" t="str">
        <f>IFERROR(INDEX(Расходка[Наименование расходного материала],MATCH(Расходка[[#This Row],[№]],Поиск_расходки[Индекс12],0)),"")</f>
        <v>Launcher 6F EBU 4.0</v>
      </c>
      <c r="AD57" s="115" t="str">
        <f>IFERROR(INDEX(Расходка[Наименование расходного материала],MATCH(Расходка[[#This Row],[№]],Поиск_расходки[Индекс13],0)),"")</f>
        <v>Launcher 6F EBU 4.0</v>
      </c>
      <c r="AF57" s="4" t="s">
        <v>6</v>
      </c>
      <c r="AG57" s="4" t="s">
        <v>457</v>
      </c>
    </row>
    <row r="58" spans="1:33" x14ac:dyDescent="0.25">
      <c r="A58">
        <v>57</v>
      </c>
      <c r="B58" t="s">
        <v>4</v>
      </c>
      <c r="C58" t="s">
        <v>328</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0</v>
      </c>
      <c r="M58" s="116">
        <f>IF(ISNUMBER(SEARCH('Карта учёта'!$B$21,Расходка[[#This Row],[Наименование расходного материала]])),MAX($M$1:M57)+1,0)</f>
        <v>0</v>
      </c>
      <c r="N58" s="116">
        <f>IF(ISNUMBER(SEARCH('Карта учёта'!$B$22,Расходка[[#This Row],[Наименование расходного материала]])),MAX($N$1:N57)+1,0)</f>
        <v>0</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
      </c>
      <c r="AA58" s="115" t="str">
        <f>IFERROR(INDEX(Расходка[Наименование расходного материала],MATCH(Расходка[[#This Row],[№]],Поиск_расходки[Индекс10],0)),"")</f>
        <v/>
      </c>
      <c r="AB58" s="115" t="str">
        <f>IFERROR(INDEX(Расходка[Наименование расходного материала],MATCH(Расходка[[#This Row],[№]],Поиск_расходки[Индекс11],0)),"")</f>
        <v>Launcher 6F JL 3.5</v>
      </c>
      <c r="AC58" s="115" t="str">
        <f>IFERROR(INDEX(Расходка[Наименование расходного материала],MATCH(Расходка[[#This Row],[№]],Поиск_расходки[Индекс12],0)),"")</f>
        <v>Launcher 6F JL 3.5</v>
      </c>
      <c r="AD58" s="115" t="str">
        <f>IFERROR(INDEX(Расходка[Наименование расходного материала],MATCH(Расходка[[#This Row],[№]],Поиск_расходки[Индекс13],0)),"")</f>
        <v>Launcher 6F JL 3.5</v>
      </c>
      <c r="AF58" s="4" t="s">
        <v>6</v>
      </c>
      <c r="AG58" s="4" t="s">
        <v>458</v>
      </c>
    </row>
    <row r="59" spans="1:33" x14ac:dyDescent="0.25">
      <c r="A59">
        <v>58</v>
      </c>
      <c r="B59" t="s">
        <v>4</v>
      </c>
      <c r="C59" t="s">
        <v>329</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0</v>
      </c>
      <c r="M59" s="116">
        <f>IF(ISNUMBER(SEARCH('Карта учёта'!$B$21,Расходка[[#This Row],[Наименование расходного материала]])),MAX($M$1:M58)+1,0)</f>
        <v>0</v>
      </c>
      <c r="N59" s="116">
        <f>IF(ISNUMBER(SEARCH('Карта учёта'!$B$22,Расходка[[#This Row],[Наименование расходного материала]])),MAX($N$1:N58)+1,0)</f>
        <v>0</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
      </c>
      <c r="AA59" s="115" t="str">
        <f>IFERROR(INDEX(Расходка[Наименование расходного материала],MATCH(Расходка[[#This Row],[№]],Поиск_расходки[Индекс10],0)),"")</f>
        <v/>
      </c>
      <c r="AB59" s="115" t="str">
        <f>IFERROR(INDEX(Расходка[Наименование расходного материала],MATCH(Расходка[[#This Row],[№]],Поиск_расходки[Индекс11],0)),"")</f>
        <v>Launcher 6F JL 4.0</v>
      </c>
      <c r="AC59" s="115" t="str">
        <f>IFERROR(INDEX(Расходка[Наименование расходного материала],MATCH(Расходка[[#This Row],[№]],Поиск_расходки[Индекс12],0)),"")</f>
        <v>Launcher 6F JL 4.0</v>
      </c>
      <c r="AD59" s="115" t="str">
        <f>IFERROR(INDEX(Расходка[Наименование расходного материала],MATCH(Расходка[[#This Row],[№]],Поиск_расходки[Индекс13],0)),"")</f>
        <v>Launcher 6F JL 4.0</v>
      </c>
      <c r="AF59" s="4" t="s">
        <v>6</v>
      </c>
      <c r="AG59" s="4" t="s">
        <v>459</v>
      </c>
    </row>
    <row r="60" spans="1:33" x14ac:dyDescent="0.25">
      <c r="A60">
        <v>59</v>
      </c>
      <c r="B60" t="s">
        <v>4</v>
      </c>
      <c r="C60" t="s">
        <v>335</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0</v>
      </c>
      <c r="M60" s="116">
        <f>IF(ISNUMBER(SEARCH('Карта учёта'!$B$21,Расходка[[#This Row],[Наименование расходного материала]])),MAX($M$1:M59)+1,0)</f>
        <v>0</v>
      </c>
      <c r="N60" s="116">
        <f>IF(ISNUMBER(SEARCH('Карта учёта'!$B$22,Расходка[[#This Row],[Наименование расходного материала]])),MAX($N$1:N59)+1,0)</f>
        <v>0</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
      </c>
      <c r="AA60" s="115" t="str">
        <f>IFERROR(INDEX(Расходка[Наименование расходного материала],MATCH(Расходка[[#This Row],[№]],Поиск_расходки[Индекс10],0)),"")</f>
        <v/>
      </c>
      <c r="AB60" s="115" t="str">
        <f>IFERROR(INDEX(Расходка[Наименование расходного материала],MATCH(Расходка[[#This Row],[№]],Поиск_расходки[Индекс11],0)),"")</f>
        <v>Launcher 6F JL 4.5</v>
      </c>
      <c r="AC60" s="115" t="str">
        <f>IFERROR(INDEX(Расходка[Наименование расходного материала],MATCH(Расходка[[#This Row],[№]],Поиск_расходки[Индекс12],0)),"")</f>
        <v>Launcher 6F JL 4.5</v>
      </c>
      <c r="AD60" s="115" t="str">
        <f>IFERROR(INDEX(Расходка[Наименование расходного материала],MATCH(Расходка[[#This Row],[№]],Поиск_расходки[Индекс13],0)),"")</f>
        <v>Launcher 6F JL 4.5</v>
      </c>
      <c r="AF60" s="4" t="s">
        <v>6</v>
      </c>
      <c r="AG60" s="4" t="s">
        <v>460</v>
      </c>
    </row>
    <row r="61" spans="1:33" x14ac:dyDescent="0.25">
      <c r="A61">
        <v>60</v>
      </c>
      <c r="B61" t="s">
        <v>4</v>
      </c>
      <c r="C61" t="s">
        <v>330</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0</v>
      </c>
      <c r="M61" s="116">
        <f>IF(ISNUMBER(SEARCH('Карта учёта'!$B$21,Расходка[[#This Row],[Наименование расходного материала]])),MAX($M$1:M60)+1,0)</f>
        <v>0</v>
      </c>
      <c r="N61" s="116">
        <f>IF(ISNUMBER(SEARCH('Карта учёта'!$B$22,Расходка[[#This Row],[Наименование расходного материала]])),MAX($N$1:N60)+1,0)</f>
        <v>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
      </c>
      <c r="AA61" s="115" t="str">
        <f>IFERROR(INDEX(Расходка[Наименование расходного материала],MATCH(Расходка[[#This Row],[№]],Поиск_расходки[Индекс10],0)),"")</f>
        <v/>
      </c>
      <c r="AB61" s="115" t="str">
        <f>IFERROR(INDEX(Расходка[Наименование расходного материала],MATCH(Расходка[[#This Row],[№]],Поиск_расходки[Индекс11],0)),"")</f>
        <v>Launcher 6F JR 3.5</v>
      </c>
      <c r="AC61" s="115" t="str">
        <f>IFERROR(INDEX(Расходка[Наименование расходного материала],MATCH(Расходка[[#This Row],[№]],Поиск_расходки[Индекс12],0)),"")</f>
        <v>Launcher 6F JR 3.5</v>
      </c>
      <c r="AD61" s="115" t="str">
        <f>IFERROR(INDEX(Расходка[Наименование расходного материала],MATCH(Расходка[[#This Row],[№]],Поиск_расходки[Индекс13],0)),"")</f>
        <v>Launcher 6F JR 3.5</v>
      </c>
      <c r="AF61" s="4" t="s">
        <v>6</v>
      </c>
      <c r="AG61" s="4" t="s">
        <v>421</v>
      </c>
    </row>
    <row r="62" spans="1:33" x14ac:dyDescent="0.25">
      <c r="A62">
        <v>61</v>
      </c>
      <c r="B62" t="s">
        <v>4</v>
      </c>
      <c r="C62" t="s">
        <v>331</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0</v>
      </c>
      <c r="M62" s="116">
        <f>IF(ISNUMBER(SEARCH('Карта учёта'!$B$21,Расходка[[#This Row],[Наименование расходного материала]])),MAX($M$1:M61)+1,0)</f>
        <v>0</v>
      </c>
      <c r="N62" s="116">
        <f>IF(ISNUMBER(SEARCH('Карта учёта'!$B$22,Расходка[[#This Row],[Наименование расходного материала]])),MAX($N$1:N61)+1,0)</f>
        <v>0</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
      </c>
      <c r="AA62" s="115" t="str">
        <f>IFERROR(INDEX(Расходка[Наименование расходного материала],MATCH(Расходка[[#This Row],[№]],Поиск_расходки[Индекс10],0)),"")</f>
        <v/>
      </c>
      <c r="AB62" s="115" t="str">
        <f>IFERROR(INDEX(Расходка[Наименование расходного материала],MATCH(Расходка[[#This Row],[№]],Поиск_расходки[Индекс11],0)),"")</f>
        <v>Launcher 6F JR 4.0</v>
      </c>
      <c r="AC62" s="115" t="str">
        <f>IFERROR(INDEX(Расходка[Наименование расходного материала],MATCH(Расходка[[#This Row],[№]],Поиск_расходки[Индекс12],0)),"")</f>
        <v>Launcher 6F JR 4.0</v>
      </c>
      <c r="AD62" s="115" t="str">
        <f>IFERROR(INDEX(Расходка[Наименование расходного материала],MATCH(Расходка[[#This Row],[№]],Поиск_расходки[Индекс13],0)),"")</f>
        <v>Launcher 6F JR 4.0</v>
      </c>
      <c r="AF62" s="4" t="s">
        <v>6</v>
      </c>
      <c r="AG62" s="4" t="s">
        <v>461</v>
      </c>
    </row>
    <row r="63" spans="1:33" x14ac:dyDescent="0.25">
      <c r="A63">
        <v>62</v>
      </c>
      <c r="B63" t="s">
        <v>4</v>
      </c>
      <c r="C63" t="s">
        <v>341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0</v>
      </c>
      <c r="M63" s="116">
        <f>IF(ISNUMBER(SEARCH('Карта учёта'!$B$21,Расходка[[#This Row],[Наименование расходного материала]])),MAX($M$1:M62)+1,0)</f>
        <v>0</v>
      </c>
      <c r="N63" s="116">
        <f>IF(ISNUMBER(SEARCH('Карта учёта'!$B$22,Расходка[[#This Row],[Наименование расходного материала]])),MAX($N$1:N62)+1,0)</f>
        <v>0</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
      </c>
      <c r="AA63" s="115" t="str">
        <f>IFERROR(INDEX(Расходка[Наименование расходного материала],MATCH(Расходка[[#This Row],[№]],Поиск_расходки[Индекс10],0)),"")</f>
        <v/>
      </c>
      <c r="AB63" s="115" t="str">
        <f>IFERROR(INDEX(Расходка[Наименование расходного материала],MATCH(Расходка[[#This Row],[№]],Поиск_расходки[Индекс11],0)),"")</f>
        <v>Launcher 7F JL 3.5</v>
      </c>
      <c r="AC63" s="115" t="str">
        <f>IFERROR(INDEX(Расходка[Наименование расходного материала],MATCH(Расходка[[#This Row],[№]],Поиск_расходки[Индекс12],0)),"")</f>
        <v>Launcher 7F JL 3.5</v>
      </c>
      <c r="AD63" s="115" t="str">
        <f>IFERROR(INDEX(Расходка[Наименование расходного материала],MATCH(Расходка[[#This Row],[№]],Поиск_расходки[Индекс13],0)),"")</f>
        <v>Launcher 7F JL 3.5</v>
      </c>
      <c r="AF63" s="4" t="s">
        <v>6</v>
      </c>
      <c r="AG63" s="4" t="s">
        <v>462</v>
      </c>
    </row>
    <row r="64" spans="1:33" x14ac:dyDescent="0.25">
      <c r="A64">
        <v>63</v>
      </c>
      <c r="B64" t="s">
        <v>4</v>
      </c>
      <c r="C64" t="s">
        <v>340</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0</v>
      </c>
      <c r="M64" s="116">
        <f>IF(ISNUMBER(SEARCH('Карта учёта'!$B$21,Расходка[[#This Row],[Наименование расходного материала]])),MAX($M$1:M63)+1,0)</f>
        <v>0</v>
      </c>
      <c r="N64" s="116">
        <f>IF(ISNUMBER(SEARCH('Карта учёта'!$B$22,Расходка[[#This Row],[Наименование расходного материала]])),MAX($N$1:N63)+1,0)</f>
        <v>0</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
      </c>
      <c r="AA64" s="115" t="str">
        <f>IFERROR(INDEX(Расходка[Наименование расходного материала],MATCH(Расходка[[#This Row],[№]],Поиск_расходки[Индекс10],0)),"")</f>
        <v/>
      </c>
      <c r="AB64" s="115" t="str">
        <f>IFERROR(INDEX(Расходка[Наименование расходного материала],MATCH(Расходка[[#This Row],[№]],Поиск_расходки[Индекс11],0)),"")</f>
        <v>Launcher 7F JL 4.0</v>
      </c>
      <c r="AC64" s="115" t="str">
        <f>IFERROR(INDEX(Расходка[Наименование расходного материала],MATCH(Расходка[[#This Row],[№]],Поиск_расходки[Индекс12],0)),"")</f>
        <v>Launcher 7F JL 4.0</v>
      </c>
      <c r="AD64" s="115" t="str">
        <f>IFERROR(INDEX(Расходка[Наименование расходного материала],MATCH(Расходка[[#This Row],[№]],Поиск_расходки[Индекс13],0)),"")</f>
        <v>Launcher 7F JL 4.0</v>
      </c>
      <c r="AF64" s="4" t="s">
        <v>6</v>
      </c>
      <c r="AG64" s="4" t="s">
        <v>463</v>
      </c>
    </row>
    <row r="65" spans="1:33" x14ac:dyDescent="0.25">
      <c r="A65">
        <v>64</v>
      </c>
      <c r="B65" t="s">
        <v>301</v>
      </c>
      <c r="C65" s="1" t="s">
        <v>332</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0</v>
      </c>
      <c r="M65" s="116">
        <f>IF(ISNUMBER(SEARCH('Карта учёта'!$B$21,Расходка[[#This Row],[Наименование расходного материала]])),MAX($M$1:M64)+1,0)</f>
        <v>0</v>
      </c>
      <c r="N65" s="116">
        <f>IF(ISNUMBER(SEARCH('Карта учёта'!$B$22,Расходка[[#This Row],[Наименование расходного материала]])),MAX($N$1:N64)+1,0)</f>
        <v>0</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
      </c>
      <c r="AA65" s="115" t="str">
        <f>IFERROR(INDEX(Расходка[Наименование расходного материала],MATCH(Расходка[[#This Row],[№]],Поиск_расходки[Индекс10],0)),"")</f>
        <v/>
      </c>
      <c r="AB65" s="115" t="str">
        <f>IFERROR(INDEX(Расходка[Наименование расходного материала],MATCH(Расходка[[#This Row],[№]],Поиск_расходки[Индекс11],0)),"")</f>
        <v>Angio-Seal™ VIP</v>
      </c>
      <c r="AC65" s="115" t="str">
        <f>IFERROR(INDEX(Расходка[Наименование расходного материала],MATCH(Расходка[[#This Row],[№]],Поиск_расходки[Индекс12],0)),"")</f>
        <v>Angio-Seal™ VIP</v>
      </c>
      <c r="AD65" s="115" t="str">
        <f>IFERROR(INDEX(Расходка[Наименование расходного материала],MATCH(Расходка[[#This Row],[№]],Поиск_расходки[Индекс13],0)),"")</f>
        <v>Angio-Seal™ VIP</v>
      </c>
      <c r="AF65" s="4" t="s">
        <v>6</v>
      </c>
      <c r="AG65" s="4" t="s">
        <v>464</v>
      </c>
    </row>
    <row r="66" spans="1:33" x14ac:dyDescent="0.25">
      <c r="A66">
        <v>65</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0</v>
      </c>
      <c r="N66" s="116">
        <f>IF(ISNUMBER(SEARCH('Карта учёта'!$B$22,Расходка[[#This Row],[Наименование расходного материала]])),MAX($N$1:N65)+1,0)</f>
        <v>0</v>
      </c>
      <c r="O66" s="116">
        <f>IF(ISNUMBER(SEARCH('Карта учёта'!$B$23,Расходка[[#This Row],[Наименование расходного материала]])),MAX($O$1:O65)+1,0)</f>
        <v>0</v>
      </c>
      <c r="P66" s="116">
        <f>IF(ISNUMBER(SEARCH('Карта учёта'!$B$24,Расходка[[#This Row],[Наименование расходного материала]])),MAX($P$1:P65)+1,0)</f>
        <v>0</v>
      </c>
      <c r="Q66" s="116">
        <f>IF(ISNUMBER(SEARCH('Карта учёта'!$B$25,Расходка[[#This Row],[Наименование расходного материала]])),MAX($Q$1:Q65)+1,0)</f>
        <v>0</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
      </c>
      <c r="AB66" s="115" t="str">
        <f>IFERROR(INDEX(Расходка[Наименование расходного материала],MATCH(Расходка[[#This Row],[№]],Поиск_расходки[Индекс11],0)),"")</f>
        <v/>
      </c>
      <c r="AC66" s="115" t="str">
        <f>IFERROR(INDEX(Расходка[Наименование расходного материала],MATCH(Расходка[[#This Row],[№]],Поиск_расходки[Индекс12],0)),"")</f>
        <v/>
      </c>
      <c r="AD66" s="115" t="str">
        <f>IFERROR(INDEX(Расходка[Наименование расходного материала],MATCH(Расходка[[#This Row],[№]],Поиск_расходки[Индекс13],0)),"")</f>
        <v/>
      </c>
      <c r="AF66" s="4" t="s">
        <v>6</v>
      </c>
      <c r="AG66" s="4" t="s">
        <v>465</v>
      </c>
    </row>
    <row r="67" spans="1:33" x14ac:dyDescent="0.25">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учёта'!$B$17,Расходка[[#This Row],[Наименование расходного материала]])),MAX($I$1:I66)+1,0)</f>
        <v>0</v>
      </c>
      <c r="J67" s="199">
        <f>IF(ISNUMBER(SEARCH('Карта учёта'!$B$18,Расходка[[#This Row],[Наименование расходного материала]])),MAX($J$1:J66)+1,0)</f>
        <v>0</v>
      </c>
      <c r="K67" s="199">
        <f>IF(ISNUMBER(SEARCH('Карта учёта'!$B$19,Расходка[[#This Row],[Наименование расходного материала]])),MAX($K$1:K66)+1,0)</f>
        <v>0</v>
      </c>
      <c r="L67" s="199">
        <f>IF(ISNUMBER(SEARCH('Карта учёта'!$B$20,Расходка[[#This Row],[Наименование расходного материала]])),MAX($L$1:L66)+1,0)</f>
        <v>0</v>
      </c>
      <c r="M67" s="199">
        <f>IF(ISNUMBER(SEARCH('Карта учёта'!$B$21,Расходка[[#This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466</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учёта'!$B$17,Расходка[[#This Row],[Наименование расходного материала]])),MAX($I$1:I67)+1,0)</f>
        <v>0</v>
      </c>
      <c r="J68" s="199">
        <f>IF(ISNUMBER(SEARCH('Карта учёта'!$B$18,Расходка[[#This Row],[Наименование расходного материала]])),MAX($J$1:J67)+1,0)</f>
        <v>0</v>
      </c>
      <c r="K68" s="199">
        <f>IF(ISNUMBER(SEARCH('Карта учёта'!$B$19,Расходка[[#This Row],[Наименование расходного материала]])),MAX($K$1:K67)+1,0)</f>
        <v>0</v>
      </c>
      <c r="L68" s="199">
        <f>IF(ISNUMBER(SEARCH('Карта учёта'!$B$20,Расходка[[#This Row],[Наименование расходного материала]])),MAX($L$1:L67)+1,0)</f>
        <v>0</v>
      </c>
      <c r="M68" s="199">
        <f>IF(ISNUMBER(SEARCH('Карта учёта'!$B$21,Расходка[[#This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467</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учёта'!$B$17,Расходка[[#This Row],[Наименование расходного материала]])),MAX($I$1:I68)+1,0)</f>
        <v>0</v>
      </c>
      <c r="J69" s="199">
        <f>IF(ISNUMBER(SEARCH('Карта учёта'!$B$18,Расходка[[#This Row],[Наименование расходного материала]])),MAX($J$1:J68)+1,0)</f>
        <v>0</v>
      </c>
      <c r="K69" s="199">
        <f>IF(ISNUMBER(SEARCH('Карта учёта'!$B$19,Расходка[[#This Row],[Наименование расходного материала]])),MAX($K$1:K68)+1,0)</f>
        <v>0</v>
      </c>
      <c r="L69" s="199">
        <f>IF(ISNUMBER(SEARCH('Карта учёта'!$B$20,Расходка[[#This Row],[Наименование расходного материала]])),MAX($L$1:L68)+1,0)</f>
        <v>0</v>
      </c>
      <c r="M69" s="199">
        <f>IF(ISNUMBER(SEARCH('Карта учёта'!$B$21,Расходка[[#This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468</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учёта'!$B$17,Расходка[[#This Row],[Наименование расходного материала]])),MAX($I$1:I69)+1,0)</f>
        <v>0</v>
      </c>
      <c r="J70" s="199">
        <f>IF(ISNUMBER(SEARCH('Карта учёта'!$B$18,Расходка[[#This Row],[Наименование расходного материала]])),MAX($J$1:J69)+1,0)</f>
        <v>0</v>
      </c>
      <c r="K70" s="199">
        <f>IF(ISNUMBER(SEARCH('Карта учёта'!$B$19,Расходка[[#This Row],[Наименование расходного материала]])),MAX($K$1:K69)+1,0)</f>
        <v>0</v>
      </c>
      <c r="L70" s="199">
        <f>IF(ISNUMBER(SEARCH('Карта учёта'!$B$20,Расходка[[#This Row],[Наименование расходного материала]])),MAX($L$1:L69)+1,0)</f>
        <v>0</v>
      </c>
      <c r="M70" s="199">
        <f>IF(ISNUMBER(SEARCH('Карта учёта'!$B$21,Расходка[[#This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469</v>
      </c>
    </row>
    <row r="71" spans="1:33" x14ac:dyDescent="0.25">
      <c r="AF71" s="4" t="s">
        <v>6</v>
      </c>
      <c r="AG71" s="4" t="s">
        <v>424</v>
      </c>
    </row>
    <row r="72" spans="1:33" x14ac:dyDescent="0.25">
      <c r="AF72" s="4" t="s">
        <v>6</v>
      </c>
      <c r="AG72" s="4" t="s">
        <v>470</v>
      </c>
    </row>
    <row r="73" spans="1:33" x14ac:dyDescent="0.25">
      <c r="AF73" s="4" t="s">
        <v>6</v>
      </c>
      <c r="AG73" s="4" t="s">
        <v>425</v>
      </c>
    </row>
    <row r="74" spans="1:33" x14ac:dyDescent="0.25">
      <c r="AF74" s="4" t="s">
        <v>6</v>
      </c>
      <c r="AG74" s="4" t="s">
        <v>471</v>
      </c>
    </row>
    <row r="75" spans="1:33" x14ac:dyDescent="0.25">
      <c r="AF75" s="4" t="s">
        <v>6</v>
      </c>
      <c r="AG75" s="4" t="s">
        <v>472</v>
      </c>
    </row>
    <row r="76" spans="1:33" x14ac:dyDescent="0.25">
      <c r="AF76" s="4" t="s">
        <v>6</v>
      </c>
      <c r="AG76" s="4" t="s">
        <v>473</v>
      </c>
    </row>
    <row r="77" spans="1:33" x14ac:dyDescent="0.25">
      <c r="AF77" s="4" t="s">
        <v>6</v>
      </c>
      <c r="AG77" s="4" t="s">
        <v>474</v>
      </c>
    </row>
    <row r="78" spans="1:33" x14ac:dyDescent="0.25">
      <c r="AF78" s="4" t="s">
        <v>6</v>
      </c>
      <c r="AG78" s="4" t="s">
        <v>475</v>
      </c>
    </row>
    <row r="79" spans="1:33" x14ac:dyDescent="0.25">
      <c r="AF79" s="4" t="s">
        <v>6</v>
      </c>
      <c r="AG79" s="4" t="s">
        <v>476</v>
      </c>
    </row>
    <row r="80" spans="1:33" x14ac:dyDescent="0.25">
      <c r="AF80" s="4" t="s">
        <v>6</v>
      </c>
      <c r="AG80" s="4" t="s">
        <v>477</v>
      </c>
    </row>
    <row r="81" spans="32:33" x14ac:dyDescent="0.25">
      <c r="AF81" s="4" t="s">
        <v>6</v>
      </c>
      <c r="AG81" s="4" t="s">
        <v>478</v>
      </c>
    </row>
    <row r="82" spans="32:33" x14ac:dyDescent="0.25">
      <c r="AF82" s="4" t="s">
        <v>6</v>
      </c>
      <c r="AG82" s="4" t="s">
        <v>479</v>
      </c>
    </row>
    <row r="83" spans="32:33" x14ac:dyDescent="0.25">
      <c r="AF83" s="4" t="s">
        <v>6</v>
      </c>
      <c r="AG83" s="4" t="s">
        <v>480</v>
      </c>
    </row>
    <row r="84" spans="32:33" x14ac:dyDescent="0.25">
      <c r="AF84" s="4" t="s">
        <v>6</v>
      </c>
      <c r="AG84" s="4" t="s">
        <v>431</v>
      </c>
    </row>
    <row r="85" spans="32:33" x14ac:dyDescent="0.25">
      <c r="AF85" s="4" t="s">
        <v>6</v>
      </c>
      <c r="AG85" s="4" t="s">
        <v>432</v>
      </c>
    </row>
    <row r="86" spans="32:33" x14ac:dyDescent="0.25">
      <c r="AF86" s="4" t="s">
        <v>6</v>
      </c>
      <c r="AG86" s="4" t="s">
        <v>481</v>
      </c>
    </row>
    <row r="87" spans="32:33" x14ac:dyDescent="0.25">
      <c r="AF87" s="4" t="s">
        <v>6</v>
      </c>
      <c r="AG87" s="4" t="s">
        <v>482</v>
      </c>
    </row>
    <row r="88" spans="32:33" x14ac:dyDescent="0.25">
      <c r="AF88" s="4" t="s">
        <v>6</v>
      </c>
      <c r="AG88" s="4" t="s">
        <v>483</v>
      </c>
    </row>
    <row r="89" spans="32:33" x14ac:dyDescent="0.25">
      <c r="AF89" s="4" t="s">
        <v>6</v>
      </c>
      <c r="AG89" s="4" t="s">
        <v>484</v>
      </c>
    </row>
    <row r="90" spans="32:33" x14ac:dyDescent="0.25">
      <c r="AF90" s="4" t="s">
        <v>6</v>
      </c>
      <c r="AG90" s="4" t="s">
        <v>485</v>
      </c>
    </row>
    <row r="91" spans="32:33" x14ac:dyDescent="0.25">
      <c r="AF91" s="4" t="s">
        <v>6</v>
      </c>
      <c r="AG91" s="4" t="s">
        <v>486</v>
      </c>
    </row>
    <row r="92" spans="32:33" x14ac:dyDescent="0.25">
      <c r="AF92" s="4" t="s">
        <v>6</v>
      </c>
      <c r="AG92" s="4" t="s">
        <v>487</v>
      </c>
    </row>
    <row r="93" spans="32:33" x14ac:dyDescent="0.25">
      <c r="AF93" s="4" t="s">
        <v>6</v>
      </c>
      <c r="AG93" s="4" t="s">
        <v>488</v>
      </c>
    </row>
    <row r="94" spans="32:33" x14ac:dyDescent="0.25">
      <c r="AF94" s="4" t="s">
        <v>6</v>
      </c>
      <c r="AG94" s="4" t="s">
        <v>435</v>
      </c>
    </row>
    <row r="95" spans="32:33" x14ac:dyDescent="0.25">
      <c r="AF95" s="4" t="s">
        <v>6</v>
      </c>
      <c r="AG95" s="4" t="s">
        <v>436</v>
      </c>
    </row>
    <row r="96" spans="32:33" x14ac:dyDescent="0.25">
      <c r="AF96" s="4" t="s">
        <v>6</v>
      </c>
      <c r="AG96" s="4" t="s">
        <v>489</v>
      </c>
    </row>
    <row r="97" spans="32:33" x14ac:dyDescent="0.25">
      <c r="AF97" s="4" t="s">
        <v>6</v>
      </c>
      <c r="AG97" s="4" t="s">
        <v>490</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515</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510</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2023-06-19T03:22:05Z</cp:lastPrinted>
  <dcterms:created xsi:type="dcterms:W3CDTF">2015-06-05T18:19:34Z</dcterms:created>
  <dcterms:modified xsi:type="dcterms:W3CDTF">2023-06-19T03:22:07Z</dcterms:modified>
</cp:coreProperties>
</file>