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6AE7CA97-AA24-4455-8674-87567940C2E4}"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U46" i="1"/>
  <c r="F51" i="1"/>
  <c r="G47" i="1"/>
  <c r="K47" i="1"/>
  <c r="L35" i="1"/>
  <c r="M34" i="1"/>
  <c r="AB31" i="1"/>
  <c r="N32" i="1"/>
  <c r="N33" i="1" s="1"/>
  <c r="AC31" i="1"/>
  <c r="AB29" i="1"/>
  <c r="AC29" i="1"/>
  <c r="U53" i="1" l="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50" i="1"/>
  <c r="S42" i="1"/>
  <c r="S57" i="1"/>
  <c r="K52" i="1"/>
  <c r="K53" i="1" s="1"/>
  <c r="G51" i="1"/>
  <c r="AD39" i="1"/>
  <c r="AC35" i="1"/>
  <c r="AC23" i="1"/>
  <c r="AB46" i="1"/>
  <c r="N45" i="1"/>
  <c r="AC44" i="1"/>
  <c r="L40" i="1"/>
  <c r="M38" i="1"/>
  <c r="M39" i="1" s="1"/>
  <c r="M40" i="1" s="1"/>
  <c r="S47" i="1" l="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19" i="1"/>
  <c r="T4" i="1"/>
  <c r="T6" i="1"/>
  <c r="T52" i="1"/>
  <c r="T48" i="1"/>
  <c r="T42" i="1"/>
  <c r="T21" i="1"/>
  <c r="T3" i="1"/>
  <c r="T51" i="1"/>
  <c r="T5" i="1"/>
  <c r="T60" i="1"/>
  <c r="T41" i="1"/>
  <c r="T14" i="1"/>
  <c r="T54" i="1"/>
  <c r="T37" i="1"/>
  <c r="T39" i="1"/>
  <c r="T16" i="1"/>
  <c r="T36" i="1"/>
  <c r="T12" i="1"/>
  <c r="T50" i="1"/>
  <c r="T34" i="1"/>
  <c r="T43" i="1"/>
  <c r="T9" i="1"/>
  <c r="T56" i="1"/>
  <c r="T24" i="1"/>
  <c r="T55" i="1"/>
  <c r="T29" i="1"/>
  <c r="T65" i="1"/>
  <c r="M56" i="1"/>
  <c r="M57" i="1" s="1"/>
  <c r="L54" i="1"/>
  <c r="T66" i="1" l="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<sst xmlns="http://schemas.openxmlformats.org/spreadsheetml/2006/main" count="868" uniqueCount="527">
  <si>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</si>
  <si>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</si>
  <si>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</si>
  <si>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</si>
  <si>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</si>
  <si>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</si>
  <si>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</si>
  <si>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</si>
  <si>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</si>
  <si>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</si>
  <si>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</si>
  <si>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</si>
  <si>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</si>
  <si>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</si>
  <si>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</si>
  <si>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</si>
  <si>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</si>
  <si>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</si>
  <si>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</si>
  <si>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</si>
  <si>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</si>
  <si>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</si>
  <si>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</si>
  <si>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</si>
  <si>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</si>
  <si>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</si>
  <si>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</si>
  <si>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</si>
  <si>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</si>
  <si>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</si>
  <si>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</si>
  <si>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</si>
  <si>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</si>
  <si>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</si>
  <si>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</si>
  <si>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</si>
  <si>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</si>
  <si>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</si>
  <si>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</si>
  <si>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</si>
  <si>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</si>
  <si>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</si>
  <si>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</si>
  <si>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</si>
  <si>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</si>
  <si>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</si>
  <si>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</si>
  <si>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</si>
  <si>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</si>
  <si>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</si>
  <si>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</si>
  <si>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</si>
  <si>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</si>
  <si>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</si>
  <si>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</si>
  <si>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</si>
  <si>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</si>
  <si>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</si>
  <si>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</si>
  <si>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</si>
  <si>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</si>
  <si>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</si>
  <si>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</si>
  <si>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</si>
  <si>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</si>
  <si>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</si>
  <si>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</si>
  <si>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</si>
  <si>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</si>
  <si>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</si>
  <si>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</si>
  <si>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</si>
  <si>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</si>
  <si>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</si>
  <si>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</si>
  <si>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</si>
  <si>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</si>
  <si>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</si>
  <si>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</si>
  <si>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</si>
  <si>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</si>
  <si>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</si>
  <si>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</si>
  <si>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</si>
  <si>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</si>
  <si>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</si>
  <si>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</si>
  <si>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</si>
  <si>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</si>
  <si>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</si>
  <si>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</si>
  <si>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</si>
  <si>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</si>
  <si>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</si>
  <si>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</si>
  <si>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</si>
  <si>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</si>
  <si>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</si>
  <si>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</si>
  <si>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</si>
  <si>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</si>
  <si>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</si>
  <si>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</si>
  <si>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</si>
  <si>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</si>
  <si>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</si>
  <si>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</si>
  <si>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</si>
  <si>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</si>
  <si>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</si>
  <si>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</si>
  <si>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</si>
  <si>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</si>
  <si>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</si>
  <si>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</si>
  <si>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</si>
  <si>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</si>
  <si>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</si>
  <si>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</si>
  <si>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</si>
  <si>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</si>
  <si>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</si>
  <si>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</si>
  <si>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</si>
  <si>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</si>
  <si>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</si>
  <si>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</si>
  <si>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</si>
  <si>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</si>
  <si>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</si>
  <si>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</si>
  <si>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</si>
  <si>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</si>
  <si>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</si>
  <si>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</si>
  <si>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</si>
  <si>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</si>
  <si>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</si>
  <si>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</si>
  <si>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</si>
  <si>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</si>
  <si>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</si>
  <si>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</si>
  <si>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</si>
  <si>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</si>
  <si>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</si>
  <si>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</si>
  <si>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</si>
  <si>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</si>
  <si>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</si>
  <si>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</si>
  <si>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</si>
  <si>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</si>
  <si>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</si>
  <si>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</si>
  <si>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</si>
  <si>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</si>
  <si>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</si>
  <si>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</si>
  <si>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</si>
  <si>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</si>
  <si>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</si>
  <si>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</si>
  <si>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</si>
  <si>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</si>
  <si>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</si>
  <si>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</si>
  <si>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</si>
  <si>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</si>
  <si>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</si>
  <si>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</si>
  <si>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</si>
  <si>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</si>
  <si>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</si>
  <si>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</si>
  <si>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</si>
  <si>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</si>
  <si>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</si>
  <si>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</si>
  <si>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</si>
  <si>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</si>
  <si>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</si>
  <si>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</si>
  <si>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</si>
  <si>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</si>
  <si>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</si>
  <si>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</si>
  <si>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</si>
  <si>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</si>
  <si>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</si>
  <si>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</si>
  <si>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</si>
  <si>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</si>
  <si>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</si>
  <si>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</si>
  <si>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</si>
  <si>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</si>
  <si>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</si>
  <si>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</si>
  <si>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</si>
  <si>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</si>
  <si>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</si>
  <si>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</si>
  <si>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</si>
  <si>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</si>
  <si>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</si>
  <si>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</si>
  <si>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</si>
  <si>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</si>
  <si>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</si>
  <si>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</si>
  <si>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</si>
  <si>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</si>
  <si>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</si>
  <si>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</si>
  <si>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</si>
  <si>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</si>
  <si>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</si>
  <si>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</si>
  <si>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</si>
  <si>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</si>
  <si>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</si>
  <si>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</si>
  <si>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</si>
  <si>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</si>
  <si>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</si>
  <si>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</si>
  <si>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</si>
  <si>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</si>
  <si>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</si>
  <si>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</si>
  <si>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</si>
  <si>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</si>
  <si>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</si>
  <si>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</si>
  <si>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</si>
  <si>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</si>
  <si>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</si>
  <si>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</si>
  <si>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</si>
  <si>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</si>
  <si>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</si>
  <si>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</si>
  <si>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</si>
  <si>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</si>
  <si>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</si>
  <si>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</si>
  <si>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</si>
  <si>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</si>
  <si>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</si>
  <si>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</si>
  <si>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</si>
  <si>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</si>
  <si>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</si>
  <si>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</si>
  <si>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</si>
  <si>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</si>
  <si>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</si>
  <si>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</si>
  <si>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</si>
  <si>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</si>
  <si>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</si>
  <si>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</si>
  <si>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</si>
  <si>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</si>
  <si>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</si>
  <si>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</si>
  <si>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</si>
  <si>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</si>
  <si>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</si>
  <si>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</si>
  <si>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</si>
  <si>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</si>
  <si>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</si>
  <si>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</si>
  <si>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</si>
  <si>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</si>
  <si>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</si>
  <si>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</si>
  <si>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</si>
  <si>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</si>
  <si>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</si>
  <si>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</si>
  <si>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</si>
  <si>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</si>
  <si>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</si>
  <si>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</si>
  <si>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</si>
  <si>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</si>
  <si>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</si>
  <si>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</si>
  <si>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</si>
  <si>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</si>
  <si>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</si>
  <si>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</si>
  <si>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</si>
  <si>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</si>
  <si>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</si>
  <si>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</si>
  <si>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</si>
  <si>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</si>
  <si>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</si>
  <si>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</si>
  <si>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</si>
  <si>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</si>
  <si>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</si>
  <si>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</si>
  <si>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</si>
  <si>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</si>
  <si>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</si>
  <si>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</si>
  <si>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</si>
  <si>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</si>
  <si>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</si>
  <si>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</si>
  <si>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</si>
  <si>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</si>
  <si>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</si>
  <si>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</si>
  <si>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</si>
  <si>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</si>
  <si>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</si>
  <si>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</si>
  <si>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</si>
  <si>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</si>
  <si>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</si>
  <si>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</si>
  <si>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</si>
  <si>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</si>
  <si>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</si>
  <si>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</si>
  <si>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</si>
  <si>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</si>
  <si>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</si>
  <si>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</si>
  <si>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</si>
  <si>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</si>
  <si>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</si>
  <si>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</si>
  <si>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</si>
  <si>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</si>
  <si>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</si>
  <si>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</si>
  <si>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</si>
  <si>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</si>
  <si>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</si>
  <si>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</si>
  <si>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</si>
  <si>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</si>
  <si>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</si>
  <si>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</si>
  <si>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</si>
  <si>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</si>
  <si>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</si>
  <si>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</si>
  <si>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</si>
  <si>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</si>
  <si>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</si>
  <si>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</si>
  <si>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</si>
  <si>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</si>
  <si>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</si>
  <si>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</si>
  <si>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</si>
  <si>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</si>
  <si>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</si>
  <si>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</si>
  <si>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</si>
  <si>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</si>
  <si>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</si>
  <si>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</si>
  <si>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</si>
  <si>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</si>
  <si>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</si>
  <si>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</si>
  <si>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</si>
  <si>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</si>
  <si>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</si>
  <si>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</si>
  <si>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</si>
  <si>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</si>
  <si>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</si>
  <si>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</si>
  <si>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</si>
  <si>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</si>
  <si>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</si>
  <si>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</si>
  <si>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</si>
  <si>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</si>
  <si>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</si>
  <si>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</si>
  <si>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</si>
  <si>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</si>
  <si>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</si>
  <si>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</si>
  <si>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</si>
  <si>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</si>
  <si>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</si>
  <si>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</si>
  <si>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</si>
  <si>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</si>
  <si>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</si>
  <si>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</si>
  <si>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</si>
  <si>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</si>
  <si>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</si>
  <si>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</si>
  <si>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</si>
  <si>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</si>
  <si>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</si>
  <si>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</si>
  <si>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</si>
  <si>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</si>
  <si>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</si>
  <si>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</si>
  <si>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</si>
  <si>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</si>
  <si>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</si>
  <si>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</si>
  <si>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</si>
  <si>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</si>
  <si>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</si>
  <si>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</si>
  <si>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</si>
  <si>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</si>
  <si>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</si>
  <si>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</si>
  <si>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</si>
  <si>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</si>
  <si>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</si>
  <si>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</si>
  <si>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</si>
  <si>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</si>
  <si>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</si>
  <si>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</si>
  <si>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</si>
  <si>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</si>
  <si>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</si>
  <si>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</si>
  <si>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</si>
  <si>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</si>
  <si>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</si>
  <si>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</si>
  <si>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</si>
  <si>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</si>
  <si>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</si>
  <si>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</si>
  <si>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</si>
  <si>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</si>
  <si>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</si>
  <si>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</si>
  <si>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</si>
  <si>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</si>
  <si>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</si>
  <si>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</si>
  <si>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</si>
  <si>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</si>
  <si>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</si>
  <si>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</si>
  <si>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</si>
  <si>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</si>
  <si>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</si>
  <si>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</si>
  <si>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</si>
  <si>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</si>
  <si>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</si>
  <si>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</si>
  <si>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</si>
  <si>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</si>
  <si>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</si>
  <si>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</si>
  <si>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</si>
  <si>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</si>
  <si>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</si>
  <si>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</si>
  <si>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</si>
  <si>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</si>
  <si>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</si>
  <si>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</si>
  <si>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</si>
  <si>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</si>
  <si>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</si>
  <si>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</si>
  <si>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</si>
  <si>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</si>
  <si>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</si>
  <si>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</si>
  <si>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</si>
  <si>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</si>
  <si>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</si>
  <si>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</si>
  <si>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</si>
  <si>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</si>
  <si>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</si>
  <si>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</si>
  <si>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</si>
  <si>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</si>
  <si>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</si>
  <si>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</si>
  <si>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</si>
  <si>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</si>
  <si>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</si>
  <si>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</si>
  <si>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</si>
  <si>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</si>
  <si>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</si>
  <si>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</si>
  <si>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</si>
  <si>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</si>
  <si>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</si>
  <si>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</si>
  <si>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</si>
  <si>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</si>
  <si>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Коллатеральный кровоток: нет</t>
  </si>
  <si>
    <t>Оставлен</t>
  </si>
  <si>
    <t>лучевой</t>
  </si>
  <si>
    <t>Соболева Ю.А.</t>
  </si>
  <si>
    <t>"МИМ". Тюмень</t>
  </si>
  <si>
    <t>проходим,контуры ровные.</t>
  </si>
  <si>
    <t>Совместно с д/кардиологом: с учетом клинических данных, ЭКГ и КАГ рекомендована ЧТКА ПНА.</t>
  </si>
  <si>
    <t>Корева В.К.</t>
  </si>
  <si>
    <t>12:12</t>
  </si>
  <si>
    <t>стеноз дистального сегмента 60%.  Антеградный кровоток TIMI III</t>
  </si>
  <si>
    <t>тотальная окклюзия на уровне устья ПНА, стеноз проксимального сегмента 80%, стенозы среднего сегмента 40%.  Антеградный кровоток TIMI 0, TTG 3, Rentrop 1 из ПКА в СВ ПНА.</t>
  </si>
  <si>
    <t>стеноз проксимальной трети ЗМЖВ 30%. Антеградный кровоток TIMI III</t>
  </si>
  <si>
    <t>200 ml</t>
  </si>
  <si>
    <t xml:space="preserve">Устье ЛКА катетеризировано проводниковым катетером Launcher JL 3,5 6Fr. Коронарный проводник Fielder заведен в дистальный сегмент ПНА.  Реканализация выполнена аспирационным катетером hunter 6F, получены фрагменты тромба 4-6мм, антеградный кровоток восстановлен до TIMI II. С учётом устьевого крупного тромба ПНА (не менее TTG3) принято решение в пользу ведения эптифибатида.  В зону среднего сегмента с покрытием 80% стеноза позиционирован и имплантирован DES Resolute Integtity 2.75-22 мм, давлением 12 атм. В зону проксимального сегмента с полным покрытием устья ПНА имплантирован DES Resolute Integtity 3.5-26 мм. Постдилатация зоны оверлапинга и оптимизация проксимального стента БК  Accuforce  3.75-8, давлением 16 атм. Рекроссинг проводника в ДВ с последующей дилатацией устья и ячейки стента БК Колибри 2.0-15, давлением 14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</si>
</sst>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52" fillId="0" borderId="0" xfId="0" applyFont="1" applyAlignment="1">
      <alignment horizontal="justify" vertical="top" wrapText="1"/>
    </xf>
    <xf numFmtId="0" fontId="52" fillId="0" borderId="13" xfId="0" applyFont="1" applyBorder="1" applyAlignment="1">
      <alignment horizontal="justify" vertical="top" wrapText="1"/>
    </xf>
    <xf numFmtId="0" fontId="52"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106678</xdr:colOff>
      <xdr:row>40</xdr:row>
      <xdr:rowOff>28575</xdr:rowOff>
    </xdr:from>
    <xdr:to>
      <xdr:col>1</xdr:col>
      <xdr:colOff>916305</xdr:colOff>
      <xdr:row>49</xdr:row>
      <xdr:rowOff>12622</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78" y="7734300"/>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M14" sqref="M14"/>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45093</v>
      </c>
      <c r="C8" s="54"/>
      <c r="D8" s="16" t="s">
        <v>186</v>
      </c>
      <c r="E8" s="29"/>
      <c r="F8" s="29"/>
      <c r="G8" s="17"/>
      <c r="H8" s="18"/>
    </row>
    <row r="9" spans="1:8" ht="15.6" customHeight="1" x14ac:dyDescent="0.25">
      <c r="A9" s="21" t="s">
        <v>193</v>
      </c>
      <c r="B9" s="22">
        <v>0.67361111111111116</v>
      </c>
      <c r="C9" s="54"/>
      <c r="D9" s="95" t="s">
        <v>172</v>
      </c>
      <c r="E9" s="93"/>
      <c r="F9" s="93"/>
      <c r="G9" s="23" t="s">
        <v>163</v>
      </c>
      <c r="H9" s="25"/>
    </row>
    <row r="10" spans="1:8" ht="15.6" customHeight="1" thickBot="1" x14ac:dyDescent="0.3">
      <c r="A10" s="83" t="s">
        <v>194</v>
      </c>
      <c r="B10" s="84">
        <v>0.68055555555555547</v>
      </c>
      <c r="C10" s="55"/>
      <c r="D10" s="96" t="s">
        <v>173</v>
      </c>
      <c r="E10" s="94"/>
      <c r="F10" s="94"/>
      <c r="G10" s="24" t="s">
        <v>185</v>
      </c>
      <c r="H10" s="26"/>
    </row>
    <row r="11" spans="1:8" ht="18" thickTop="1" thickBot="1" x14ac:dyDescent="0.3">
      <c r="A11" s="89" t="s">
        <v>192</v>
      </c>
      <c r="B11" s="90" t="s">
        <v>520</v>
      </c>
      <c r="C11" s="8"/>
      <c r="D11" s="96" t="s">
        <v>170</v>
      </c>
      <c r="E11" s="94"/>
      <c r="F11" s="94"/>
      <c r="G11" s="24" t="s">
        <v>304</v>
      </c>
      <c r="H11" s="26"/>
    </row>
    <row r="12" spans="1:8" ht="16.5" thickTop="1" x14ac:dyDescent="0.25">
      <c r="A12" s="81" t="s">
        <v>8</v>
      </c>
      <c r="B12" s="82">
        <v>21413</v>
      </c>
      <c r="C12" s="12"/>
      <c r="D12" s="96" t="s">
        <v>303</v>
      </c>
      <c r="E12" s="94"/>
      <c r="F12" s="94"/>
      <c r="G12" s="24" t="s">
        <v>259</v>
      </c>
      <c r="H12" s="26"/>
    </row>
    <row r="13" spans="1:8" ht="15.75" x14ac:dyDescent="0.25">
      <c r="A13" s="15" t="s">
        <v>10</v>
      </c>
      <c r="B13" s="30">
        <f>DATEDIF(B12,B8,"y")</f>
        <v>64</v>
      </c>
      <c r="C13" s="12"/>
      <c r="D13" s="96"/>
      <c r="E13" s="94"/>
      <c r="F13" s="94"/>
      <c r="G13" s="24"/>
      <c r="H13" s="26"/>
    </row>
    <row r="14" spans="1:8" ht="15.75" x14ac:dyDescent="0.25">
      <c r="A14" s="15" t="s">
        <v>12</v>
      </c>
      <c r="B14" s="19">
        <v>15812</v>
      </c>
      <c r="C14" s="12"/>
      <c r="D14" s="36"/>
      <c r="E14" s="36"/>
      <c r="F14" s="36"/>
      <c r="G14" s="37"/>
      <c r="H14" s="56"/>
    </row>
    <row r="15" spans="1:8" ht="15.75" x14ac:dyDescent="0.25">
      <c r="A15" s="15" t="s">
        <v>133</v>
      </c>
      <c r="B15" s="19">
        <v>35</v>
      </c>
      <c r="D15" s="36"/>
      <c r="E15" s="36"/>
      <c r="F15" s="36"/>
      <c r="G15" s="169" t="s">
        <v>404</v>
      </c>
      <c r="H15" s="173" t="s">
        <v>521</v>
      </c>
    </row>
    <row r="16" spans="1:8" ht="15.6" customHeight="1" x14ac:dyDescent="0.25">
      <c r="A16" s="15" t="s">
        <v>106</v>
      </c>
      <c r="B16" s="19" t="s">
        <v>492</v>
      </c>
      <c r="D16" s="36"/>
      <c r="E16" s="36"/>
      <c r="F16" s="36"/>
      <c r="G16" s="170" t="s">
        <v>408</v>
      </c>
      <c r="H16" s="168">
        <v>8590</v>
      </c>
    </row>
    <row r="17" spans="1:8" ht="14.45" customHeight="1" x14ac:dyDescent="0.25">
      <c r="A17" s="40"/>
      <c r="B17" s="31"/>
      <c r="C17" s="31"/>
      <c r="D17" s="88"/>
      <c r="E17" s="88"/>
      <c r="F17" s="88"/>
      <c r="G17" s="171" t="s">
        <v>393</v>
      </c>
      <c r="H17" s="172">
        <f>H16*0.0019</f>
        <v>16.321000000000002</v>
      </c>
    </row>
    <row r="18" spans="1:8" ht="14.45" customHeight="1" x14ac:dyDescent="0.25">
      <c r="A18" s="57" t="s">
        <v>188</v>
      </c>
      <c r="B18" s="87" t="s">
        <v>406</v>
      </c>
      <c r="D18" s="28" t="s">
        <v>210</v>
      </c>
      <c r="E18" s="28"/>
      <c r="F18" s="28"/>
      <c r="G18" s="85" t="s">
        <v>189</v>
      </c>
      <c r="H18" s="86" t="s">
        <v>515</v>
      </c>
    </row>
    <row r="19" spans="1:8" ht="14.45" customHeight="1" x14ac:dyDescent="0.25">
      <c r="A19" s="40"/>
      <c r="B19" s="31"/>
      <c r="C19" s="31"/>
      <c r="D19" s="34"/>
      <c r="E19" s="34"/>
      <c r="F19" s="34"/>
      <c r="G19" s="31"/>
      <c r="H19" s="41"/>
    </row>
    <row r="20" spans="1:8" ht="14.45" customHeight="1" x14ac:dyDescent="0.25">
      <c r="A20" s="57" t="s">
        <v>212</v>
      </c>
      <c r="B20" s="214" t="s">
        <v>518</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523</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524</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c r="D38" s="208" t="s">
        <v>513</v>
      </c>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519</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391</v>
      </c>
      <c r="G51" s="74" t="str">
        <f>$G$9</f>
        <v>Щербаков А.С.</v>
      </c>
      <c r="H51" s="64"/>
    </row>
    <row r="52" spans="1:13" x14ac:dyDescent="0.25">
      <c r="A52" s="38"/>
      <c r="H52" s="39"/>
    </row>
    <row r="53" spans="1:13" x14ac:dyDescent="0.25">
      <c r="A53" s="65" t="s">
        <v>206</v>
      </c>
      <c r="B53" s="66" t="s">
        <v>514</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K32" sqref="K32"/>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2</v>
      </c>
      <c r="G8" s="119" t="s">
        <v>309</v>
      </c>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3"/>
      <c r="C10" s="238"/>
      <c r="D10" s="238"/>
      <c r="E10" s="238"/>
      <c r="F10" s="198"/>
      <c r="G10" s="119"/>
      <c r="H10" s="39"/>
    </row>
    <row r="11" spans="1:8" x14ac:dyDescent="0.25">
      <c r="A11" s="196"/>
      <c r="B11" s="201"/>
      <c r="C11" s="197">
        <f>SUM(F8:F10)</f>
        <v>2</v>
      </c>
      <c r="H11" s="39"/>
    </row>
    <row r="12" spans="1:8" ht="18.75" x14ac:dyDescent="0.25">
      <c r="A12" s="75" t="s">
        <v>191</v>
      </c>
      <c r="B12" s="20">
        <f>КАГ!B8</f>
        <v>45093</v>
      </c>
      <c r="C12" s="12"/>
      <c r="D12" s="16" t="s">
        <v>186</v>
      </c>
      <c r="E12" s="29"/>
      <c r="F12" s="29"/>
      <c r="G12" s="17"/>
      <c r="H12" s="18"/>
    </row>
    <row r="13" spans="1:8" ht="15.75" x14ac:dyDescent="0.25">
      <c r="A13" s="76" t="s">
        <v>193</v>
      </c>
      <c r="B13" s="22">
        <v>0.68055555555555547</v>
      </c>
      <c r="C13" s="12"/>
      <c r="D13" s="95" t="s">
        <v>172</v>
      </c>
      <c r="E13" s="93"/>
      <c r="F13" s="93"/>
      <c r="G13" s="79" t="str">
        <f>КАГ!G9</f>
        <v>Щербаков А.С.</v>
      </c>
      <c r="H13" s="91" t="str">
        <f>IF(ISBLANK(КАГ!H9),"",КАГ!H9)</f>
        <v/>
      </c>
    </row>
    <row r="14" spans="1:8" ht="15.75" x14ac:dyDescent="0.25">
      <c r="A14" s="76" t="s">
        <v>194</v>
      </c>
      <c r="B14" s="22">
        <v>0.71527777777777779</v>
      </c>
      <c r="C14" s="12"/>
      <c r="D14" s="96" t="s">
        <v>173</v>
      </c>
      <c r="E14" s="94"/>
      <c r="F14" s="94"/>
      <c r="G14" s="80" t="str">
        <f>КАГ!G10</f>
        <v>Щербакова С.М.</v>
      </c>
      <c r="H14" s="92" t="str">
        <f>IF(ISBLANK(КАГ!H10),"",КАГ!H10)</f>
        <v/>
      </c>
    </row>
    <row r="15" spans="1:8" ht="16.5" thickBot="1" x14ac:dyDescent="0.3">
      <c r="A15" s="167" t="s">
        <v>392</v>
      </c>
      <c r="B15" s="192">
        <f>IF(B14&lt;B13,B14+1,B14)-B13</f>
        <v>3.4722222222222321E-2</v>
      </c>
      <c r="D15" s="96" t="s">
        <v>170</v>
      </c>
      <c r="E15" s="94"/>
      <c r="F15" s="94"/>
      <c r="G15" s="80" t="str">
        <f>КАГ!G11</f>
        <v>Бородкина С.А.</v>
      </c>
      <c r="H15" s="92" t="str">
        <f>IF(ISBLANK(КАГ!H11),"",КАГ!H11)</f>
        <v/>
      </c>
    </row>
    <row r="16" spans="1:8" ht="18" thickTop="1" thickBot="1" x14ac:dyDescent="0.3">
      <c r="A16" s="89" t="s">
        <v>192</v>
      </c>
      <c r="B16" s="156" t="str">
        <f>КАГ!B11</f>
        <v>Корева В.К.</v>
      </c>
      <c r="D16" s="96" t="s">
        <v>303</v>
      </c>
      <c r="E16" s="94"/>
      <c r="F16" s="94"/>
      <c r="G16" s="80" t="str">
        <f>КАГ!G12</f>
        <v>Селезнёва М.В.</v>
      </c>
      <c r="H16" s="92" t="str">
        <f>IF(ISBLANK(КАГ!H12),"",КАГ!H12)</f>
        <v/>
      </c>
    </row>
    <row r="17" spans="1:8" ht="16.5" thickTop="1" x14ac:dyDescent="0.25">
      <c r="A17" s="15" t="s">
        <v>8</v>
      </c>
      <c r="B17" s="67">
        <f>КАГ!B12</f>
        <v>21413</v>
      </c>
      <c r="D17" s="96" t="s">
        <v>184</v>
      </c>
      <c r="E17" s="94"/>
      <c r="F17" s="94"/>
      <c r="G17" s="80" t="str">
        <f>IF(ISBLANK(КАГ!G13),"",КАГ!G13)</f>
        <v/>
      </c>
      <c r="H17" s="92" t="str">
        <f>IF(ISBLANK(КАГ!H13),"",КАГ!H13)</f>
        <v/>
      </c>
    </row>
    <row r="18" spans="1:8" ht="15.75" x14ac:dyDescent="0.25">
      <c r="A18" s="15" t="s">
        <v>10</v>
      </c>
      <c r="B18" s="30">
        <f>КАГ!B13</f>
        <v>64</v>
      </c>
      <c r="H18" s="39"/>
    </row>
    <row r="19" spans="1:8" ht="14.45" customHeight="1" x14ac:dyDescent="0.25">
      <c r="A19" s="15" t="s">
        <v>12</v>
      </c>
      <c r="B19" s="68">
        <f>КАГ!B14</f>
        <v>15812</v>
      </c>
      <c r="C19" s="69"/>
      <c r="D19" s="69"/>
      <c r="E19" s="69"/>
      <c r="F19" s="69"/>
      <c r="G19" s="169" t="s">
        <v>404</v>
      </c>
      <c r="H19" s="184" t="str">
        <f>КАГ!H15</f>
        <v>12:12</v>
      </c>
    </row>
    <row r="20" spans="1:8" ht="14.45" customHeight="1" x14ac:dyDescent="0.25">
      <c r="A20" s="15" t="s">
        <v>133</v>
      </c>
      <c r="B20" s="68">
        <f>КАГ!B15</f>
        <v>35</v>
      </c>
      <c r="C20" s="70"/>
      <c r="D20" s="70"/>
      <c r="E20" s="70"/>
      <c r="F20" s="70"/>
      <c r="G20" s="170" t="s">
        <v>408</v>
      </c>
      <c r="H20" s="185">
        <f>КАГ!H16</f>
        <v>8590</v>
      </c>
    </row>
    <row r="21" spans="1:8" ht="14.45" customHeight="1" x14ac:dyDescent="0.25">
      <c r="A21" s="15" t="s">
        <v>106</v>
      </c>
      <c r="B21" s="67" t="str">
        <f>КАГ!B16</f>
        <v>ОКС с ↑ ST</v>
      </c>
      <c r="C21" s="70"/>
      <c r="E21" s="71"/>
      <c r="F21" s="71"/>
      <c r="G21" s="171" t="s">
        <v>393</v>
      </c>
      <c r="H21" s="172">
        <f>КАГ!H17</f>
        <v>16.321000000000002</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0.68361111111111117</v>
      </c>
    </row>
    <row r="23" spans="1:8" ht="14.45" customHeight="1" x14ac:dyDescent="0.25">
      <c r="A23" s="65" t="s">
        <v>396</v>
      </c>
      <c r="B23" s="176" t="s">
        <v>395</v>
      </c>
      <c r="C23" s="166"/>
      <c r="D23" s="166"/>
      <c r="E23" s="166"/>
      <c r="F23" s="166"/>
      <c r="H23" s="39"/>
    </row>
    <row r="24" spans="1:8" ht="14.45" customHeight="1" x14ac:dyDescent="0.3">
      <c r="A24" s="187" t="s">
        <v>394</v>
      </c>
      <c r="B24" s="174"/>
      <c r="C24" s="174"/>
      <c r="D24" s="174"/>
      <c r="E24" s="174"/>
      <c r="F24" s="174"/>
      <c r="G24" s="174"/>
      <c r="H24" s="175"/>
    </row>
    <row r="25" spans="1:8" ht="14.45" customHeight="1" x14ac:dyDescent="0.25">
      <c r="A25" s="242" t="s">
        <v>526</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81" t="s">
        <v>400</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397</v>
      </c>
      <c r="B39" s="70" t="s">
        <v>399</v>
      </c>
      <c r="C39" s="122"/>
      <c r="D39" s="123" t="s">
        <v>187</v>
      </c>
      <c r="E39" s="72"/>
      <c r="F39" s="72"/>
      <c r="G39" s="72"/>
      <c r="H39" s="73"/>
    </row>
    <row r="40" spans="1:12" ht="14.45" customHeight="1" x14ac:dyDescent="0.25">
      <c r="A40" s="178" t="s">
        <v>398</v>
      </c>
      <c r="B40" s="182" t="s">
        <v>391</v>
      </c>
      <c r="C40" s="121"/>
      <c r="D40" s="239" t="s">
        <v>405</v>
      </c>
      <c r="E40" s="240"/>
      <c r="F40" s="240"/>
      <c r="G40" s="240"/>
      <c r="H40" s="241"/>
    </row>
    <row r="41" spans="1:12" ht="14.45" customHeight="1" x14ac:dyDescent="0.25">
      <c r="A41" s="32"/>
      <c r="B41" s="28"/>
      <c r="C41" s="121"/>
      <c r="D41" s="240"/>
      <c r="E41" s="240"/>
      <c r="F41" s="240"/>
      <c r="G41" s="240"/>
      <c r="H41" s="241"/>
    </row>
    <row r="42" spans="1:12" ht="14.45" customHeight="1" x14ac:dyDescent="0.25">
      <c r="A42" s="32"/>
      <c r="B42" s="28"/>
      <c r="C42" s="121"/>
      <c r="D42" s="240"/>
      <c r="E42" s="240"/>
      <c r="F42" s="240"/>
      <c r="G42" s="240"/>
      <c r="H42" s="241"/>
    </row>
    <row r="43" spans="1:12" ht="14.45" customHeight="1" x14ac:dyDescent="0.25">
      <c r="A43" s="32"/>
      <c r="B43" s="28"/>
      <c r="C43" s="121"/>
      <c r="D43" s="240"/>
      <c r="E43" s="240"/>
      <c r="F43" s="240"/>
      <c r="G43" s="240"/>
      <c r="H43" s="241"/>
    </row>
    <row r="44" spans="1:12" ht="14.45" customHeight="1" x14ac:dyDescent="0.25">
      <c r="A44" s="32"/>
      <c r="B44" s="28"/>
      <c r="C44" s="121"/>
      <c r="D44" s="240"/>
      <c r="E44" s="240"/>
      <c r="F44" s="240"/>
      <c r="G44" s="240"/>
      <c r="H44" s="241"/>
      <c r="L44" s="164"/>
    </row>
    <row r="45" spans="1:12" ht="14.45" customHeight="1" x14ac:dyDescent="0.25">
      <c r="A45" s="32"/>
      <c r="B45" s="28"/>
      <c r="C45" s="121"/>
      <c r="D45" s="240"/>
      <c r="E45" s="240"/>
      <c r="F45" s="240"/>
      <c r="G45" s="240"/>
      <c r="H45" s="241"/>
    </row>
    <row r="46" spans="1:12" ht="14.45" customHeight="1" x14ac:dyDescent="0.25">
      <c r="A46" s="32"/>
      <c r="B46" s="28"/>
      <c r="C46" s="121"/>
      <c r="D46" s="240"/>
      <c r="E46" s="240"/>
      <c r="F46" s="240"/>
      <c r="G46" s="240"/>
      <c r="H46" s="241"/>
    </row>
    <row r="47" spans="1:12" ht="14.45" customHeight="1" x14ac:dyDescent="0.25">
      <c r="A47" s="38"/>
      <c r="C47" s="121"/>
      <c r="D47" s="240"/>
      <c r="E47" s="240"/>
      <c r="F47" s="240"/>
      <c r="G47" s="240"/>
      <c r="H47" s="241"/>
    </row>
    <row r="48" spans="1:12" ht="14.45" customHeight="1" x14ac:dyDescent="0.25">
      <c r="A48" s="38"/>
      <c r="C48" s="121"/>
      <c r="D48" s="240"/>
      <c r="E48" s="240"/>
      <c r="F48" s="240"/>
      <c r="G48" s="240"/>
      <c r="H48" s="241"/>
    </row>
    <row r="49" spans="1:8" ht="14.45" customHeight="1" x14ac:dyDescent="0.25">
      <c r="A49" s="38"/>
      <c r="C49" s="121"/>
      <c r="D49" s="240"/>
      <c r="E49" s="240"/>
      <c r="F49" s="240"/>
      <c r="G49" s="240"/>
      <c r="H49" s="241"/>
    </row>
    <row r="50" spans="1:8" x14ac:dyDescent="0.25">
      <c r="A50" s="62" t="s">
        <v>199</v>
      </c>
      <c r="B50" s="63" t="s">
        <v>525</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G17" sqref="G17"/>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45093</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Корева В.К.</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21413</v>
      </c>
    </row>
    <row r="6" spans="1:4" ht="30"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64</v>
      </c>
    </row>
    <row r="7" spans="1:4" x14ac:dyDescent="0.25">
      <c r="A7" s="38"/>
      <c r="C7" s="102" t="s">
        <v>12</v>
      </c>
      <c r="D7" s="104">
        <f>КАГ!$B$14</f>
        <v>15812</v>
      </c>
    </row>
    <row r="8" spans="1:4" x14ac:dyDescent="0.25">
      <c r="A8" s="199" t="str">
        <f>ЧКВ!$A$9</f>
        <v>Код модели: 21166</v>
      </c>
      <c r="B8" s="105"/>
      <c r="C8" s="102" t="s">
        <v>133</v>
      </c>
      <c r="D8" s="104">
        <f>КАГ!$B$15</f>
        <v>35</v>
      </c>
    </row>
    <row r="9" spans="1:4" x14ac:dyDescent="0.25">
      <c r="A9" s="199" t="str">
        <f>ЧКВ!$A$10</f>
        <v>Код метода: 46</v>
      </c>
      <c r="C9" s="106" t="s">
        <v>106</v>
      </c>
      <c r="D9" s="104" t="str">
        <f>КАГ!$B$16</f>
        <v>ОКС с ↑ ST</v>
      </c>
    </row>
    <row r="10" spans="1:4" x14ac:dyDescent="0.25">
      <c r="A10" s="200"/>
      <c r="B10" s="31"/>
      <c r="C10" s="153" t="s">
        <v>13</v>
      </c>
      <c r="D10" s="154">
        <f>КАГ!$B$8</f>
        <v>45093</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517</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8" t="s">
        <v>326</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8" t="s">
        <v>315</v>
      </c>
      <c r="C15" s="137"/>
      <c r="D15" s="142">
        <v>1</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8" t="s">
        <v>313</v>
      </c>
      <c r="C16" s="137" t="s">
        <v>427</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379</v>
      </c>
      <c r="C17" s="137" t="s">
        <v>413</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8" t="s">
        <v>310</v>
      </c>
      <c r="C18" s="137"/>
      <c r="D18" s="142">
        <v>1</v>
      </c>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8" t="s">
        <v>324</v>
      </c>
      <c r="C19" s="186" t="s">
        <v>456</v>
      </c>
      <c r="D19" s="142">
        <v>1</v>
      </c>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9" t="s">
        <v>324</v>
      </c>
      <c r="C20" s="137" t="s">
        <v>475</v>
      </c>
      <c r="D20" s="142">
        <v>1</v>
      </c>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381</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372</v>
      </c>
      <c r="C39" s="115"/>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493</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492</v>
      </c>
      <c r="G3" s="3" t="s">
        <v>493</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493</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407</v>
      </c>
      <c r="F5" t="s">
        <v>131</v>
      </c>
      <c r="G5" s="3" t="s">
        <v>493</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493</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493</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493</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493</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494</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492</v>
      </c>
      <c r="G13" s="3" t="s">
        <v>494</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494</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494</v>
      </c>
      <c r="H15" s="3">
        <v>2633</v>
      </c>
      <c r="I15" s="3">
        <v>46</v>
      </c>
      <c r="J15" s="3">
        <v>45</v>
      </c>
      <c r="K15" s="3">
        <v>45</v>
      </c>
      <c r="L15" s="3">
        <v>45</v>
      </c>
      <c r="M15" s="3">
        <v>45</v>
      </c>
      <c r="N15" s="3">
        <v>45</v>
      </c>
      <c r="O15" s="3">
        <v>45</v>
      </c>
      <c r="P15" s="3">
        <v>45</v>
      </c>
      <c r="Q15" s="3">
        <v>45</v>
      </c>
      <c r="R15" s="3">
        <v>45</v>
      </c>
      <c r="S15" s="3">
        <v>45</v>
      </c>
      <c r="T15" s="3">
        <v>45</v>
      </c>
      <c r="V15" t="s">
        <v>400</v>
      </c>
      <c r="W15" s="12"/>
    </row>
    <row r="16" spans="1:23" x14ac:dyDescent="0.25">
      <c r="A16" s="8">
        <v>15</v>
      </c>
      <c r="B16" s="2" t="s">
        <v>31</v>
      </c>
      <c r="C16" s="8" t="s">
        <v>237</v>
      </c>
      <c r="D16" s="5" t="s">
        <v>32</v>
      </c>
      <c r="V16" t="s">
        <v>401</v>
      </c>
    </row>
    <row r="17" spans="1:23" x14ac:dyDescent="0.25">
      <c r="A17" s="8">
        <v>16</v>
      </c>
      <c r="B17" s="2" t="s">
        <v>33</v>
      </c>
      <c r="C17" s="8" t="s">
        <v>238</v>
      </c>
      <c r="D17" s="5" t="s">
        <v>34</v>
      </c>
      <c r="F17" t="s">
        <v>495</v>
      </c>
      <c r="V17" t="s">
        <v>402</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510</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507</v>
      </c>
      <c r="AN1" s="2" t="s">
        <v>501</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1</v>
      </c>
      <c r="K2" s="117">
        <f>IF(ISNUMBER(SEARCH('Карта учёта'!$B$19,Расходка[[#This Row],[Наименование расходного материала]])),MAX($K$1:K1)+1,0)</f>
        <v>0</v>
      </c>
      <c r="L2" s="117">
        <f>IF(ISNUMBER(SEARCH('Карта учёта'!$B$20,Расходка[[#This Row],[Наименование расходного материала]])),MAX($L$1:L1)+1,0)</f>
        <v>0</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Launcher 6F EBU 3.5</v>
      </c>
      <c r="T2" s="116" t="str">
        <f>IFERROR(INDEX(Расходка[Наименование расходного материала],MATCH(Расходка[[#This Row],[№]],Поиск_расходки[Индекс3],0)),"")</f>
        <v>Fielder</v>
      </c>
      <c r="U2" s="116" t="str">
        <f>IFERROR(INDEX(Расходка[Наименование расходного материала],MATCH(Расходка[[#This Row],[№]],Поиск_расходки[Индекс4],0)),"")</f>
        <v>NC Accuforce</v>
      </c>
      <c r="V2" s="116" t="str">
        <f>IFERROR(INDEX(Расходка[Наименование расходного материала],MATCH(Расходка[[#This Row],[№]],Поиск_расходки[Индекс5],0)),"")</f>
        <v>Колибри</v>
      </c>
      <c r="W2" s="116" t="str">
        <f>IFERROR(INDEX(Расходка[Наименование расходного материала],MATCH(Расходка[[#This Row],[№]],Поиск_расходки[Индекс6],0)),"")</f>
        <v>Hunter® 6F</v>
      </c>
      <c r="X2" s="116" t="str">
        <f>IFERROR(INDEX(Расходка[Наименование расходного материала],MATCH(Расходка[[#This Row],[№]],Поиск_расходки[Индекс7],0)),"")</f>
        <v>DES, Resolute Integtity</v>
      </c>
      <c r="Y2" s="116" t="str">
        <f>IFERROR(INDEX(Расходка[Наименование расходного материала],MATCH(Расходка[[#This Row],[№]],Поиск_расходки[Индекс8],0)),"")</f>
        <v>DES, Resolute Integtity</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409</v>
      </c>
      <c r="AI2" t="s">
        <v>190</v>
      </c>
      <c r="AJ2" t="s">
        <v>199</v>
      </c>
      <c r="AK2" t="str">
        <f>CONCATENATE(AI2,AJ2)</f>
        <v xml:space="preserve">Контраст: Ультравист 370 </v>
      </c>
      <c r="AM2" s="193">
        <v>155800</v>
      </c>
      <c r="AN2" s="2" t="s">
        <v>309</v>
      </c>
      <c r="AO2" t="s">
        <v>503</v>
      </c>
      <c r="AP2" s="130"/>
    </row>
    <row r="3" spans="1:42" x14ac:dyDescent="0.25">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0</v>
      </c>
      <c r="K3" s="117">
        <f>IF(ISNUMBER(SEARCH('Карта учёта'!$B$19,Расходка[[#This Row],[Наименование расходного материала]])),MAX($K$1:K2)+1,0)</f>
        <v>0</v>
      </c>
      <c r="L3" s="117">
        <f>IF(ISNUMBER(SEARCH('Карта учёта'!$B$20,Расходка[[#This Row],[Наименование расходного материала]])),MAX($L$1:L2)+1,0)</f>
        <v>0</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
      </c>
      <c r="T3" s="116" t="str">
        <f>IFERROR(INDEX(Расходка[Наименование расходного материала],MATCH(Расходка[[#This Row],[№]],Поиск_расходки[Индекс3],0)),"")</f>
        <v>Fielder XT-A</v>
      </c>
      <c r="U3" s="116" t="str">
        <f>IFERROR(INDEX(Расходка[Наименование расходного материала],MATCH(Расходка[[#This Row],[№]],Поиск_расходки[Индекс4],0)),"")</f>
        <v/>
      </c>
      <c r="V3" s="116" t="str">
        <f>IFERROR(INDEX(Расходка[Наименование расходного материала],MATCH(Расходка[[#This Row],[№]],Поиск_расходки[Индекс5],0)),"")</f>
        <v xml:space="preserve">NC Колибри </v>
      </c>
      <c r="W3" s="116" t="str">
        <f>IFERROR(INDEX(Расходка[Наименование расходного материала],MATCH(Расходка[[#This Row],[№]],Поиск_расходки[Индекс6],0)),"")</f>
        <v/>
      </c>
      <c r="X3" s="116" t="str">
        <f>IFERROR(INDEX(Расходка[Наименование расходного материала],MATCH(Расходка[[#This Row],[№]],Поиск_расходки[Индекс7],0)),"")</f>
        <v/>
      </c>
      <c r="Y3" s="116" t="str">
        <f>IFERROR(INDEX(Расходка[Наименование расходного материала],MATCH(Расходка[[#This Row],[№]],Поиск_расходки[Индекс8],0)),"")</f>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410</v>
      </c>
      <c r="AI3" t="s">
        <v>190</v>
      </c>
      <c r="AJ3" t="s">
        <v>200</v>
      </c>
      <c r="AK3" t="str">
        <f t="shared" ref="AK3:AK6" si="0">CONCATENATE(AI3,AJ3)</f>
        <v>Контраст: Омнипак 350</v>
      </c>
      <c r="AM3" s="193">
        <v>218190</v>
      </c>
      <c r="AN3" s="2" t="s">
        <v>496</v>
      </c>
      <c r="AO3" t="s">
        <v>504</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0</v>
      </c>
      <c r="K4" s="117">
        <f>IF(ISNUMBER(SEARCH('Карта учёта'!$B$19,Расходка[[#This Row],[Наименование расходного материала]])),MAX($K$1:K3)+1,0)</f>
        <v>0</v>
      </c>
      <c r="L4" s="117">
        <f>IF(ISNUMBER(SEARCH('Карта учёта'!$B$20,Расходка[[#This Row],[Наименование расходного материала]])),MAX($L$1:L3)+1,0)</f>
        <v>0</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
      </c>
      <c r="T4" s="116" t="str">
        <f>IFERROR(INDEX(Расходка[Наименование расходного материала],MATCH(Расходка[[#This Row],[№]],Поиск_расходки[Индекс3],0)),"")</f>
        <v>Fielder XT-R</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
      </c>
      <c r="X4" s="116" t="str">
        <f>IFERROR(INDEX(Расходка[Наименование расходного материала],MATCH(Расходка[[#This Row],[№]],Поиск_расходки[Индекс7],0)),"")</f>
        <v/>
      </c>
      <c r="Y4" s="116" t="str">
        <f>IFERROR(INDEX(Расходка[Наименование расходного материала],MATCH(Расходка[[#This Row],[№]],Поиск_расходки[Индекс8],0)),"")</f>
        <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411</v>
      </c>
      <c r="AI4" t="s">
        <v>190</v>
      </c>
      <c r="AJ4" t="s">
        <v>201</v>
      </c>
      <c r="AK4" t="str">
        <f t="shared" si="0"/>
        <v>Контраст: Оптирей 350</v>
      </c>
      <c r="AM4" s="193">
        <v>337440</v>
      </c>
      <c r="AN4" s="2" t="s">
        <v>509</v>
      </c>
      <c r="AO4" t="s">
        <v>506</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1</v>
      </c>
      <c r="I5" s="117">
        <f>IF(ISNUMBER(SEARCH('Карта учёта'!$B$17,Расходка[[#This Row],[Наименование расходного материала]])),MAX($I$1:I4)+1,0)</f>
        <v>0</v>
      </c>
      <c r="J5" s="117">
        <f>IF(ISNUMBER(SEARCH('Карта учёта'!$B$18,Расходка[[#This Row],[Наименование расходного материала]])),MAX($J$1:J4)+1,0)</f>
        <v>0</v>
      </c>
      <c r="K5" s="117">
        <f>IF(ISNUMBER(SEARCH('Карта учёта'!$B$19,Расходка[[#This Row],[Наименование расходного материала]])),MAX($K$1:K4)+1,0)</f>
        <v>0</v>
      </c>
      <c r="L5" s="117">
        <f>IF(ISNUMBER(SEARCH('Карта учёта'!$B$20,Расходка[[#This Row],[Наименование расходного материала]])),MAX($L$1:L4)+1,0)</f>
        <v>0</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
      </c>
      <c r="X5" s="116" t="str">
        <f>IFERROR(INDEX(Расходка[Наименование расходного материала],MATCH(Расходка[[#This Row],[№]],Поиск_расходки[Индекс7],0)),"")</f>
        <v/>
      </c>
      <c r="Y5" s="116" t="str">
        <f>IFERROR(INDEX(Расходка[Наименование расходного материала],MATCH(Расходка[[#This Row],[№]],Поиск_расходки[Индекс8],0)),"")</f>
        <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412</v>
      </c>
      <c r="AI5" t="s">
        <v>190</v>
      </c>
      <c r="AJ5" t="s">
        <v>202</v>
      </c>
      <c r="AK5" t="str">
        <f t="shared" si="0"/>
        <v>Контраст: Юнигексол 350</v>
      </c>
      <c r="AM5" s="193">
        <v>136170</v>
      </c>
      <c r="AN5" s="2"/>
      <c r="AO5" t="s">
        <v>505</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0</v>
      </c>
      <c r="K6" s="117">
        <f>IF(ISNUMBER(SEARCH('Карта учёта'!$B$19,Расходка[[#This Row],[Наименование расходного материала]])),MAX($K$1:K5)+1,0)</f>
        <v>0</v>
      </c>
      <c r="L6" s="117">
        <f>IF(ISNUMBER(SEARCH('Карта учёта'!$B$20,Расходка[[#This Row],[Наименование расходного материала]])),MAX($L$1:L5)+1,0)</f>
        <v>0</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
      </c>
      <c r="X6" s="116" t="str">
        <f>IFERROR(INDEX(Расходка[Наименование расходного материала],MATCH(Расходка[[#This Row],[№]],Поиск_расходки[Индекс7],0)),"")</f>
        <v/>
      </c>
      <c r="Y6" s="116" t="str">
        <f>IFERROR(INDEX(Расходка[Наименование расходного материала],MATCH(Расходка[[#This Row],[№]],Поиск_расходки[Индекс8],0)),"")</f>
        <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413</v>
      </c>
      <c r="AI6" t="s">
        <v>190</v>
      </c>
      <c r="AJ6" t="s">
        <v>203</v>
      </c>
      <c r="AK6" t="str">
        <f t="shared" si="0"/>
        <v>Контраст: Сканлюкс 370</v>
      </c>
      <c r="AM6" s="193">
        <v>135820</v>
      </c>
      <c r="AN6" s="2"/>
      <c r="AO6" t="s">
        <v>508</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0</v>
      </c>
      <c r="K7" s="117">
        <f>IF(ISNUMBER(SEARCH('Карта учёта'!$B$19,Расходка[[#This Row],[Наименование расходного материала]])),MAX($K$1:K6)+1,0)</f>
        <v>0</v>
      </c>
      <c r="L7" s="117">
        <f>IF(ISNUMBER(SEARCH('Карта учёта'!$B$20,Расходка[[#This Row],[Наименование расходного материала]])),MAX($L$1:L6)+1,0)</f>
        <v>0</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
      </c>
      <c r="X7" s="116" t="str">
        <f>IFERROR(INDEX(Расходка[Наименование расходного материала],MATCH(Расходка[[#This Row],[№]],Поиск_расходки[Индекс7],0)),"")</f>
        <v/>
      </c>
      <c r="Y7" s="116" t="str">
        <f>IFERROR(INDEX(Расходка[Наименование расходного материала],MATCH(Расходка[[#This Row],[№]],Поиск_расходки[Индекс8],0)),"")</f>
        <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414</v>
      </c>
      <c r="AI7" t="s">
        <v>190</v>
      </c>
      <c r="AJ7" t="s">
        <v>204</v>
      </c>
      <c r="AK7" t="str">
        <f t="shared" ref="AK7:AK8" si="1">CONCATENATE(AI7,AJ7)</f>
        <v>Контраст: Йогексол 350</v>
      </c>
      <c r="AM7" s="193">
        <v>155760</v>
      </c>
      <c r="AN7" s="2"/>
      <c r="AO7" t="s">
        <v>502</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0</v>
      </c>
      <c r="K8" s="117">
        <f>IF(ISNUMBER(SEARCH('Карта учёта'!$B$19,Расходка[[#This Row],[Наименование расходного материала]])),MAX($K$1:K7)+1,0)</f>
        <v>0</v>
      </c>
      <c r="L8" s="117">
        <f>IF(ISNUMBER(SEARCH('Карта учёта'!$B$20,Расходка[[#This Row],[Наименование расходного материала]])),MAX($L$1:L7)+1,0)</f>
        <v>0</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
      </c>
      <c r="X8" s="116" t="str">
        <f>IFERROR(INDEX(Расходка[Наименование расходного материала],MATCH(Расходка[[#This Row],[№]],Поиск_расходки[Индекс7],0)),"")</f>
        <v/>
      </c>
      <c r="Y8" s="116" t="str">
        <f>IFERROR(INDEX(Расходка[Наименование расходного материала],MATCH(Расходка[[#This Row],[№]],Поиск_расходки[Индекс8],0)),"")</f>
        <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415</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0</v>
      </c>
      <c r="K9" s="117">
        <f>IF(ISNUMBER(SEARCH('Карта учёта'!$B$19,Расходка[[#This Row],[Наименование расходного материала]])),MAX($K$1:K8)+1,0)</f>
        <v>0</v>
      </c>
      <c r="L9" s="117">
        <f>IF(ISNUMBER(SEARCH('Карта учёта'!$B$20,Расходка[[#This Row],[Наименование расходного материала]])),MAX($L$1:L8)+1,0)</f>
        <v>0</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
      </c>
      <c r="X9" s="116" t="str">
        <f>IFERROR(INDEX(Расходка[Наименование расходного материала],MATCH(Расходка[[#This Row],[№]],Поиск_расходки[Индекс7],0)),"")</f>
        <v/>
      </c>
      <c r="Y9" s="116" t="str">
        <f>IFERROR(INDEX(Расходка[Наименование расходного материала],MATCH(Расходка[[#This Row],[№]],Поиск_расходки[Индекс8],0)),"")</f>
        <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416</v>
      </c>
      <c r="AM9" s="193">
        <v>218160</v>
      </c>
      <c r="AN9" s="2"/>
      <c r="AO9" t="s">
        <v>90</v>
      </c>
    </row>
    <row r="10" spans="1:42" x14ac:dyDescent="0.25">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0</v>
      </c>
      <c r="I10" s="117">
        <f>IF(ISNUMBER(SEARCH('Карта учёта'!$B$17,Расходка[[#This Row],[Наименование расходного материала]])),MAX($I$1:I9)+1,0)</f>
        <v>1</v>
      </c>
      <c r="J10" s="117">
        <f>IF(ISNUMBER(SEARCH('Карта учёта'!$B$18,Расходка[[#This Row],[Наименование расходного материала]])),MAX($J$1:J9)+1,0)</f>
        <v>0</v>
      </c>
      <c r="K10" s="117">
        <f>IF(ISNUMBER(SEARCH('Карта учёта'!$B$19,Расходка[[#This Row],[Наименование расходного материала]])),MAX($K$1:K9)+1,0)</f>
        <v>0</v>
      </c>
      <c r="L10" s="117">
        <f>IF(ISNUMBER(SEARCH('Карта учёта'!$B$20,Расходка[[#This Row],[Наименование расходного материала]])),MAX($L$1:L9)+1,0)</f>
        <v>0</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
      </c>
      <c r="X10" s="116" t="str">
        <f>IFERROR(INDEX(Расходка[Наименование расходного материала],MATCH(Расходка[[#This Row],[№]],Поиск_расходки[Индекс7],0)),"")</f>
        <v/>
      </c>
      <c r="Y10" s="116" t="str">
        <f>IFERROR(INDEX(Расходка[Наименование расходного материала],MATCH(Расходка[[#This Row],[№]],Поиск_расходки[Индекс8],0)),"")</f>
        <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417</v>
      </c>
      <c r="AI10" t="s">
        <v>356</v>
      </c>
      <c r="AM10" s="193">
        <v>194510</v>
      </c>
      <c r="AN10" s="2"/>
      <c r="AO10" t="s">
        <v>91</v>
      </c>
    </row>
    <row r="11" spans="1:42" x14ac:dyDescent="0.25">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0</v>
      </c>
      <c r="I11" s="117">
        <f>IF(ISNUMBER(SEARCH('Карта учёта'!$B$17,Расходка[[#This Row],[Наименование расходного материала]])),MAX($I$1:I10)+1,0)</f>
        <v>2</v>
      </c>
      <c r="J11" s="117">
        <f>IF(ISNUMBER(SEARCH('Карта учёта'!$B$18,Расходка[[#This Row],[Наименование расходного материала]])),MAX($J$1:J10)+1,0)</f>
        <v>0</v>
      </c>
      <c r="K11" s="117">
        <f>IF(ISNUMBER(SEARCH('Карта учёта'!$B$19,Расходка[[#This Row],[Наименование расходного материала]])),MAX($K$1:K10)+1,0)</f>
        <v>0</v>
      </c>
      <c r="L11" s="117">
        <f>IF(ISNUMBER(SEARCH('Карта учёта'!$B$20,Расходка[[#This Row],[Наименование расходного материала]])),MAX($L$1:L10)+1,0)</f>
        <v>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c>
      <c r="X11" s="116" t="str">
        <f>IFERROR(INDEX(Расходка[Наименование расходного материала],MATCH(Расходка[[#This Row],[№]],Поиск_расходки[Индекс7],0)),"")</f>
        <v/>
      </c>
      <c r="Y11" s="116" t="str">
        <f>IFERROR(INDEX(Расходка[Наименование расходного материала],MATCH(Расходка[[#This Row],[№]],Поиск_расходки[Индекс8],0)),"")</f>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418</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0</v>
      </c>
      <c r="K12" s="117">
        <f>IF(ISNUMBER(SEARCH('Карта учёта'!$B$19,Расходка[[#This Row],[Наименование расходного материала]])),MAX($K$1:K11)+1,0)</f>
        <v>0</v>
      </c>
      <c r="L12" s="117">
        <f>IF(ISNUMBER(SEARCH('Карта учёта'!$B$20,Расходка[[#This Row],[Наименование расходного материала]])),MAX($L$1:L11)+1,0)</f>
        <v>0</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
      </c>
      <c r="X12" s="116" t="str">
        <f>IFERROR(INDEX(Расходка[Наименование расходного материала],MATCH(Расходка[[#This Row],[№]],Поиск_расходки[Индекс7],0)),"")</f>
        <v/>
      </c>
      <c r="Y12" s="116" t="str">
        <f>IFERROR(INDEX(Расходка[Наименование расходного материала],MATCH(Расходка[[#This Row],[№]],Поиск_расходки[Индекс8],0)),"")</f>
        <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419</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0</v>
      </c>
      <c r="K13" s="117">
        <f>IF(ISNUMBER(SEARCH('Карта учёта'!$B$19,Расходка[[#This Row],[Наименование расходного материала]])),MAX($K$1:K12)+1,0)</f>
        <v>0</v>
      </c>
      <c r="L13" s="117">
        <f>IF(ISNUMBER(SEARCH('Карта учёта'!$B$20,Расходка[[#This Row],[Наименование расходного материала]])),MAX($L$1:L12)+1,0)</f>
        <v>0</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
      </c>
      <c r="X13" s="116" t="str">
        <f>IFERROR(INDEX(Расходка[Наименование расходного материала],MATCH(Расходка[[#This Row],[№]],Поиск_расходки[Индекс7],0)),"")</f>
        <v/>
      </c>
      <c r="Y13" s="116" t="str">
        <f>IFERROR(INDEX(Расходка[Наименование расходного материала],MATCH(Расходка[[#This Row],[№]],Поиск_расходки[Индекс8],0)),"")</f>
        <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420</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0</v>
      </c>
      <c r="K14" s="117">
        <f>IF(ISNUMBER(SEARCH('Карта учёта'!$B$19,Расходка[[#This Row],[Наименование расходного материала]])),MAX($K$1:K13)+1,0)</f>
        <v>0</v>
      </c>
      <c r="L14" s="117">
        <f>IF(ISNUMBER(SEARCH('Карта учёта'!$B$20,Расходка[[#This Row],[Наименование расходного материала]])),MAX($L$1:L13)+1,0)</f>
        <v>0</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
      </c>
      <c r="X14" s="116" t="str">
        <f>IFERROR(INDEX(Расходка[Наименование расходного материала],MATCH(Расходка[[#This Row],[№]],Поиск_расходки[Индекс7],0)),"")</f>
        <v/>
      </c>
      <c r="Y14" s="116" t="str">
        <f>IFERROR(INDEX(Расходка[Наименование расходного материала],MATCH(Расходка[[#This Row],[№]],Поиск_расходки[Индекс8],0)),"")</f>
        <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499</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0</v>
      </c>
      <c r="K15" s="117">
        <f>IF(ISNUMBER(SEARCH('Карта учёта'!$B$19,Расходка[[#This Row],[Наименование расходного материала]])),MAX($K$1:K14)+1,0)</f>
        <v>0</v>
      </c>
      <c r="L15" s="117">
        <f>IF(ISNUMBER(SEARCH('Карта учёта'!$B$20,Расходка[[#This Row],[Наименование расходного материала]])),MAX($L$1:L14)+1,0)</f>
        <v>0</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
      </c>
      <c r="X15" s="116" t="str">
        <f>IFERROR(INDEX(Расходка[Наименование расходного материала],MATCH(Расходка[[#This Row],[№]],Поиск_расходки[Индекс7],0)),"")</f>
        <v/>
      </c>
      <c r="Y15" s="116" t="str">
        <f>IFERROR(INDEX(Расходка[Наименование расходного материала],MATCH(Расходка[[#This Row],[№]],Поиск_расходки[Индекс8],0)),"")</f>
        <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421</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0</v>
      </c>
      <c r="K16" s="117">
        <f>IF(ISNUMBER(SEARCH('Карта учёта'!$B$19,Расходка[[#This Row],[Наименование расходного материала]])),MAX($K$1:K15)+1,0)</f>
        <v>0</v>
      </c>
      <c r="L16" s="117">
        <f>IF(ISNUMBER(SEARCH('Карта учёта'!$B$20,Расходка[[#This Row],[Наименование расходного материала]])),MAX($L$1:L15)+1,0)</f>
        <v>0</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
      </c>
      <c r="X16" s="116" t="str">
        <f>IFERROR(INDEX(Расходка[Наименование расходного материала],MATCH(Расходка[[#This Row],[№]],Поиск_расходки[Индекс7],0)),"")</f>
        <v/>
      </c>
      <c r="Y16" s="116" t="str">
        <f>IFERROR(INDEX(Расходка[Наименование расходного материала],MATCH(Расходка[[#This Row],[№]],Поиск_расходки[Индекс8],0)),"")</f>
        <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422</v>
      </c>
      <c r="AI16" t="s">
        <v>306</v>
      </c>
    </row>
    <row r="17" spans="1:35" x14ac:dyDescent="0.2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0</v>
      </c>
      <c r="K17" s="117">
        <f>IF(ISNUMBER(SEARCH('Карта учёта'!$B$19,Расходка[[#This Row],[Наименование расходного материала]])),MAX($K$1:K16)+1,0)</f>
        <v>0</v>
      </c>
      <c r="L17" s="117">
        <f>IF(ISNUMBER(SEARCH('Карта учёта'!$B$20,Расходка[[#This Row],[Наименование расходного материала]])),MAX($L$1:L16)+1,0)</f>
        <v>0</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
      </c>
      <c r="X17" s="116" t="str">
        <f>IFERROR(INDEX(Расходка[Наименование расходного материала],MATCH(Расходка[[#This Row],[№]],Поиск_расходки[Индекс7],0)),"")</f>
        <v/>
      </c>
      <c r="Y17" s="116" t="str">
        <f>IFERROR(INDEX(Расходка[Наименование расходного материала],MATCH(Расходка[[#This Row],[№]],Поиск_расходки[Индекс8],0)),"")</f>
        <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423</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0</v>
      </c>
      <c r="K18" s="117">
        <f>IF(ISNUMBER(SEARCH('Карта учёта'!$B$19,Расходка[[#This Row],[Наименование расходного материала]])),MAX($K$1:K17)+1,0)</f>
        <v>0</v>
      </c>
      <c r="L18" s="117">
        <f>IF(ISNUMBER(SEARCH('Карта учёта'!$B$20,Расходка[[#This Row],[Наименование расходного материала]])),MAX($L$1:L17)+1,0)</f>
        <v>0</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
      </c>
      <c r="X18" s="116" t="str">
        <f>IFERROR(INDEX(Расходка[Наименование расходного материала],MATCH(Расходка[[#This Row],[№]],Поиск_расходки[Индекс7],0)),"")</f>
        <v/>
      </c>
      <c r="Y18" s="116" t="str">
        <f>IFERROR(INDEX(Расходка[Наименование расходного материала],MATCH(Расходка[[#This Row],[№]],Поиск_расходки[Индекс8],0)),"")</f>
        <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424</v>
      </c>
      <c r="AI18" t="s">
        <v>95</v>
      </c>
    </row>
    <row r="19" spans="1:35" x14ac:dyDescent="0.25">
      <c r="A19">
        <v>18</v>
      </c>
      <c r="B19" t="s">
        <v>306</v>
      </c>
      <c r="C19" t="s">
        <v>512</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0</v>
      </c>
      <c r="K19" s="117">
        <f>IF(ISNUMBER(SEARCH('Карта учёта'!$B$19,Расходка[[#This Row],[Наименование расходного материала]])),MAX($K$1:K18)+1,0)</f>
        <v>0</v>
      </c>
      <c r="L19" s="117">
        <f>IF(ISNUMBER(SEARCH('Карта учёта'!$B$20,Расходка[[#This Row],[Наименование расходного материала]])),MAX($L$1:L18)+1,0)</f>
        <v>0</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
      </c>
      <c r="X19" s="116" t="str">
        <f>IFERROR(INDEX(Расходка[Наименование расходного материала],MATCH(Расходка[[#This Row],[№]],Поиск_расходки[Индекс7],0)),"")</f>
        <v/>
      </c>
      <c r="Y19" s="116" t="str">
        <f>IFERROR(INDEX(Расходка[Наименование расходного материала],MATCH(Расходка[[#This Row],[№]],Поиск_расходки[Индекс8],0)),"")</f>
        <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425</v>
      </c>
      <c r="AI19" t="s">
        <v>301</v>
      </c>
    </row>
    <row r="20" spans="1:35" x14ac:dyDescent="0.2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0</v>
      </c>
      <c r="K20" s="117">
        <f>IF(ISNUMBER(SEARCH('Карта учёта'!$B$19,Расходка[[#This Row],[Наименование расходного материала]])),MAX($K$1:K19)+1,0)</f>
        <v>0</v>
      </c>
      <c r="L20" s="117">
        <f>IF(ISNUMBER(SEARCH('Карта учёта'!$B$20,Расходка[[#This Row],[Наименование расходного материала]])),MAX($L$1:L19)+1,0)</f>
        <v>0</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
      </c>
      <c r="X20" s="116" t="str">
        <f>IFERROR(INDEX(Расходка[Наименование расходного материала],MATCH(Расходка[[#This Row],[№]],Поиск_расходки[Индекс7],0)),"")</f>
        <v/>
      </c>
      <c r="Y20" s="116" t="str">
        <f>IFERROR(INDEX(Расходка[Наименование расходного материала],MATCH(Расходка[[#This Row],[№]],Поиск_расходки[Индекс8],0)),"")</f>
        <v/>
      </c>
      <c r="Z20" s="116" t="str">
        <f>IFERROR(INDEX(Расходка[Наименование расходного материала],MATCH(Расходка[[#This Row],[№]],Поиск_расходки[Индекс9],0)),"")</f>
        <v>Oscor 7F</v>
      </c>
      <c r="AA20" s="116" t="str">
        <f>IFERROR(INDEX(Расходка[Наименование расходного материала],MATCH(Расходка[[#This Row],[№]],Поиск_расходки[Индекс10],0)),"")</f>
        <v>Oscor 7F</v>
      </c>
      <c r="AB20" s="116" t="str">
        <f>IFERROR(INDEX(Расходка[Наименование расходного материала],MATCH(Расходка[[#This Row],[№]],Поиск_расходки[Индекс11],0)),"")</f>
        <v>Oscor 7F</v>
      </c>
      <c r="AC20" s="116" t="str">
        <f>IFERROR(INDEX(Расходка[Наименование расходного материала],MATCH(Расходка[[#This Row],[№]],Поиск_расходки[Индекс12],0)),"")</f>
        <v>Oscor 7F</v>
      </c>
      <c r="AD20" s="116" t="str">
        <f>IFERROR(INDEX(Расходка[Наименование расходного материала],MATCH(Расходка[[#This Row],[№]],Поиск_расходки[Индекс13],0)),"")</f>
        <v>Oscor 7F</v>
      </c>
      <c r="AF20" s="4" t="s">
        <v>5</v>
      </c>
      <c r="AG20" s="4" t="s">
        <v>426</v>
      </c>
      <c r="AI20" t="s">
        <v>308</v>
      </c>
    </row>
    <row r="21" spans="1:35" x14ac:dyDescent="0.25">
      <c r="A21">
        <v>20</v>
      </c>
      <c r="B21" t="s">
        <v>306</v>
      </c>
      <c r="C21" s="1" t="s">
        <v>517</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0</v>
      </c>
      <c r="K21" s="117">
        <f>IF(ISNUMBER(SEARCH('Карта учёта'!$B$19,Расходка[[#This Row],[Наименование расходного материала]])),MAX($K$1:K20)+1,0)</f>
        <v>0</v>
      </c>
      <c r="L21" s="117">
        <f>IF(ISNUMBER(SEARCH('Карта учёта'!$B$20,Расходка[[#This Row],[Наименование расходного материала]])),MAX($L$1:L20)+1,0)</f>
        <v>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
      </c>
      <c r="X21" s="116" t="str">
        <f>IFERROR(INDEX(Расходка[Наименование расходного материала],MATCH(Расходка[[#This Row],[№]],Поиск_расходки[Индекс7],0)),"")</f>
        <v/>
      </c>
      <c r="Y21" s="116" t="str">
        <f>IFERROR(INDEX(Расходка[Наименование расходного материала],MATCH(Расходка[[#This Row],[№]],Поиск_расходки[Индекс8],0)),"")</f>
        <v/>
      </c>
      <c r="Z21" s="116" t="str">
        <f>IFERROR(INDEX(Расходка[Наименование расходного материала],MATCH(Расходка[[#This Row],[№]],Поиск_расходки[Индекс9],0)),"")</f>
        <v>"МИМ". Тюмень</v>
      </c>
      <c r="AA21" s="116" t="str">
        <f>IFERROR(INDEX(Расходка[Наименование расходного материала],MATCH(Расходка[[#This Row],[№]],Поиск_расходки[Индекс10],0)),"")</f>
        <v>"МИМ". Тюмень</v>
      </c>
      <c r="AB21" s="116" t="str">
        <f>IFERROR(INDEX(Расходка[Наименование расходного материала],MATCH(Расходка[[#This Row],[№]],Поиск_расходки[Индекс11],0)),"")</f>
        <v>"МИМ". Тюмень</v>
      </c>
      <c r="AC21" s="116" t="str">
        <f>IFERROR(INDEX(Расходка[Наименование расходного материала],MATCH(Расходка[[#This Row],[№]],Поиск_расходки[Индекс12],0)),"")</f>
        <v>"МИМ". Тюмень</v>
      </c>
      <c r="AD21" s="116" t="str">
        <f>IFERROR(INDEX(Расходка[Наименование расходного материала],MATCH(Расходка[[#This Row],[№]],Поиск_расходки[Индекс13],0)),"")</f>
        <v>"МИМ". Тюмень</v>
      </c>
      <c r="AF21" s="4" t="s">
        <v>5</v>
      </c>
      <c r="AG21" s="4" t="s">
        <v>427</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0</v>
      </c>
      <c r="K22" s="117">
        <f>IF(ISNUMBER(SEARCH('Карта учёта'!$B$19,Расходка[[#This Row],[Наименование расходного материала]])),MAX($K$1:K21)+1,0)</f>
        <v>0</v>
      </c>
      <c r="L22" s="117">
        <f>IF(ISNUMBER(SEARCH('Карта учёта'!$B$20,Расходка[[#This Row],[Наименование расходного материала]])),MAX($L$1:L21)+1,0)</f>
        <v>0</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
      </c>
      <c r="X22" s="116" t="str">
        <f>IFERROR(INDEX(Расходка[Наименование расходного материала],MATCH(Расходка[[#This Row],[№]],Поиск_расходки[Индекс7],0)),"")</f>
        <v/>
      </c>
      <c r="Y22" s="116" t="str">
        <f>IFERROR(INDEX(Расходка[Наименование расходного материала],MATCH(Расходка[[#This Row],[№]],Поиск_расходки[Индекс8],0)),"")</f>
        <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428</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0</v>
      </c>
      <c r="K23" s="117">
        <f>IF(ISNUMBER(SEARCH('Карта учёта'!$B$19,Расходка[[#This Row],[Наименование расходного материала]])),MAX($K$1:K22)+1,0)</f>
        <v>0</v>
      </c>
      <c r="L23" s="117">
        <f>IF(ISNUMBER(SEARCH('Карта учёта'!$B$20,Расходка[[#This Row],[Наименование расходного материала]])),MAX($L$1:L22)+1,0)</f>
        <v>0</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
      </c>
      <c r="X23" s="116" t="str">
        <f>IFERROR(INDEX(Расходка[Наименование расходного материала],MATCH(Расходка[[#This Row],[№]],Поиск_расходки[Индекс7],0)),"")</f>
        <v/>
      </c>
      <c r="Y23" s="116" t="str">
        <f>IFERROR(INDEX(Расходка[Наименование расходного материала],MATCH(Расходка[[#This Row],[№]],Поиск_расходки[Индекс8],0)),"")</f>
        <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429</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0</v>
      </c>
      <c r="G24" s="117">
        <f>IF(ISNUMBER(SEARCH('Карта учёта'!$B$15,Расходка[[#This Row],[Наименование расходного материала]])),MAX($G$1:G23)+1,0)</f>
        <v>1</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0</v>
      </c>
      <c r="K24" s="117">
        <f>IF(ISNUMBER(SEARCH('Карта учёта'!$B$19,Расходка[[#This Row],[Наименование расходного материала]])),MAX($K$1:K23)+1,0)</f>
        <v>0</v>
      </c>
      <c r="L24" s="117">
        <f>IF(ISNUMBER(SEARCH('Карта учёта'!$B$20,Расходка[[#This Row],[Наименование расходного материала]])),MAX($L$1:L23)+1,0)</f>
        <v>0</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
      </c>
      <c r="X24" s="116" t="str">
        <f>IFERROR(INDEX(Расходка[Наименование расходного материала],MATCH(Расходка[[#This Row],[№]],Поиск_расходки[Индекс7],0)),"")</f>
        <v/>
      </c>
      <c r="Y24" s="116" t="str">
        <f>IFERROR(INDEX(Расходка[Наименование расходного материала],MATCH(Расходка[[#This Row],[№]],Поиск_расходки[Индекс8],0)),"")</f>
        <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430</v>
      </c>
    </row>
    <row r="25" spans="1:35" x14ac:dyDescent="0.2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0</v>
      </c>
      <c r="G25" s="117">
        <f>IF(ISNUMBER(SEARCH('Карта учёта'!$B$15,Расходка[[#This Row],[Наименование расходного материала]])),MAX($G$1:G24)+1,0)</f>
        <v>2</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0</v>
      </c>
      <c r="K25" s="117">
        <f>IF(ISNUMBER(SEARCH('Карта учёта'!$B$19,Расходка[[#This Row],[Наименование расходного материала]])),MAX($K$1:K24)+1,0)</f>
        <v>0</v>
      </c>
      <c r="L25" s="117">
        <f>IF(ISNUMBER(SEARCH('Карта учёта'!$B$20,Расходка[[#This Row],[Наименование расходного материала]])),MAX($L$1:L24)+1,0)</f>
        <v>0</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
      </c>
      <c r="X25" s="116" t="str">
        <f>IFERROR(INDEX(Расходка[Наименование расходного материала],MATCH(Расходка[[#This Row],[№]],Поиск_расходки[Индекс7],0)),"")</f>
        <v/>
      </c>
      <c r="Y25" s="116" t="str">
        <f>IFERROR(INDEX(Расходка[Наименование расходного материала],MATCH(Расходка[[#This Row],[№]],Поиск_расходки[Индекс8],0)),"")</f>
        <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431</v>
      </c>
    </row>
    <row r="26" spans="1:35" x14ac:dyDescent="0.2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0</v>
      </c>
      <c r="G26" s="117">
        <f>IF(ISNUMBER(SEARCH('Карта учёта'!$B$15,Расходка[[#This Row],[Наименование расходного материала]])),MAX($G$1:G25)+1,0)</f>
        <v>3</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0</v>
      </c>
      <c r="K26" s="117">
        <f>IF(ISNUMBER(SEARCH('Карта учёта'!$B$19,Расходка[[#This Row],[Наименование расходного материала]])),MAX($K$1:K25)+1,0)</f>
        <v>0</v>
      </c>
      <c r="L26" s="117">
        <f>IF(ISNUMBER(SEARCH('Карта учёта'!$B$20,Расходка[[#This Row],[Наименование расходного материала]])),MAX($L$1:L25)+1,0)</f>
        <v>0</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
      </c>
      <c r="X26" s="116" t="str">
        <f>IFERROR(INDEX(Расходка[Наименование расходного материала],MATCH(Расходка[[#This Row],[№]],Поиск_расходки[Индекс7],0)),"")</f>
        <v/>
      </c>
      <c r="Y26" s="116" t="str">
        <f>IFERROR(INDEX(Расходка[Наименование расходного материала],MATCH(Расходка[[#This Row],[№]],Поиск_расходки[Индекс8],0)),"")</f>
        <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432</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0</v>
      </c>
      <c r="K27" s="117">
        <f>IF(ISNUMBER(SEARCH('Карта учёта'!$B$19,Расходка[[#This Row],[Наименование расходного материала]])),MAX($K$1:K26)+1,0)</f>
        <v>0</v>
      </c>
      <c r="L27" s="117">
        <f>IF(ISNUMBER(SEARCH('Карта учёта'!$B$20,Расходка[[#This Row],[Наименование расходного материала]])),MAX($L$1:L26)+1,0)</f>
        <v>0</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
      </c>
      <c r="X27" s="116" t="str">
        <f>IFERROR(INDEX(Расходка[Наименование расходного материала],MATCH(Расходка[[#This Row],[№]],Поиск_расходки[Индекс7],0)),"")</f>
        <v/>
      </c>
      <c r="Y27" s="116" t="str">
        <f>IFERROR(INDEX(Расходка[Наименование расходного материала],MATCH(Расходка[[#This Row],[№]],Поиск_расходки[Индекс8],0)),"")</f>
        <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433</v>
      </c>
    </row>
    <row r="28" spans="1:35" x14ac:dyDescent="0.2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0</v>
      </c>
      <c r="K28" s="117">
        <f>IF(ISNUMBER(SEARCH('Карта учёта'!$B$19,Расходка[[#This Row],[Наименование расходного материала]])),MAX($K$1:K27)+1,0)</f>
        <v>0</v>
      </c>
      <c r="L28" s="117">
        <f>IF(ISNUMBER(SEARCH('Карта учёта'!$B$20,Расходка[[#This Row],[Наименование расходного материала]])),MAX($L$1:L27)+1,0)</f>
        <v>0</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
      </c>
      <c r="X28" s="116" t="str">
        <f>IFERROR(INDEX(Расходка[Наименование расходного материала],MATCH(Расходка[[#This Row],[№]],Поиск_расходки[Индекс7],0)),"")</f>
        <v/>
      </c>
      <c r="Y28" s="116" t="str">
        <f>IFERROR(INDEX(Расходка[Наименование расходного материала],MATCH(Расходка[[#This Row],[№]],Поиск_расходки[Индекс8],0)),"")</f>
        <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434</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0</v>
      </c>
      <c r="K29" s="117">
        <f>IF(ISNUMBER(SEARCH('Карта учёта'!$B$19,Расходка[[#This Row],[Наименование расходного материала]])),MAX($K$1:K28)+1,0)</f>
        <v>0</v>
      </c>
      <c r="L29" s="117">
        <f>IF(ISNUMBER(SEARCH('Карта учёта'!$B$20,Расходка[[#This Row],[Наименование расходного материала]])),MAX($L$1:L28)+1,0)</f>
        <v>0</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
      </c>
      <c r="X29" s="116" t="str">
        <f>IFERROR(INDEX(Расходка[Наименование расходного материала],MATCH(Расходка[[#This Row],[№]],Поиск_расходки[Индекс7],0)),"")</f>
        <v/>
      </c>
      <c r="Y29" s="116" t="str">
        <f>IFERROR(INDEX(Расходка[Наименование расходного материала],MATCH(Расходка[[#This Row],[№]],Поиск_расходки[Индекс8],0)),"")</f>
        <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435</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0</v>
      </c>
      <c r="K30" s="117">
        <f>IF(ISNUMBER(SEARCH('Карта учёта'!$B$19,Расходка[[#This Row],[Наименование расходного материала]])),MAX($K$1:K29)+1,0)</f>
        <v>0</v>
      </c>
      <c r="L30" s="117">
        <f>IF(ISNUMBER(SEARCH('Карта учёта'!$B$20,Расходка[[#This Row],[Наименование расходного материала]])),MAX($L$1:L29)+1,0)</f>
        <v>0</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
      </c>
      <c r="X30" s="116" t="str">
        <f>IFERROR(INDEX(Расходка[Наименование расходного материала],MATCH(Расходка[[#This Row],[№]],Поиск_расходки[Индекс7],0)),"")</f>
        <v/>
      </c>
      <c r="Y30" s="116" t="str">
        <f>IFERROR(INDEX(Расходка[Наименование расходного материала],MATCH(Расходка[[#This Row],[№]],Поиск_расходки[Индекс8],0)),"")</f>
        <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497</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0</v>
      </c>
      <c r="K31" s="117">
        <f>IF(ISNUMBER(SEARCH('Карта учёта'!$B$19,Расходка[[#This Row],[Наименование расходного материала]])),MAX($K$1:K30)+1,0)</f>
        <v>0</v>
      </c>
      <c r="L31" s="117">
        <f>IF(ISNUMBER(SEARCH('Карта учёта'!$B$20,Расходка[[#This Row],[Наименование расходного материала]])),MAX($L$1:L30)+1,0)</f>
        <v>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
      </c>
      <c r="X31" s="116" t="str">
        <f>IFERROR(INDEX(Расходка[Наименование расходного материала],MATCH(Расходка[[#This Row],[№]],Поиск_расходки[Индекс7],0)),"")</f>
        <v/>
      </c>
      <c r="Y31" s="116" t="str">
        <f>IFERROR(INDEX(Расходка[Наименование расходного материала],MATCH(Расходка[[#This Row],[№]],Поиск_расходки[Индекс8],0)),"")</f>
        <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436</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0</v>
      </c>
      <c r="K32" s="117">
        <f>IF(ISNUMBER(SEARCH('Карта учёта'!$B$19,Расходка[[#This Row],[Наименование расходного материала]])),MAX($K$1:K31)+1,0)</f>
        <v>0</v>
      </c>
      <c r="L32" s="117">
        <f>IF(ISNUMBER(SEARCH('Карта учёта'!$B$20,Расходка[[#This Row],[Наименование расходного материала]])),MAX($L$1:L31)+1,0)</f>
        <v>0</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
      </c>
      <c r="X32" s="116" t="str">
        <f>IFERROR(INDEX(Расходка[Наименование расходного материала],MATCH(Расходка[[#This Row],[№]],Поиск_расходки[Индекс7],0)),"")</f>
        <v/>
      </c>
      <c r="Y32" s="116" t="str">
        <f>IFERROR(INDEX(Расходка[Наименование расходного материала],MATCH(Расходка[[#This Row],[№]],Поиск_расходки[Индекс8],0)),"")</f>
        <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437</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0</v>
      </c>
      <c r="K33" s="117">
        <f>IF(ISNUMBER(SEARCH('Карта учёта'!$B$19,Расходка[[#This Row],[Наименование расходного материала]])),MAX($K$1:K32)+1,0)</f>
        <v>0</v>
      </c>
      <c r="L33" s="117">
        <f>IF(ISNUMBER(SEARCH('Карта учёта'!$B$20,Расходка[[#This Row],[Наименование расходного материала]])),MAX($L$1:L32)+1,0)</f>
        <v>0</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
      </c>
      <c r="X33" s="116" t="str">
        <f>IFERROR(INDEX(Расходка[Наименование расходного материала],MATCH(Расходка[[#This Row],[№]],Поиск_расходки[Индекс7],0)),"")</f>
        <v/>
      </c>
      <c r="Y33" s="116" t="str">
        <f>IFERROR(INDEX(Расходка[Наименование расходного материала],MATCH(Расходка[[#This Row],[№]],Поиск_расходки[Индекс8],0)),"")</f>
        <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438</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0</v>
      </c>
      <c r="K34" s="117">
        <f>IF(ISNUMBER(SEARCH('Карта учёта'!$B$19,Расходка[[#This Row],[Наименование расходного материала]])),MAX($K$1:K33)+1,0)</f>
        <v>0</v>
      </c>
      <c r="L34" s="117">
        <f>IF(ISNUMBER(SEARCH('Карта учёта'!$B$20,Расходка[[#This Row],[Наименование расходного материала]])),MAX($L$1:L33)+1,0)</f>
        <v>0</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
      </c>
      <c r="X34" s="116" t="str">
        <f>IFERROR(INDEX(Расходка[Наименование расходного материала],MATCH(Расходка[[#This Row],[№]],Поиск_расходки[Индекс7],0)),"")</f>
        <v/>
      </c>
      <c r="Y34" s="116" t="str">
        <f>IFERROR(INDEX(Расходка[Наименование расходного материала],MATCH(Расходка[[#This Row],[№]],Поиск_расходки[Индекс8],0)),"")</f>
        <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439</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0</v>
      </c>
      <c r="K35" s="117">
        <f>IF(ISNUMBER(SEARCH('Карта учёта'!$B$19,Расходка[[#This Row],[Наименование расходного материала]])),MAX($K$1:K34)+1,0)</f>
        <v>0</v>
      </c>
      <c r="L35" s="117">
        <f>IF(ISNUMBER(SEARCH('Карта учёта'!$B$20,Расходка[[#This Row],[Наименование расходного материала]])),MAX($L$1:L34)+1,0)</f>
        <v>0</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
      </c>
      <c r="X35" s="116" t="str">
        <f>IFERROR(INDEX(Расходка[Наименование расходного материала],MATCH(Расходка[[#This Row],[№]],Поиск_расходки[Индекс7],0)),"")</f>
        <v/>
      </c>
      <c r="Y35" s="116" t="str">
        <f>IFERROR(INDEX(Расходка[Наименование расходного материала],MATCH(Расходка[[#This Row],[№]],Поиск_расходки[Индекс8],0)),"")</f>
        <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498</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0</v>
      </c>
      <c r="K36" s="117">
        <f>IF(ISNUMBER(SEARCH('Карта учёта'!$B$19,Расходка[[#This Row],[Наименование расходного материала]])),MAX($K$1:K35)+1,0)</f>
        <v>0</v>
      </c>
      <c r="L36" s="117">
        <f>IF(ISNUMBER(SEARCH('Карта учёта'!$B$20,Расходка[[#This Row],[Наименование расходного материала]])),MAX($L$1:L35)+1,0)</f>
        <v>0</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
      </c>
      <c r="X36" s="116" t="str">
        <f>IFERROR(INDEX(Расходка[Наименование расходного материала],MATCH(Расходка[[#This Row],[№]],Поиск_расходки[Индекс7],0)),"")</f>
        <v/>
      </c>
      <c r="Y36" s="116" t="str">
        <f>IFERROR(INDEX(Расходка[Наименование расходного материала],MATCH(Расходка[[#This Row],[№]],Поиск_расходки[Индекс8],0)),"")</f>
        <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440</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0</v>
      </c>
      <c r="K37" s="117">
        <f>IF(ISNUMBER(SEARCH('Карта учёта'!$B$19,Расходка[[#This Row],[Наименование расходного материала]])),MAX($K$1:K36)+1,0)</f>
        <v>0</v>
      </c>
      <c r="L37" s="117">
        <f>IF(ISNUMBER(SEARCH('Карта учёта'!$B$20,Расходка[[#This Row],[Наименование расходного материала]])),MAX($L$1:L36)+1,0)</f>
        <v>0</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
      </c>
      <c r="X37" s="116" t="str">
        <f>IFERROR(INDEX(Расходка[Наименование расходного материала],MATCH(Расходка[[#This Row],[№]],Поиск_расходки[Индекс7],0)),"")</f>
        <v/>
      </c>
      <c r="Y37" s="116" t="str">
        <f>IFERROR(INDEX(Расходка[Наименование расходного материала],MATCH(Расходка[[#This Row],[№]],Поиск_расходки[Индекс8],0)),"")</f>
        <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413</v>
      </c>
    </row>
    <row r="38" spans="1:33" x14ac:dyDescent="0.25">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0</v>
      </c>
      <c r="K38" s="117">
        <f>IF(ISNUMBER(SEARCH('Карта учёта'!$B$19,Расходка[[#This Row],[Наименование расходного материала]])),MAX($K$1:K37)+1,0)</f>
        <v>0</v>
      </c>
      <c r="L38" s="117">
        <f>IF(ISNUMBER(SEARCH('Карта учёта'!$B$20,Расходка[[#This Row],[Наименование расходного материала]])),MAX($L$1:L37)+1,0)</f>
        <v>0</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
      </c>
      <c r="X38" s="116" t="str">
        <f>IFERROR(INDEX(Расходка[Наименование расходного материала],MATCH(Расходка[[#This Row],[№]],Поиск_расходки[Индекс7],0)),"")</f>
        <v/>
      </c>
      <c r="Y38" s="116" t="str">
        <f>IFERROR(INDEX(Расходка[Наименование расходного материала],MATCH(Расходка[[#This Row],[№]],Поиск_расходки[Индекс8],0)),"")</f>
        <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500</v>
      </c>
    </row>
    <row r="39" spans="1:33" x14ac:dyDescent="0.25">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0</v>
      </c>
      <c r="K39" s="117">
        <f>IF(ISNUMBER(SEARCH('Карта учёта'!$B$19,Расходка[[#This Row],[Наименование расходного материала]])),MAX($K$1:K38)+1,0)</f>
        <v>0</v>
      </c>
      <c r="L39" s="117">
        <f>IF(ISNUMBER(SEARCH('Карта учёта'!$B$20,Расходка[[#This Row],[Наименование расходного материала]])),MAX($L$1:L38)+1,0)</f>
        <v>0</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
      </c>
      <c r="X39" s="116" t="str">
        <f>IFERROR(INDEX(Расходка[Наименование расходного материала],MATCH(Расходка[[#This Row],[№]],Поиск_расходки[Индекс7],0)),"")</f>
        <v/>
      </c>
      <c r="Y39" s="116" t="str">
        <f>IFERROR(INDEX(Расходка[Наименование расходного материала],MATCH(Расходка[[#This Row],[№]],Поиск_расходки[Индекс8],0)),"")</f>
        <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441</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0</v>
      </c>
      <c r="K40" s="117">
        <f>IF(ISNUMBER(SEARCH('Карта учёта'!$B$19,Расходка[[#This Row],[Наименование расходного материала]])),MAX($K$1:K39)+1,0)</f>
        <v>0</v>
      </c>
      <c r="L40" s="117">
        <f>IF(ISNUMBER(SEARCH('Карта учёта'!$B$20,Расходка[[#This Row],[Наименование расходного материала]])),MAX($L$1:L39)+1,0)</f>
        <v>0</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
      </c>
      <c r="X40" s="116" t="str">
        <f>IFERROR(INDEX(Расходка[Наименование расходного материала],MATCH(Расходка[[#This Row],[№]],Поиск_расходки[Индекс7],0)),"")</f>
        <v/>
      </c>
      <c r="Y40" s="116" t="str">
        <f>IFERROR(INDEX(Расходка[Наименование расходного материала],MATCH(Расходка[[#This Row],[№]],Поиск_расходки[Индекс8],0)),"")</f>
        <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442</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0</v>
      </c>
      <c r="K41" s="117">
        <f>IF(ISNUMBER(SEARCH('Карта учёта'!$B$19,Расходка[[#This Row],[Наименование расходного материала]])),MAX($K$1:K40)+1,0)</f>
        <v>0</v>
      </c>
      <c r="L41" s="117">
        <f>IF(ISNUMBER(SEARCH('Карта учёта'!$B$20,Расходка[[#This Row],[Наименование расходного материала]])),MAX($L$1:L40)+1,0)</f>
        <v>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
      </c>
      <c r="X41" s="116" t="str">
        <f>IFERROR(INDEX(Расходка[Наименование расходного материала],MATCH(Расходка[[#This Row],[№]],Поиск_расходки[Индекс7],0)),"")</f>
        <v/>
      </c>
      <c r="Y41" s="116" t="str">
        <f>IFERROR(INDEX(Расходка[Наименование расходного материала],MATCH(Расходка[[#This Row],[№]],Поиск_расходки[Индекс8],0)),"")</f>
        <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443</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0</v>
      </c>
      <c r="K42" s="117">
        <f>IF(ISNUMBER(SEARCH('Карта учёта'!$B$19,Расходка[[#This Row],[Наименование расходного материала]])),MAX($K$1:K41)+1,0)</f>
        <v>0</v>
      </c>
      <c r="L42" s="117">
        <f>IF(ISNUMBER(SEARCH('Карта учёта'!$B$20,Расходка[[#This Row],[Наименование расходного материала]])),MAX($L$1:L41)+1,0)</f>
        <v>0</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
      </c>
      <c r="X42" s="116" t="str">
        <f>IFERROR(INDEX(Расходка[Наименование расходного материала],MATCH(Расходка[[#This Row],[№]],Поиск_расходки[Индекс7],0)),"")</f>
        <v/>
      </c>
      <c r="Y42" s="116" t="str">
        <f>IFERROR(INDEX(Расходка[Наименование расходного материала],MATCH(Расходка[[#This Row],[№]],Поиск_расходки[Индекс8],0)),"")</f>
        <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444</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0</v>
      </c>
      <c r="K43" s="117">
        <f>IF(ISNUMBER(SEARCH('Карта учёта'!$B$19,Расходка[[#This Row],[Наименование расходного материала]])),MAX($K$1:K42)+1,0)</f>
        <v>0</v>
      </c>
      <c r="L43" s="117">
        <f>IF(ISNUMBER(SEARCH('Карта учёта'!$B$20,Расходка[[#This Row],[Наименование расходного материала]])),MAX($L$1:L42)+1,0)</f>
        <v>0</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
      </c>
      <c r="X43" s="116" t="str">
        <f>IFERROR(INDEX(Расходка[Наименование расходного материала],MATCH(Расходка[[#This Row],[№]],Поиск_расходки[Индекс7],0)),"")</f>
        <v/>
      </c>
      <c r="Y43" s="116" t="str">
        <f>IFERROR(INDEX(Расходка[Наименование расходного материала],MATCH(Расходка[[#This Row],[№]],Поиск_расходки[Индекс8],0)),"")</f>
        <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417</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0</v>
      </c>
      <c r="K44" s="117">
        <f>IF(ISNUMBER(SEARCH('Карта учёта'!$B$19,Расходка[[#This Row],[Наименование расходного материала]])),MAX($K$1:K43)+1,0)</f>
        <v>0</v>
      </c>
      <c r="L44" s="117">
        <f>IF(ISNUMBER(SEARCH('Карта учёта'!$B$20,Расходка[[#This Row],[Наименование расходного материала]])),MAX($L$1:L43)+1,0)</f>
        <v>0</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
      </c>
      <c r="X44" s="116" t="str">
        <f>IFERROR(INDEX(Расходка[Наименование расходного материала],MATCH(Расходка[[#This Row],[№]],Поиск_расходки[Индекс7],0)),"")</f>
        <v/>
      </c>
      <c r="Y44" s="116" t="str">
        <f>IFERROR(INDEX(Расходка[Наименование расходного материала],MATCH(Расходка[[#This Row],[№]],Поиск_расходки[Индекс8],0)),"")</f>
        <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445</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0</v>
      </c>
      <c r="K45" s="117">
        <f>IF(ISNUMBER(SEARCH('Карта учёта'!$B$19,Расходка[[#This Row],[Наименование расходного материала]])),MAX($K$1:K44)+1,0)</f>
        <v>0</v>
      </c>
      <c r="L45" s="117">
        <f>IF(ISNUMBER(SEARCH('Карта учёта'!$B$20,Расходка[[#This Row],[Наименование расходного материала]])),MAX($L$1:L44)+1,0)</f>
        <v>0</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
      </c>
      <c r="X45" s="116" t="str">
        <f>IFERROR(INDEX(Расходка[Наименование расходного материала],MATCH(Расходка[[#This Row],[№]],Поиск_расходки[Индекс7],0)),"")</f>
        <v/>
      </c>
      <c r="Y45" s="116" t="str">
        <f>IFERROR(INDEX(Расходка[Наименование расходного материала],MATCH(Расходка[[#This Row],[№]],Поиск_расходки[Индекс8],0)),"")</f>
        <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446</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0</v>
      </c>
      <c r="K46" s="117">
        <f>IF(ISNUMBER(SEARCH('Карта учёта'!$B$19,Расходка[[#This Row],[Наименование расходного материала]])),MAX($K$1:K45)+1,0)</f>
        <v>0</v>
      </c>
      <c r="L46" s="117">
        <f>IF(ISNUMBER(SEARCH('Карта учёта'!$B$20,Расходка[[#This Row],[Наименование расходного материала]])),MAX($L$1:L45)+1,0)</f>
        <v>0</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
      </c>
      <c r="X46" s="116" t="str">
        <f>IFERROR(INDEX(Расходка[Наименование расходного материала],MATCH(Расходка[[#This Row],[№]],Поиск_расходки[Индекс7],0)),"")</f>
        <v/>
      </c>
      <c r="Y46" s="116" t="str">
        <f>IFERROR(INDEX(Расходка[Наименование расходного материала],MATCH(Расходка[[#This Row],[№]],Поиск_расходки[Индекс8],0)),"")</f>
        <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447</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0</v>
      </c>
      <c r="K47" s="117">
        <f>IF(ISNUMBER(SEARCH('Карта учёта'!$B$19,Расходка[[#This Row],[Наименование расходного материала]])),MAX($K$1:K46)+1,0)</f>
        <v>0</v>
      </c>
      <c r="L47" s="117">
        <f>IF(ISNUMBER(SEARCH('Карта учёта'!$B$20,Расходка[[#This Row],[Наименование расходного материала]])),MAX($L$1:L46)+1,0)</f>
        <v>0</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
      </c>
      <c r="X47" s="116" t="str">
        <f>IFERROR(INDEX(Расходка[Наименование расходного материала],MATCH(Расходка[[#This Row],[№]],Поиск_расходки[Индекс7],0)),"")</f>
        <v/>
      </c>
      <c r="Y47" s="116" t="str">
        <f>IFERROR(INDEX(Расходка[Наименование расходного материала],MATCH(Расходка[[#This Row],[№]],Поиск_расходки[Индекс8],0)),"")</f>
        <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448</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0</v>
      </c>
      <c r="I48" s="117">
        <f>IF(ISNUMBER(SEARCH('Карта учёта'!$B$17,Расходка[[#This Row],[Наименование расходного материала]])),MAX($I$1:I47)+1,0)</f>
        <v>0</v>
      </c>
      <c r="J48" s="117">
        <f>IF(ISNUMBER(SEARCH('Карта учёта'!$B$18,Расходка[[#This Row],[Наименование расходного материала]])),MAX($J$1:J47)+1,0)</f>
        <v>0</v>
      </c>
      <c r="K48" s="117">
        <f>IF(ISNUMBER(SEARCH('Карта учёта'!$B$19,Расходка[[#This Row],[Наименование расходного материала]])),MAX($K$1:K47)+1,0)</f>
        <v>1</v>
      </c>
      <c r="L48" s="117">
        <f>IF(ISNUMBER(SEARCH('Карта учёта'!$B$20,Расходка[[#This Row],[Наименование расходного материала]])),MAX($L$1:L47)+1,0)</f>
        <v>1</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
      </c>
      <c r="X48" s="116" t="str">
        <f>IFERROR(INDEX(Расходка[Наименование расходного материала],MATCH(Расходка[[#This Row],[№]],Поиск_расходки[Индекс7],0)),"")</f>
        <v/>
      </c>
      <c r="Y48" s="116" t="str">
        <f>IFERROR(INDEX(Расходка[Наименование расходного материала],MATCH(Расходка[[#This Row],[№]],Поиск_расходки[Индекс8],0)),"")</f>
        <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449</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0</v>
      </c>
      <c r="K49" s="117">
        <f>IF(ISNUMBER(SEARCH('Карта учёта'!$B$19,Расходка[[#This Row],[Наименование расходного материала]])),MAX($K$1:K48)+1,0)</f>
        <v>0</v>
      </c>
      <c r="L49" s="117">
        <f>IF(ISNUMBER(SEARCH('Карта учёта'!$B$20,Расходка[[#This Row],[Наименование расходного материала]])),MAX($L$1:L48)+1,0)</f>
        <v>0</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
      </c>
      <c r="X49" s="116" t="str">
        <f>IFERROR(INDEX(Расходка[Наименование расходного материала],MATCH(Расходка[[#This Row],[№]],Поиск_расходки[Индекс7],0)),"")</f>
        <v/>
      </c>
      <c r="Y49" s="116" t="str">
        <f>IFERROR(INDEX(Расходка[Наименование расходного материала],MATCH(Расходка[[#This Row],[№]],Поиск_расходки[Индекс8],0)),"")</f>
        <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450</v>
      </c>
    </row>
    <row r="50" spans="1:33" x14ac:dyDescent="0.25">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0</v>
      </c>
      <c r="K50" s="117">
        <f>IF(ISNUMBER(SEARCH('Карта учёта'!$B$19,Расходка[[#This Row],[Наименование расходного материала]])),MAX($K$1:K49)+1,0)</f>
        <v>0</v>
      </c>
      <c r="L50" s="117">
        <f>IF(ISNUMBER(SEARCH('Карта учёта'!$B$20,Расходка[[#This Row],[Наименование расходного материала]])),MAX($L$1:L49)+1,0)</f>
        <v>0</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
      </c>
      <c r="X50" s="116" t="str">
        <f>IFERROR(INDEX(Расходка[Наименование расходного материала],MATCH(Расходка[[#This Row],[№]],Поиск_расходки[Индекс7],0)),"")</f>
        <v/>
      </c>
      <c r="Y50" s="116" t="str">
        <f>IFERROR(INDEX(Расходка[Наименование расходного материала],MATCH(Расходка[[#This Row],[№]],Поиск_расходки[Индекс8],0)),"")</f>
        <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451</v>
      </c>
    </row>
    <row r="51" spans="1:33" x14ac:dyDescent="0.25">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0</v>
      </c>
      <c r="K51" s="117">
        <f>IF(ISNUMBER(SEARCH('Карта учёта'!$B$19,Расходка[[#This Row],[Наименование расходного материала]])),MAX($K$1:K50)+1,0)</f>
        <v>0</v>
      </c>
      <c r="L51" s="117">
        <f>IF(ISNUMBER(SEARCH('Карта учёта'!$B$20,Расходка[[#This Row],[Наименование расходного материала]])),MAX($L$1:L50)+1,0)</f>
        <v>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
      </c>
      <c r="X51" s="116" t="str">
        <f>IFERROR(INDEX(Расходка[Наименование расходного материала],MATCH(Расходка[[#This Row],[№]],Поиск_расходки[Индекс7],0)),"")</f>
        <v/>
      </c>
      <c r="Y51" s="116" t="str">
        <f>IFERROR(INDEX(Расходка[Наименование расходного материала],MATCH(Расходка[[#This Row],[№]],Поиск_расходки[Индекс8],0)),"")</f>
        <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452</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0</v>
      </c>
      <c r="K52" s="117">
        <f>IF(ISNUMBER(SEARCH('Карта учёта'!$B$19,Расходка[[#This Row],[Наименование расходного материала]])),MAX($K$1:K51)+1,0)</f>
        <v>0</v>
      </c>
      <c r="L52" s="117">
        <f>IF(ISNUMBER(SEARCH('Карта учёта'!$B$20,Расходка[[#This Row],[Наименование расходного материала]])),MAX($L$1:L51)+1,0)</f>
        <v>0</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
      </c>
      <c r="X52" s="116" t="str">
        <f>IFERROR(INDEX(Расходка[Наименование расходного материала],MATCH(Расходка[[#This Row],[№]],Поиск_расходки[Индекс7],0)),"")</f>
        <v/>
      </c>
      <c r="Y52" s="116" t="str">
        <f>IFERROR(INDEX(Расходка[Наименование расходного материала],MATCH(Расходка[[#This Row],[№]],Поиск_расходки[Индекс8],0)),"")</f>
        <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453</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0</v>
      </c>
      <c r="K53" s="117">
        <f>IF(ISNUMBER(SEARCH('Карта учёта'!$B$19,Расходка[[#This Row],[Наименование расходного материала]])),MAX($K$1:K52)+1,0)</f>
        <v>0</v>
      </c>
      <c r="L53" s="117">
        <f>IF(ISNUMBER(SEARCH('Карта учёта'!$B$20,Расходка[[#This Row],[Наименование расходного материала]])),MAX($L$1:L52)+1,0)</f>
        <v>0</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
      </c>
      <c r="X53" s="116" t="str">
        <f>IFERROR(INDEX(Расходка[Наименование расходного материала],MATCH(Расходка[[#This Row],[№]],Поиск_расходки[Индекс7],0)),"")</f>
        <v/>
      </c>
      <c r="Y53" s="116" t="str">
        <f>IFERROR(INDEX(Расходка[Наименование расходного материала],MATCH(Расходка[[#This Row],[№]],Поиск_расходки[Индекс8],0)),"")</f>
        <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454</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0</v>
      </c>
      <c r="K54" s="117">
        <f>IF(ISNUMBER(SEARCH('Карта учёта'!$B$19,Расходка[[#This Row],[Наименование расходного материала]])),MAX($K$1:K53)+1,0)</f>
        <v>0</v>
      </c>
      <c r="L54" s="117">
        <f>IF(ISNUMBER(SEARCH('Карта учёта'!$B$20,Расходка[[#This Row],[Наименование расходного материала]])),MAX($L$1:L53)+1,0)</f>
        <v>0</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
      </c>
      <c r="X54" s="116" t="str">
        <f>IFERROR(INDEX(Расходка[Наименование расходного материала],MATCH(Расходка[[#This Row],[№]],Поиск_расходки[Индекс7],0)),"")</f>
        <v/>
      </c>
      <c r="Y54" s="116" t="str">
        <f>IFERROR(INDEX(Расходка[Наименование расходного материала],MATCH(Расходка[[#This Row],[№]],Поиск_расходки[Индекс8],0)),"")</f>
        <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455</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0</v>
      </c>
      <c r="K55" s="117">
        <f>IF(ISNUMBER(SEARCH('Карта учёта'!$B$19,Расходка[[#This Row],[Наименование расходного материала]])),MAX($K$1:K54)+1,0)</f>
        <v>0</v>
      </c>
      <c r="L55" s="117">
        <f>IF(ISNUMBER(SEARCH('Карта учёта'!$B$20,Расходка[[#This Row],[Наименование расходного материала]])),MAX($L$1:L54)+1,0)</f>
        <v>0</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
      </c>
      <c r="X55" s="116" t="str">
        <f>IFERROR(INDEX(Расходка[Наименование расходного материала],MATCH(Расходка[[#This Row],[№]],Поиск_расходки[Индекс7],0)),"")</f>
        <v/>
      </c>
      <c r="Y55" s="116" t="str">
        <f>IFERROR(INDEX(Расходка[Наименование расходного материала],MATCH(Расходка[[#This Row],[№]],Поиск_расходки[Индекс8],0)),"")</f>
        <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456</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1</v>
      </c>
      <c r="G56" s="117">
        <f>IF(ISNUMBER(SEARCH('Карта учёта'!$B$15,Расходка[[#This Row],[Наименование расходного материала]])),MAX($G$1:G55)+1,0)</f>
        <v>0</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0</v>
      </c>
      <c r="K56" s="117">
        <f>IF(ISNUMBER(SEARCH('Карта учёта'!$B$19,Расходка[[#This Row],[Наименование расходного материала]])),MAX($K$1:K55)+1,0)</f>
        <v>0</v>
      </c>
      <c r="L56" s="117">
        <f>IF(ISNUMBER(SEARCH('Карта учёта'!$B$20,Расходка[[#This Row],[Наименование расходного материала]])),MAX($L$1:L55)+1,0)</f>
        <v>0</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
      </c>
      <c r="X56" s="116" t="str">
        <f>IFERROR(INDEX(Расходка[Наименование расходного материала],MATCH(Расходка[[#This Row],[№]],Поиск_расходки[Индекс7],0)),"")</f>
        <v/>
      </c>
      <c r="Y56" s="116" t="str">
        <f>IFERROR(INDEX(Расходка[Наименование расходного материала],MATCH(Расходка[[#This Row],[№]],Поиск_расходки[Индекс8],0)),"")</f>
        <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457</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0</v>
      </c>
      <c r="K57" s="117">
        <f>IF(ISNUMBER(SEARCH('Карта учёта'!$B$19,Расходка[[#This Row],[Наименование расходного материала]])),MAX($K$1:K56)+1,0)</f>
        <v>0</v>
      </c>
      <c r="L57" s="117">
        <f>IF(ISNUMBER(SEARCH('Карта учёта'!$B$20,Расходка[[#This Row],[Наименование расходного материала]])),MAX($L$1:L56)+1,0)</f>
        <v>0</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
      </c>
      <c r="X57" s="116" t="str">
        <f>IFERROR(INDEX(Расходка[Наименование расходного материала],MATCH(Расходка[[#This Row],[№]],Поиск_расходки[Индекс7],0)),"")</f>
        <v/>
      </c>
      <c r="Y57" s="116" t="str">
        <f>IFERROR(INDEX(Расходка[Наименование расходного материала],MATCH(Расходка[[#This Row],[№]],Поиск_расходки[Индекс8],0)),"")</f>
        <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458</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0</v>
      </c>
      <c r="K58" s="117">
        <f>IF(ISNUMBER(SEARCH('Карта учёта'!$B$19,Расходка[[#This Row],[Наименование расходного материала]])),MAX($K$1:K57)+1,0)</f>
        <v>0</v>
      </c>
      <c r="L58" s="117">
        <f>IF(ISNUMBER(SEARCH('Карта учёта'!$B$20,Расходка[[#This Row],[Наименование расходного материала]])),MAX($L$1:L57)+1,0)</f>
        <v>0</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
      </c>
      <c r="X58" s="116" t="str">
        <f>IFERROR(INDEX(Расходка[Наименование расходного материала],MATCH(Расходка[[#This Row],[№]],Поиск_расходки[Индекс7],0)),"")</f>
        <v/>
      </c>
      <c r="Y58" s="116" t="str">
        <f>IFERROR(INDEX(Расходка[Наименование расходного материала],MATCH(Расходка[[#This Row],[№]],Поиск_расходки[Индекс8],0)),"")</f>
        <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459</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0</v>
      </c>
      <c r="K59" s="117">
        <f>IF(ISNUMBER(SEARCH('Карта учёта'!$B$19,Расходка[[#This Row],[Наименование расходного материала]])),MAX($K$1:K58)+1,0)</f>
        <v>0</v>
      </c>
      <c r="L59" s="117">
        <f>IF(ISNUMBER(SEARCH('Карта учёта'!$B$20,Расходка[[#This Row],[Наименование расходного материала]])),MAX($L$1:L58)+1,0)</f>
        <v>0</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
      </c>
      <c r="X59" s="116" t="str">
        <f>IFERROR(INDEX(Расходка[Наименование расходного материала],MATCH(Расходка[[#This Row],[№]],Поиск_расходки[Индекс7],0)),"")</f>
        <v/>
      </c>
      <c r="Y59" s="116" t="str">
        <f>IFERROR(INDEX(Расходка[Наименование расходного материала],MATCH(Расходка[[#This Row],[№]],Поиск_расходки[Индекс8],0)),"")</f>
        <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460</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0</v>
      </c>
      <c r="K60" s="117">
        <f>IF(ISNUMBER(SEARCH('Карта учёта'!$B$19,Расходка[[#This Row],[Наименование расходного материала]])),MAX($K$1:K59)+1,0)</f>
        <v>0</v>
      </c>
      <c r="L60" s="117">
        <f>IF(ISNUMBER(SEARCH('Карта учёта'!$B$20,Расходка[[#This Row],[Наименование расходного материала]])),MAX($L$1:L59)+1,0)</f>
        <v>0</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
      </c>
      <c r="X60" s="116" t="str">
        <f>IFERROR(INDEX(Расходка[Наименование расходного материала],MATCH(Расходка[[#This Row],[№]],Поиск_расходки[Индекс7],0)),"")</f>
        <v/>
      </c>
      <c r="Y60" s="116" t="str">
        <f>IFERROR(INDEX(Расходка[Наименование расходного материала],MATCH(Расходка[[#This Row],[№]],Поиск_расходки[Индекс8],0)),"")</f>
        <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461</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0</v>
      </c>
      <c r="K61" s="117">
        <f>IF(ISNUMBER(SEARCH('Карта учёта'!$B$19,Расходка[[#This Row],[Наименование расходного материала]])),MAX($K$1:K60)+1,0)</f>
        <v>0</v>
      </c>
      <c r="L61" s="117">
        <f>IF(ISNUMBER(SEARCH('Карта учёта'!$B$20,Расходка[[#This Row],[Наименование расходного материала]])),MAX($L$1:L60)+1,0)</f>
        <v>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
      </c>
      <c r="X61" s="116" t="str">
        <f>IFERROR(INDEX(Расходка[Наименование расходного материала],MATCH(Расходка[[#This Row],[№]],Поиск_расходки[Индекс7],0)),"")</f>
        <v/>
      </c>
      <c r="Y61" s="116" t="str">
        <f>IFERROR(INDEX(Расходка[Наименование расходного материала],MATCH(Расходка[[#This Row],[№]],Поиск_расходки[Индекс8],0)),"")</f>
        <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422</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0</v>
      </c>
      <c r="K62" s="117">
        <f>IF(ISNUMBER(SEARCH('Карта учёта'!$B$19,Расходка[[#This Row],[Наименование расходного материала]])),MAX($K$1:K61)+1,0)</f>
        <v>0</v>
      </c>
      <c r="L62" s="117">
        <f>IF(ISNUMBER(SEARCH('Карта учёта'!$B$20,Расходка[[#This Row],[Наименование расходного материала]])),MAX($L$1:L61)+1,0)</f>
        <v>0</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
      </c>
      <c r="X62" s="116" t="str">
        <f>IFERROR(INDEX(Расходка[Наименование расходного материала],MATCH(Расходка[[#This Row],[№]],Поиск_расходки[Индекс7],0)),"")</f>
        <v/>
      </c>
      <c r="Y62" s="116" t="str">
        <f>IFERROR(INDEX(Расходка[Наименование расходного материала],MATCH(Расходка[[#This Row],[№]],Поиск_расходки[Индекс8],0)),"")</f>
        <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462</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0</v>
      </c>
      <c r="K63" s="117">
        <f>IF(ISNUMBER(SEARCH('Карта учёта'!$B$19,Расходка[[#This Row],[Наименование расходного материала]])),MAX($K$1:K62)+1,0)</f>
        <v>0</v>
      </c>
      <c r="L63" s="117">
        <f>IF(ISNUMBER(SEARCH('Карта учёта'!$B$20,Расходка[[#This Row],[Наименование расходного материала]])),MAX($L$1:L62)+1,0)</f>
        <v>0</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
      </c>
      <c r="X63" s="116" t="str">
        <f>IFERROR(INDEX(Расходка[Наименование расходного материала],MATCH(Расходка[[#This Row],[№]],Поиск_расходки[Индекс7],0)),"")</f>
        <v/>
      </c>
      <c r="Y63" s="116" t="str">
        <f>IFERROR(INDEX(Расходка[Наименование расходного материала],MATCH(Расходка[[#This Row],[№]],Поиск_расходки[Индекс8],0)),"")</f>
        <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463</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0</v>
      </c>
      <c r="K64" s="117">
        <f>IF(ISNUMBER(SEARCH('Карта учёта'!$B$19,Расходка[[#This Row],[Наименование расходного материала]])),MAX($K$1:K63)+1,0)</f>
        <v>0</v>
      </c>
      <c r="L64" s="117">
        <f>IF(ISNUMBER(SEARCH('Карта учёта'!$B$20,Расходка[[#This Row],[Наименование расходного материала]])),MAX($L$1:L63)+1,0)</f>
        <v>0</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
      </c>
      <c r="X64" s="116" t="str">
        <f>IFERROR(INDEX(Расходка[Наименование расходного материала],MATCH(Расходка[[#This Row],[№]],Поиск_расходки[Индекс7],0)),"")</f>
        <v/>
      </c>
      <c r="Y64" s="116" t="str">
        <f>IFERROR(INDEX(Расходка[Наименование расходного материала],MATCH(Расходка[[#This Row],[№]],Поиск_расходки[Индекс8],0)),"")</f>
        <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464</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0</v>
      </c>
      <c r="K65" s="117">
        <f>IF(ISNUMBER(SEARCH('Карта учёта'!$B$19,Расходка[[#This Row],[Наименование расходного материала]])),MAX($K$1:K64)+1,0)</f>
        <v>0</v>
      </c>
      <c r="L65" s="117">
        <f>IF(ISNUMBER(SEARCH('Карта учёта'!$B$20,Расходка[[#This Row],[Наименование расходного материала]])),MAX($L$1:L64)+1,0)</f>
        <v>0</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
      </c>
      <c r="X65" s="116" t="str">
        <f>IFERROR(INDEX(Расходка[Наименование расходного материала],MATCH(Расходка[[#This Row],[№]],Поиск_расходки[Индекс7],0)),"")</f>
        <v/>
      </c>
      <c r="Y65" s="116" t="str">
        <f>IFERROR(INDEX(Расходка[Наименование расходного материала],MATCH(Расходка[[#This Row],[№]],Поиск_расходки[Индекс8],0)),"")</f>
        <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465</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466</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467</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468</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469</v>
      </c>
    </row>
    <row r="70" spans="1:33" x14ac:dyDescent="0.25">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учёта'!$B$15,Расходка[[#This Row],[Наименование расходного материала]])),MAX($G$1:G69)+1,0)</f>
        <v>0</v>
      </c>
      <c r="H70" s="202">
        <f>IF(ISNUMBER(SEARCH('Карта учёта'!$B$16,Расходка[[#This Row],[Наименование расходного материала]])),MAX($H$1:H69)+1,0)</f>
        <v>0</v>
      </c>
      <c r="I70" s="202">
        <f>IF(ISNUMBER(SEARCH('Карта учёта'!$B$17,Расходка[[#This Row],[Наименование расходного материала]])),MAX($I$1:I69)+1,0)</f>
        <v>0</v>
      </c>
      <c r="J70" s="202">
        <f>IF(ISNUMBER(SEARCH('Карта учёта'!$B$18,Расходка[[#This Row],[Наименование расходного материала]])),MAX($J$1:J69)+1,0)</f>
        <v>0</v>
      </c>
      <c r="K70" s="202">
        <f>IF(ISNUMBER(SEARCH('Карта учёта'!$B$19,Расходка[[#This Row],[Наименование расходного материала]])),MAX($K$1:K69)+1,0)</f>
        <v>0</v>
      </c>
      <c r="L70" s="202">
        <f>IF(ISNUMBER(SEARCH('Карта учёта'!$B$20,Расходка[[#This Row],[Наименование расходного материала]])),MAX($L$1:L69)+1,0)</f>
        <v>0</v>
      </c>
      <c r="M70" s="202">
        <f>IF(ISNUMBER(SEARCH('Карта учёта'!$B$21,Расходка[[#This Row],[Наименование расходного материала]])),MAX($M$1:M69)+1,0)</f>
        <v>0</v>
      </c>
      <c r="N70" s="202">
        <f>IF(ISNUMBER(SEARCH('Карта учёта'!$B$22,Расходка[[#This Row],[Наименование расходного материала]])),MAX($N$1:N69)+1,0)</f>
        <v>0</v>
      </c>
      <c r="O70" s="202">
        <f>IF(ISNUMBER(SEARCH('Карта учёта'!$B$23,Расходка[[#This Row],[Наименование расходного материала]])),MAX($O$1:O69)+1,0)</f>
        <v>0</v>
      </c>
      <c r="P70" s="202">
        <f>IF(ISNUMBER(SEARCH('Карта учёта'!$B$24,Расходка[[#This Row],[Наименование расходного материала]])),MAX($P$1:P69)+1,0)</f>
        <v>0</v>
      </c>
      <c r="Q70" s="202">
        <f>IF(ISNUMBER(SEARCH('Карта учёта'!$B$25,Расходка[[#This Row],[Наименование расходного материала]])),MAX($Q$1:Q69)+1,0)</f>
        <v>0</v>
      </c>
      <c r="R70" s="203" t="str">
        <f>IFERROR(INDEX(Расходка[Наименование расходного материала],MATCH(Расходка[[#This Row],[№]],Поиск_расходки[Индекс1],0)),"")</f>
        <v/>
      </c>
      <c r="S70" s="203" t="str">
        <f>IFERROR(INDEX(Расходка[Наименование расходного материала],MATCH(Расходка[[#This Row],[№]],Поиск_расходки[Индекс2],0)),"")</f>
        <v/>
      </c>
      <c r="T70" s="203" t="str">
        <f>IFERROR(INDEX(Расходка[Наименование расходного материала],MATCH(Расходка[[#This Row],[№]],Поиск_расходки[Индекс3],0)),"")</f>
        <v/>
      </c>
      <c r="U70" s="203" t="str">
        <f>IFERROR(INDEX(Расходка[Наименование расходного материала],MATCH(Расходка[[#This Row],[№]],Поиск_расходки[Индекс4],0)),"")</f>
        <v/>
      </c>
      <c r="V70" s="203" t="str">
        <f>IFERROR(INDEX(Расходка[Наименование расходного материала],MATCH(Расходка[[#This Row],[№]],Поиск_расходки[Индекс5],0)),"")</f>
        <v/>
      </c>
      <c r="W70" s="203" t="str">
        <f>IFERROR(INDEX(Расходка[Наименование расходного материала],MATCH(Расходка[[#This Row],[№]],Поиск_расходки[Индекс6],0)),"")</f>
        <v/>
      </c>
      <c r="X70" s="203" t="str">
        <f>IFERROR(INDEX(Расходка[Наименование расходного материала],MATCH(Расходка[[#This Row],[№]],Поиск_расходки[Индекс7],0)),"")</f>
        <v/>
      </c>
      <c r="Y70" s="203" t="str">
        <f>IFERROR(INDEX(Расходка[Наименование расходного материала],MATCH(Расходка[[#This Row],[№]],Поиск_расходки[Индекс8],0)),"")</f>
        <v/>
      </c>
      <c r="Z70" s="203" t="str">
        <f>IFERROR(INDEX(Расходка[Наименование расходного материала],MATCH(Расходка[[#This Row],[№]],Поиск_расходки[Индекс9],0)),"")</f>
        <v/>
      </c>
      <c r="AA70" s="203" t="str">
        <f>IFERROR(INDEX(Расходка[Наименование расходного материала],MATCH(Расходка[[#This Row],[№]],Поиск_расходки[Индекс10],0)),"")</f>
        <v/>
      </c>
      <c r="AB70" s="203" t="str">
        <f>IFERROR(INDEX(Расходка[Наименование расходного материала],MATCH(Расходка[[#This Row],[№]],Поиск_расходки[Индекс11],0)),"")</f>
        <v/>
      </c>
      <c r="AC70" s="203" t="str">
        <f>IFERROR(INDEX(Расходка[Наименование расходного материала],MATCH(Расходка[[#This Row],[№]],Поиск_расходки[Индекс12],0)),"")</f>
        <v/>
      </c>
      <c r="AD70" s="203" t="str">
        <f>IFERROR(INDEX(Расходка[Наименование расходного материала],MATCH(Расходка[[#This Row],[№]],Поиск_расходки[Индекс13],0)),"")</f>
        <v/>
      </c>
      <c r="AF70" s="4" t="s">
        <v>6</v>
      </c>
      <c r="AG70" s="4" t="s">
        <v>470</v>
      </c>
    </row>
    <row r="71" spans="1:33" x14ac:dyDescent="0.25">
      <c r="AF71" s="4" t="s">
        <v>6</v>
      </c>
      <c r="AG71" s="4" t="s">
        <v>425</v>
      </c>
    </row>
    <row r="72" spans="1:33" x14ac:dyDescent="0.25">
      <c r="AF72" s="4" t="s">
        <v>6</v>
      </c>
      <c r="AG72" s="4" t="s">
        <v>471</v>
      </c>
    </row>
    <row r="73" spans="1:33" x14ac:dyDescent="0.25">
      <c r="AF73" s="4" t="s">
        <v>6</v>
      </c>
      <c r="AG73" s="4" t="s">
        <v>426</v>
      </c>
    </row>
    <row r="74" spans="1:33" x14ac:dyDescent="0.25">
      <c r="AF74" s="4" t="s">
        <v>6</v>
      </c>
      <c r="AG74" s="4" t="s">
        <v>472</v>
      </c>
    </row>
    <row r="75" spans="1:33" x14ac:dyDescent="0.25">
      <c r="AF75" s="4" t="s">
        <v>6</v>
      </c>
      <c r="AG75" s="4" t="s">
        <v>473</v>
      </c>
    </row>
    <row r="76" spans="1:33" x14ac:dyDescent="0.25">
      <c r="AF76" s="4" t="s">
        <v>6</v>
      </c>
      <c r="AG76" s="4" t="s">
        <v>474</v>
      </c>
    </row>
    <row r="77" spans="1:33" x14ac:dyDescent="0.25">
      <c r="AF77" s="4" t="s">
        <v>6</v>
      </c>
      <c r="AG77" s="4" t="s">
        <v>475</v>
      </c>
    </row>
    <row r="78" spans="1:33" x14ac:dyDescent="0.25">
      <c r="AF78" s="4" t="s">
        <v>6</v>
      </c>
      <c r="AG78" s="4" t="s">
        <v>476</v>
      </c>
    </row>
    <row r="79" spans="1:33" x14ac:dyDescent="0.25">
      <c r="AF79" s="4" t="s">
        <v>6</v>
      </c>
      <c r="AG79" s="4" t="s">
        <v>477</v>
      </c>
    </row>
    <row r="80" spans="1:33" x14ac:dyDescent="0.25">
      <c r="AF80" s="4" t="s">
        <v>6</v>
      </c>
      <c r="AG80" s="4" t="s">
        <v>478</v>
      </c>
    </row>
    <row r="81" spans="32:33" x14ac:dyDescent="0.25">
      <c r="AF81" s="4" t="s">
        <v>6</v>
      </c>
      <c r="AG81" s="4" t="s">
        <v>479</v>
      </c>
    </row>
    <row r="82" spans="32:33" x14ac:dyDescent="0.25">
      <c r="AF82" s="4" t="s">
        <v>6</v>
      </c>
      <c r="AG82" s="4" t="s">
        <v>480</v>
      </c>
    </row>
    <row r="83" spans="32:33" x14ac:dyDescent="0.25">
      <c r="AF83" s="4" t="s">
        <v>6</v>
      </c>
      <c r="AG83" s="4" t="s">
        <v>481</v>
      </c>
    </row>
    <row r="84" spans="32:33" x14ac:dyDescent="0.25">
      <c r="AF84" s="4" t="s">
        <v>6</v>
      </c>
      <c r="AG84" s="4" t="s">
        <v>432</v>
      </c>
    </row>
    <row r="85" spans="32:33" x14ac:dyDescent="0.25">
      <c r="AF85" s="4" t="s">
        <v>6</v>
      </c>
      <c r="AG85" s="4" t="s">
        <v>433</v>
      </c>
    </row>
    <row r="86" spans="32:33" x14ac:dyDescent="0.25">
      <c r="AF86" s="4" t="s">
        <v>6</v>
      </c>
      <c r="AG86" s="4" t="s">
        <v>482</v>
      </c>
    </row>
    <row r="87" spans="32:33" x14ac:dyDescent="0.25">
      <c r="AF87" s="4" t="s">
        <v>6</v>
      </c>
      <c r="AG87" s="4" t="s">
        <v>483</v>
      </c>
    </row>
    <row r="88" spans="32:33" x14ac:dyDescent="0.25">
      <c r="AF88" s="4" t="s">
        <v>6</v>
      </c>
      <c r="AG88" s="4" t="s">
        <v>484</v>
      </c>
    </row>
    <row r="89" spans="32:33" x14ac:dyDescent="0.25">
      <c r="AF89" s="4" t="s">
        <v>6</v>
      </c>
      <c r="AG89" s="4" t="s">
        <v>485</v>
      </c>
    </row>
    <row r="90" spans="32:33" x14ac:dyDescent="0.25">
      <c r="AF90" s="4" t="s">
        <v>6</v>
      </c>
      <c r="AG90" s="4" t="s">
        <v>486</v>
      </c>
    </row>
    <row r="91" spans="32:33" x14ac:dyDescent="0.25">
      <c r="AF91" s="4" t="s">
        <v>6</v>
      </c>
      <c r="AG91" s="4" t="s">
        <v>487</v>
      </c>
    </row>
    <row r="92" spans="32:33" x14ac:dyDescent="0.25">
      <c r="AF92" s="4" t="s">
        <v>6</v>
      </c>
      <c r="AG92" s="4" t="s">
        <v>488</v>
      </c>
    </row>
    <row r="93" spans="32:33" x14ac:dyDescent="0.25">
      <c r="AF93" s="4" t="s">
        <v>6</v>
      </c>
      <c r="AG93" s="4" t="s">
        <v>489</v>
      </c>
    </row>
    <row r="94" spans="32:33" x14ac:dyDescent="0.25">
      <c r="AF94" s="4" t="s">
        <v>6</v>
      </c>
      <c r="AG94" s="4" t="s">
        <v>436</v>
      </c>
    </row>
    <row r="95" spans="32:33" x14ac:dyDescent="0.25">
      <c r="AF95" s="4" t="s">
        <v>6</v>
      </c>
      <c r="AG95" s="4" t="s">
        <v>437</v>
      </c>
    </row>
    <row r="96" spans="32:33" x14ac:dyDescent="0.25">
      <c r="AF96" s="4" t="s">
        <v>6</v>
      </c>
      <c r="AG96" s="4" t="s">
        <v>490</v>
      </c>
    </row>
    <row r="97" spans="32:33" x14ac:dyDescent="0.25">
      <c r="AF97" s="4" t="s">
        <v>6</v>
      </c>
      <c r="AG97" s="4" t="s">
        <v>491</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516</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511</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2023-06-16T14:38:20Z</cp:lastPrinted>
  <dcterms:created xsi:type="dcterms:W3CDTF">2015-06-05T18:19:34Z</dcterms:created>
  <dcterms:modified xsi:type="dcterms:W3CDTF">2023-06-16T14:38:23Z</dcterms:modified>
</cp:coreProperties>
</file>