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P:\Лучший сосудистый центр 2023\Щербаков\"/>
    </mc:Choice>
  </mc:AlternateContent>
  <xr:revisionPtr revIDLastSave="0" documentId="13_ncr:1_{F04F1DBA-30E0-424C-883F-B9DEB481FDE4}" xr6:coauthVersionLast="47" xr6:coauthVersionMax="47" xr10:uidLastSave="{00000000-0000-0000-0000-000000000000}"/>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activeTab="1" xr2:uid="{00000000-000D-0000-FFFF-FFFF000000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8" i="1"/>
  <c r="E69" i="1"/>
  <c r="E70" i="1"/>
  <c r="F67" i="1"/>
  <c r="F68" i="1"/>
  <c r="F69" i="1"/>
  <c r="F70" i="1"/>
  <c r="G67" i="1"/>
  <c r="G68" i="1"/>
  <c r="G69" i="1"/>
  <c r="G70" i="1"/>
  <c r="H67" i="1"/>
  <c r="H68" i="1"/>
  <c r="H69" i="1"/>
  <c r="H70" i="1"/>
  <c r="I67" i="1"/>
  <c r="I68" i="1"/>
  <c r="I69" i="1"/>
  <c r="I70" i="1"/>
  <c r="J67" i="1"/>
  <c r="J68" i="1"/>
  <c r="J69" i="1"/>
  <c r="J70" i="1"/>
  <c r="K67" i="1"/>
  <c r="K68" i="1"/>
  <c r="K69" i="1"/>
  <c r="K70" i="1"/>
  <c r="L67" i="1"/>
  <c r="L68" i="1"/>
  <c r="L69" i="1"/>
  <c r="L70" i="1"/>
  <c r="M67" i="1"/>
  <c r="M68" i="1"/>
  <c r="M69" i="1"/>
  <c r="M70" i="1"/>
  <c r="N67" i="1"/>
  <c r="N68" i="1"/>
  <c r="N69" i="1"/>
  <c r="N70" i="1"/>
  <c r="O67" i="1"/>
  <c r="O68" i="1"/>
  <c r="O69" i="1"/>
  <c r="O70" i="1"/>
  <c r="P67" i="1"/>
  <c r="P68" i="1"/>
  <c r="P69" i="1"/>
  <c r="P70" i="1"/>
  <c r="Q67" i="1"/>
  <c r="Q68" i="1"/>
  <c r="Q69" i="1"/>
  <c r="Q70" i="1"/>
  <c r="R67" i="1"/>
  <c r="R68" i="1"/>
  <c r="R69" i="1"/>
  <c r="R70" i="1"/>
  <c r="S67" i="1"/>
  <c r="S68" i="1"/>
  <c r="S69" i="1"/>
  <c r="S70" i="1"/>
  <c r="T67" i="1"/>
  <c r="T68" i="1"/>
  <c r="T69" i="1"/>
  <c r="T70" i="1"/>
  <c r="U67" i="1"/>
  <c r="U68" i="1"/>
  <c r="U69" i="1"/>
  <c r="U70" i="1"/>
  <c r="V67" i="1"/>
  <c r="V68" i="1"/>
  <c r="V69" i="1"/>
  <c r="V70" i="1"/>
  <c r="W67" i="1"/>
  <c r="W68" i="1"/>
  <c r="W69" i="1"/>
  <c r="W70" i="1"/>
  <c r="X67" i="1"/>
  <c r="X68" i="1"/>
  <c r="X69" i="1"/>
  <c r="X70" i="1"/>
  <c r="Y67" i="1"/>
  <c r="Y68" i="1"/>
  <c r="Y69" i="1"/>
  <c r="Y70" i="1"/>
  <c r="Z67" i="1"/>
  <c r="Z68" i="1"/>
  <c r="Z69" i="1"/>
  <c r="Z70" i="1"/>
  <c r="AA67" i="1"/>
  <c r="AA68" i="1"/>
  <c r="AA69" i="1"/>
  <c r="AA70" i="1"/>
  <c r="AB67" i="1"/>
  <c r="AB68" i="1"/>
  <c r="AB69" i="1"/>
  <c r="AB70" i="1"/>
  <c r="AC67" i="1"/>
  <c r="AC68" i="1"/>
  <c r="AC69" i="1"/>
  <c r="AC70" i="1"/>
  <c r="AD67" i="1"/>
  <c r="AD68" i="1"/>
  <c r="AD69" i="1"/>
  <c r="AD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E65" i="1" l="1"/>
  <c r="E66" i="1"/>
  <c r="F66" i="1"/>
  <c r="G66" i="1"/>
  <c r="H66" i="1"/>
  <c r="I66" i="1"/>
  <c r="J66" i="1"/>
  <c r="K66" i="1"/>
  <c r="L66" i="1"/>
  <c r="M66" i="1"/>
  <c r="N66" i="1"/>
  <c r="O66" i="1"/>
  <c r="P66" i="1"/>
  <c r="Q66" i="1"/>
  <c r="E64"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P7" i="1"/>
  <c r="P8" i="1" s="1"/>
  <c r="P9" i="1" s="1"/>
  <c r="P10" i="1" s="1"/>
  <c r="Q5" i="1"/>
  <c r="E6" i="1"/>
  <c r="O6" i="1"/>
  <c r="I5" i="1"/>
  <c r="J5" i="1"/>
  <c r="N7" i="1"/>
  <c r="M5" i="1"/>
  <c r="F5" i="1"/>
  <c r="G6" i="1"/>
  <c r="H6" i="1"/>
  <c r="L7" i="1"/>
  <c r="K6" i="1"/>
  <c r="O7" i="1" l="1"/>
  <c r="P11" i="1"/>
  <c r="E7" i="1"/>
  <c r="Q6" i="1"/>
  <c r="J6" i="1"/>
  <c r="N8" i="1"/>
  <c r="F6" i="1"/>
  <c r="I6" i="1"/>
  <c r="G7" i="1"/>
  <c r="M6" i="1"/>
  <c r="H7" i="1"/>
  <c r="L8" i="1"/>
  <c r="K7" i="1"/>
  <c r="O8" i="1" l="1"/>
  <c r="O9" i="1" s="1"/>
  <c r="O10" i="1" s="1"/>
  <c r="P12" i="1"/>
  <c r="P13" i="1" s="1"/>
  <c r="P14" i="1" s="1"/>
  <c r="E8" i="1"/>
  <c r="E9" i="1" s="1"/>
  <c r="Q7" i="1"/>
  <c r="E10" i="1"/>
  <c r="J7" i="1"/>
  <c r="G8" i="1"/>
  <c r="N9" i="1"/>
  <c r="I7" i="1"/>
  <c r="F7" i="1"/>
  <c r="M7" i="1"/>
  <c r="H8" i="1"/>
  <c r="L9" i="1"/>
  <c r="K8" i="1"/>
  <c r="O11" i="1" l="1"/>
  <c r="O12" i="1" s="1"/>
  <c r="O13"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4" i="1" l="1"/>
  <c r="O15"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O16" i="1" l="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R66" i="1" s="1"/>
  <c r="M15" i="1"/>
  <c r="M16" i="1" s="1"/>
  <c r="M17" i="1" s="1"/>
  <c r="P59" i="1"/>
  <c r="P60" i="1" s="1"/>
  <c r="P61" i="1" s="1"/>
  <c r="P62" i="1" s="1"/>
  <c r="P63" i="1" s="1"/>
  <c r="P64" i="1" s="1"/>
  <c r="P65" i="1" s="1"/>
  <c r="AC66" i="1" s="1"/>
  <c r="J12" i="1"/>
  <c r="J13" i="1" s="1"/>
  <c r="J14" i="1" s="1"/>
  <c r="J15" i="1" s="1"/>
  <c r="J16" i="1" s="1"/>
  <c r="R61" i="1"/>
  <c r="Q58" i="1"/>
  <c r="N14" i="1"/>
  <c r="N15" i="1" s="1"/>
  <c r="O57" i="1"/>
  <c r="I15" i="1"/>
  <c r="I16" i="1" s="1"/>
  <c r="I17" i="1" s="1"/>
  <c r="H16" i="1"/>
  <c r="H17" i="1" s="1"/>
  <c r="K13" i="1"/>
  <c r="K14" i="1" s="1"/>
  <c r="L16" i="1"/>
  <c r="G14" i="1"/>
  <c r="R64" i="1" l="1"/>
  <c r="R65" i="1"/>
  <c r="R63" i="1"/>
  <c r="AC64" i="1"/>
  <c r="AC65" i="1"/>
  <c r="F16" i="1"/>
  <c r="F17" i="1" s="1"/>
  <c r="R62" i="1"/>
  <c r="R59" i="1"/>
  <c r="R57" i="1"/>
  <c r="R58" i="1"/>
  <c r="R56" i="1"/>
  <c r="R60" i="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G18" i="1"/>
  <c r="G19" i="1" s="1"/>
  <c r="G20" i="1" s="1"/>
  <c r="I27" i="1"/>
  <c r="M22" i="1"/>
  <c r="N21" i="1"/>
  <c r="N22" i="1" s="1"/>
  <c r="L19" i="1"/>
  <c r="L20" i="1" s="1"/>
  <c r="F21" i="1"/>
  <c r="AD62" i="1" l="1"/>
  <c r="Q63" i="1"/>
  <c r="Q64" i="1" s="1"/>
  <c r="Q65" i="1" s="1"/>
  <c r="AD66" i="1" s="1"/>
  <c r="O61" i="1"/>
  <c r="K28" i="1"/>
  <c r="K29" i="1" s="1"/>
  <c r="AD26" i="1"/>
  <c r="G21" i="1"/>
  <c r="G22" i="1" s="1"/>
  <c r="G23" i="1" s="1"/>
  <c r="H25" i="1"/>
  <c r="I28" i="1"/>
  <c r="M23" i="1"/>
  <c r="J25" i="1"/>
  <c r="N23" i="1"/>
  <c r="L21" i="1"/>
  <c r="F22" i="1"/>
  <c r="AD21" i="1" l="1"/>
  <c r="AD19" i="1"/>
  <c r="AD64" i="1"/>
  <c r="AD65" i="1"/>
  <c r="AD63" i="1"/>
  <c r="O62"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O63" i="1" l="1"/>
  <c r="O64" i="1" s="1"/>
  <c r="O65" i="1" s="1"/>
  <c r="AB66" i="1" s="1"/>
  <c r="AB59" i="1"/>
  <c r="AB56" i="1"/>
  <c r="AB58" i="1"/>
  <c r="AB61" i="1"/>
  <c r="AB64" i="1"/>
  <c r="AB65" i="1"/>
  <c r="AB63"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AB57" i="1" l="1"/>
  <c r="AB60"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W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H65" i="1" l="1"/>
  <c r="U66" i="1" s="1"/>
  <c r="W64" i="1"/>
  <c r="W65" i="1"/>
  <c r="U2" i="1"/>
  <c r="W46" i="1"/>
  <c r="W56" i="1"/>
  <c r="W47" i="1"/>
  <c r="W55" i="1"/>
  <c r="W39" i="1"/>
  <c r="W59" i="1"/>
  <c r="W54" i="1"/>
  <c r="W48" i="1"/>
  <c r="W44" i="1"/>
  <c r="W40" i="1"/>
  <c r="W60" i="1"/>
  <c r="W63" i="1"/>
  <c r="W50" i="1"/>
  <c r="W53" i="1"/>
  <c r="W52" i="1"/>
  <c r="W45" i="1"/>
  <c r="W41" i="1"/>
  <c r="W42" i="1"/>
  <c r="W43" i="1"/>
  <c r="W51" i="1"/>
  <c r="W49" i="1"/>
  <c r="W61" i="1"/>
  <c r="W57" i="1"/>
  <c r="W58" i="1"/>
  <c r="W62" i="1"/>
  <c r="W2" i="1"/>
  <c r="U61" i="1"/>
  <c r="I54" i="1"/>
  <c r="I55" i="1" s="1"/>
  <c r="I56" i="1" s="1"/>
  <c r="I57" i="1" s="1"/>
  <c r="I58" i="1" s="1"/>
  <c r="I59" i="1" s="1"/>
  <c r="I60" i="1" s="1"/>
  <c r="I61" i="1" s="1"/>
  <c r="I62" i="1" s="1"/>
  <c r="U49" i="1"/>
  <c r="F51" i="1"/>
  <c r="G47" i="1"/>
  <c r="K47" i="1"/>
  <c r="L35" i="1"/>
  <c r="M34" i="1"/>
  <c r="AB31" i="1"/>
  <c r="N32" i="1"/>
  <c r="N33" i="1" s="1"/>
  <c r="AC31" i="1"/>
  <c r="AB29" i="1"/>
  <c r="AC29" i="1"/>
  <c r="U46" i="1" l="1"/>
  <c r="U53" i="1"/>
  <c r="U42" i="1"/>
  <c r="U62" i="1"/>
  <c r="U39" i="1"/>
  <c r="U41" i="1"/>
  <c r="U44" i="1"/>
  <c r="U47" i="1"/>
  <c r="U56" i="1"/>
  <c r="U58" i="1"/>
  <c r="U65" i="1"/>
  <c r="U43" i="1"/>
  <c r="U40" i="1"/>
  <c r="U48" i="1"/>
  <c r="U51" i="1"/>
  <c r="U55" i="1"/>
  <c r="U50" i="1"/>
  <c r="U54" i="1"/>
  <c r="U45" i="1"/>
  <c r="U52" i="1"/>
  <c r="U60" i="1"/>
  <c r="U59" i="1"/>
  <c r="U57" i="1"/>
  <c r="U63" i="1"/>
  <c r="U64" i="1"/>
  <c r="I63" i="1"/>
  <c r="I64" i="1" s="1"/>
  <c r="I65" i="1" s="1"/>
  <c r="V66" i="1" s="1"/>
  <c r="F52" i="1"/>
  <c r="AD36" i="1"/>
  <c r="G48" i="1"/>
  <c r="K48" i="1"/>
  <c r="L36" i="1"/>
  <c r="M35" i="1"/>
  <c r="AC17" i="1"/>
  <c r="N34" i="1"/>
  <c r="N35" i="1" s="1"/>
  <c r="N36" i="1" s="1"/>
  <c r="N37" i="1" s="1"/>
  <c r="N38" i="1" s="1"/>
  <c r="N39" i="1" s="1"/>
  <c r="N40" i="1" s="1"/>
  <c r="N41" i="1" s="1"/>
  <c r="N42" i="1" s="1"/>
  <c r="AB17" i="1"/>
  <c r="V51" i="1" l="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2" i="1"/>
  <c r="AB38" i="1"/>
  <c r="AB41" i="1"/>
  <c r="AB39" i="1"/>
  <c r="AB42" i="1"/>
  <c r="K51" i="1"/>
  <c r="G50" i="1"/>
  <c r="AD38" i="1"/>
  <c r="AC43" i="1"/>
  <c r="N44" i="1"/>
  <c r="AB43" i="1"/>
  <c r="L38" i="1"/>
  <c r="L39" i="1" s="1"/>
  <c r="AC33" i="1"/>
  <c r="AB33" i="1"/>
  <c r="M37" i="1"/>
  <c r="F65" i="1" l="1"/>
  <c r="S66" i="1" s="1"/>
  <c r="S50" i="1"/>
  <c r="S42" i="1"/>
  <c r="S57" i="1"/>
  <c r="K52" i="1"/>
  <c r="K53" i="1" s="1"/>
  <c r="G51" i="1"/>
  <c r="AD39" i="1"/>
  <c r="AC35" i="1"/>
  <c r="AC23" i="1"/>
  <c r="AB46" i="1"/>
  <c r="N45" i="1"/>
  <c r="AC44" i="1"/>
  <c r="L40" i="1"/>
  <c r="M38" i="1"/>
  <c r="M39" i="1" s="1"/>
  <c r="M40" i="1" s="1"/>
  <c r="S47" i="1" l="1"/>
  <c r="S56" i="1"/>
  <c r="S51" i="1"/>
  <c r="S59" i="1"/>
  <c r="S43" i="1"/>
  <c r="S44" i="1"/>
  <c r="S60" i="1"/>
  <c r="S39" i="1"/>
  <c r="S64" i="1"/>
  <c r="S58" i="1"/>
  <c r="S61" i="1"/>
  <c r="S62" i="1"/>
  <c r="S41" i="1"/>
  <c r="S40" i="1"/>
  <c r="S55" i="1"/>
  <c r="S46" i="1"/>
  <c r="S45" i="1"/>
  <c r="S63" i="1"/>
  <c r="S48" i="1"/>
  <c r="S49" i="1"/>
  <c r="S65" i="1"/>
  <c r="S53" i="1"/>
  <c r="S52" i="1"/>
  <c r="S54" i="1"/>
  <c r="N46" i="1"/>
  <c r="N47" i="1" s="1"/>
  <c r="N48" i="1" s="1"/>
  <c r="G52" i="1"/>
  <c r="K54" i="1"/>
  <c r="K55" i="1" s="1"/>
  <c r="K56" i="1" s="1"/>
  <c r="K57" i="1" s="1"/>
  <c r="K58" i="1" s="1"/>
  <c r="K59" i="1" s="1"/>
  <c r="K60" i="1" s="1"/>
  <c r="K61" i="1" s="1"/>
  <c r="K62" i="1" s="1"/>
  <c r="K63" i="1" s="1"/>
  <c r="K64" i="1" s="1"/>
  <c r="K65" i="1" s="1"/>
  <c r="X66" i="1" s="1"/>
  <c r="AC47" i="1"/>
  <c r="AB23" i="1"/>
  <c r="AC46" i="1"/>
  <c r="AB47" i="1"/>
  <c r="M41" i="1"/>
  <c r="L41" i="1"/>
  <c r="X64" i="1" l="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AA66"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4" i="1" l="1"/>
  <c r="AA65" i="1"/>
  <c r="T2" i="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M54" i="1"/>
  <c r="M55" i="1" s="1"/>
  <c r="L51" i="1"/>
  <c r="L52" i="1" s="1"/>
  <c r="L53" i="1" s="1"/>
  <c r="G65" i="1" l="1"/>
  <c r="T30" i="1" s="1"/>
  <c r="T4" i="1"/>
  <c r="T52" i="1"/>
  <c r="T42" i="1"/>
  <c r="T3" i="1"/>
  <c r="T5" i="1"/>
  <c r="T41" i="1"/>
  <c r="T54" i="1"/>
  <c r="T39" i="1"/>
  <c r="T36" i="1"/>
  <c r="T50" i="1"/>
  <c r="T43" i="1"/>
  <c r="T56" i="1"/>
  <c r="T55" i="1"/>
  <c r="T65" i="1"/>
  <c r="M56" i="1"/>
  <c r="M57" i="1" s="1"/>
  <c r="L54" i="1"/>
  <c r="T29" i="1" l="1"/>
  <c r="T24" i="1"/>
  <c r="T9" i="1"/>
  <c r="T34" i="1"/>
  <c r="T12" i="1"/>
  <c r="T16" i="1"/>
  <c r="T37" i="1"/>
  <c r="T14" i="1"/>
  <c r="T60" i="1"/>
  <c r="T51" i="1"/>
  <c r="T21" i="1"/>
  <c r="T48" i="1"/>
  <c r="T6" i="1"/>
  <c r="T19" i="1"/>
  <c r="T66" i="1"/>
  <c r="T64" i="1"/>
  <c r="T22" i="1"/>
  <c r="T49" i="1"/>
  <c r="T11" i="1"/>
  <c r="T35" i="1"/>
  <c r="T45" i="1"/>
  <c r="T23" i="1"/>
  <c r="T61" i="1"/>
  <c r="T57" i="1"/>
  <c r="T28" i="1"/>
  <c r="T58" i="1"/>
  <c r="T17" i="1"/>
  <c r="T31" i="1"/>
  <c r="T15" i="1"/>
  <c r="T40" i="1"/>
  <c r="T8" i="1"/>
  <c r="T38" i="1"/>
  <c r="T44" i="1"/>
  <c r="T53" i="1"/>
  <c r="T46" i="1"/>
  <c r="T47" i="1"/>
  <c r="T59" i="1"/>
  <c r="T7" i="1"/>
  <c r="T18" i="1"/>
  <c r="T25" i="1"/>
  <c r="T20" i="1"/>
  <c r="T26" i="1"/>
  <c r="T62" i="1"/>
  <c r="T10" i="1"/>
  <c r="T27" i="1"/>
  <c r="T33" i="1"/>
  <c r="T32" i="1"/>
  <c r="T13" i="1"/>
  <c r="T63" i="1"/>
  <c r="M58" i="1"/>
  <c r="M59" i="1" s="1"/>
  <c r="M60" i="1" s="1"/>
  <c r="Z2" i="1"/>
  <c r="L55" i="1"/>
  <c r="L56" i="1" s="1"/>
  <c r="L57" i="1" s="1"/>
  <c r="L58" i="1" s="1"/>
  <c r="L59" i="1" s="1"/>
  <c r="L60" i="1" s="1"/>
  <c r="L61" i="1" s="1"/>
  <c r="L62" i="1" s="1"/>
  <c r="L63" i="1" s="1"/>
  <c r="L64" i="1" s="1"/>
  <c r="L65" i="1" s="1"/>
  <c r="Y66" i="1" s="1"/>
  <c r="Y64" i="1" l="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Z66" i="1" s="1"/>
  <c r="Z24" i="1"/>
  <c r="Z31" i="1"/>
  <c r="Z12" i="1"/>
  <c r="Z21" i="1"/>
  <c r="Z23" i="1"/>
  <c r="Z33" i="1"/>
  <c r="Z56" i="1"/>
  <c r="Z47" i="1"/>
  <c r="Z32" i="1"/>
  <c r="Z26" i="1"/>
  <c r="Z6" i="1" l="1"/>
  <c r="Z4" i="1"/>
  <c r="Z41" i="1"/>
  <c r="Z25" i="1"/>
  <c r="Z36" i="1"/>
  <c r="Z53" i="1"/>
  <c r="Z48" i="1"/>
  <c r="Z27" i="1"/>
  <c r="Z46" i="1"/>
  <c r="Z49" i="1"/>
  <c r="Z13" i="1"/>
  <c r="Z17" i="1"/>
  <c r="Z29" i="1"/>
  <c r="Z38" i="1"/>
  <c r="Z22" i="1"/>
  <c r="Z64" i="1"/>
  <c r="Z65" i="1"/>
  <c r="Z59" i="1"/>
  <c r="Z63" i="1"/>
  <c r="Z40" i="1"/>
  <c r="Z19" i="1"/>
  <c r="Z39" i="1"/>
  <c r="Z14" i="1"/>
  <c r="Z54" i="1"/>
  <c r="Z20" i="1"/>
  <c r="Z51" i="1"/>
  <c r="Z28" i="1"/>
  <c r="Z7" i="1"/>
  <c r="Z55" i="1"/>
  <c r="Z50" i="1"/>
  <c r="Z8" i="1"/>
  <c r="Z60" i="1"/>
  <c r="Z34" i="1"/>
  <c r="Z57" i="1"/>
  <c r="Z18" i="1"/>
  <c r="Z30" i="1"/>
  <c r="Z10" i="1"/>
  <c r="Z37" i="1"/>
  <c r="Z42" i="1"/>
  <c r="Z35" i="1"/>
  <c r="Z3" i="1"/>
  <c r="Z58" i="1"/>
  <c r="Z43" i="1"/>
  <c r="Z9" i="1"/>
  <c r="Z61" i="1"/>
  <c r="Z16" i="1"/>
  <c r="Z45" i="1"/>
  <c r="Z44" i="1"/>
  <c r="Z52" i="1"/>
  <c r="Z15" i="1"/>
  <c r="Z62" i="1"/>
  <c r="Z5" i="1"/>
  <c r="Z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Андрей Щербаков</author>
  </authors>
  <commentList>
    <comment ref="B8" authorId="0" shapeId="0" xr:uid="{00000000-0006-0000-0000-00000100000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Ангиограф Экстренный</author>
  </authors>
  <commentList>
    <comment ref="C8" authorId="0" shapeId="0" xr:uid="{00000000-0006-0000-0100-000001000000}">
      <text>
        <r>
          <rPr>
            <sz val="9"/>
            <color indexed="81"/>
            <rFont val="Tahoma"/>
            <family val="2"/>
            <charset val="204"/>
          </rPr>
          <t xml:space="preserve">Выбрать:
</t>
        </r>
      </text>
    </comment>
    <comment ref="F8" authorId="0" shapeId="0" xr:uid="{00000000-0006-0000-0100-000002000000}">
      <text>
        <r>
          <rPr>
            <sz val="9"/>
            <color indexed="81"/>
            <rFont val="Tahoma"/>
            <family val="2"/>
            <charset val="204"/>
          </rPr>
          <t>Выбрать</t>
        </r>
        <r>
          <rPr>
            <b/>
            <sz val="9"/>
            <color indexed="81"/>
            <rFont val="Tahoma"/>
            <family val="2"/>
            <charset val="204"/>
          </rPr>
          <t xml:space="preserve">:
</t>
        </r>
      </text>
    </comment>
    <comment ref="G8" authorId="0" shapeId="0" xr:uid="{00000000-0006-0000-0100-000003000000}">
      <text>
        <r>
          <rPr>
            <sz val="9"/>
            <color indexed="81"/>
            <rFont val="Tahoma"/>
            <family val="2"/>
            <charset val="204"/>
          </rPr>
          <t>Выбрать:</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<sst xmlns="http://schemas.openxmlformats.org/spreadsheetml/2006/main" count="872" uniqueCount="526">
  <si>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</si>
  <si>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</si>
  <si>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</si>
  <si>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</si>
  <si>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</si>
  <si>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</si>
  <si>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</si>
  <si>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</si>
  <si>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</si>
  <si>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</si>
  <si>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</si>
  <si>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</si>
  <si>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</si>
  <si>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</si>
  <si>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</si>
  <si>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</si>
  <si>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</si>
  <si>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</si>
  <si>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</si>
  <si>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</si>
  <si>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</si>
  <si>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</si>
  <si>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</si>
  <si>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</si>
  <si>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</si>
  <si>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</si>
  <si>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</si>
  <si>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</si>
  <si>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</si>
  <si>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</si>
  <si>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</si>
  <si>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</si>
  <si>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</si>
  <si>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</si>
  <si>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</si>
  <si>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</si>
  <si>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</si>
  <si>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</si>
  <si>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</si>
  <si>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</si>
  <si>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</si>
  <si>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</si>
  <si>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</si>
  <si>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</si>
  <si>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</si>
  <si>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</si>
  <si>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</si>
  <si>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</si>
  <si>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</si>
  <si>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</si>
  <si>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</si>
  <si>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</si>
  <si>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</si>
  <si>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</si>
  <si>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</si>
  <si>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</si>
  <si>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</si>
  <si>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</si>
  <si>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</si>
  <si>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</si>
  <si>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</si>
  <si>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</si>
  <si>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</si>
  <si>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</si>
  <si>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</si>
  <si>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</si>
  <si>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</si>
  <si>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</si>
  <si>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</si>
  <si>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</si>
  <si>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</si>
  <si>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</si>
  <si>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</si>
  <si>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</si>
  <si>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</si>
  <si>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</si>
  <si>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</si>
  <si>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</si>
  <si>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</si>
  <si>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</si>
  <si>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</si>
  <si>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</si>
  <si>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</si>
  <si>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</si>
  <si>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</si>
  <si>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</si>
  <si>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</si>
  <si>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</si>
  <si>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</si>
  <si>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</si>
  <si>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</si>
  <si>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</si>
  <si>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</si>
  <si>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</si>
  <si>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</si>
  <si>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</si>
  <si>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</si>
  <si>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</si>
  <si>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</si>
  <si>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</si>
  <si>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</si>
  <si>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</si>
  <si>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</si>
  <si>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</si>
  <si>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</si>
  <si>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</si>
  <si>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</si>
  <si>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</si>
  <si>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</si>
  <si>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</si>
  <si>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</si>
  <si>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</si>
  <si>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</si>
  <si>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</si>
  <si>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</si>
  <si>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</si>
  <si>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</si>
  <si>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</si>
  <si>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</si>
  <si>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</si>
  <si>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</si>
  <si>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</si>
  <si>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</si>
  <si>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</si>
  <si>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</si>
  <si>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</si>
  <si>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</si>
  <si>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</si>
  <si>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</si>
  <si>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</si>
  <si>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</si>
  <si>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</si>
  <si>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</si>
  <si>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</si>
  <si>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</si>
  <si>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</si>
  <si>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</si>
  <si>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</si>
  <si>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</si>
  <si>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</si>
  <si>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</si>
  <si>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</si>
  <si>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</si>
  <si>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</si>
  <si>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</si>
  <si>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</si>
  <si>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</si>
  <si>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</si>
  <si>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</si>
  <si>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</si>
  <si>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</si>
  <si>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</si>
  <si>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</si>
  <si>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</si>
  <si>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</si>
  <si>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</si>
  <si>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</si>
  <si>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</si>
  <si>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</si>
  <si>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</si>
  <si>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</si>
  <si>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</si>
  <si>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</si>
  <si>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</si>
  <si>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</si>
  <si>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</si>
  <si>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</si>
  <si>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</si>
  <si>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</si>
  <si>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</si>
  <si>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</si>
  <si>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</si>
  <si>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</si>
  <si>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</si>
  <si>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</si>
  <si>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</si>
  <si>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</si>
  <si>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</si>
  <si>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</si>
  <si>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</si>
  <si>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</si>
  <si>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</si>
  <si>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</si>
  <si>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</si>
  <si>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</si>
  <si>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</si>
  <si>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</si>
  <si>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</si>
  <si>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</si>
  <si>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</si>
  <si>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</si>
  <si>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</si>
  <si>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</si>
  <si>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</si>
  <si>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</si>
  <si>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</si>
  <si>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</si>
  <si>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</si>
  <si>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</si>
  <si>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</si>
  <si>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</si>
  <si>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</si>
  <si>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</si>
  <si>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</si>
  <si>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</si>
  <si>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</si>
  <si>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</si>
  <si>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</si>
  <si>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</si>
  <si>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</si>
  <si>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</si>
  <si>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</si>
  <si>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</si>
  <si>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</si>
  <si>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</si>
  <si>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</si>
  <si>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</si>
  <si>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</si>
  <si>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</si>
  <si>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</si>
  <si>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</si>
  <si>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</si>
  <si>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</si>
  <si>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</si>
  <si>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</si>
  <si>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</si>
  <si>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</si>
  <si>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</si>
  <si>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</si>
  <si>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</si>
  <si>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</si>
  <si>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</si>
  <si>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</si>
  <si>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</si>
  <si>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</si>
  <si>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</si>
  <si>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</si>
  <si>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</si>
  <si>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</si>
  <si>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</si>
  <si>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</si>
  <si>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</si>
  <si>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</si>
  <si>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</si>
  <si>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</si>
  <si>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</si>
  <si>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</si>
  <si>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</si>
  <si>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</si>
  <si>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</si>
  <si>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</si>
  <si>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</si>
  <si>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</si>
  <si>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</si>
  <si>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</si>
  <si>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</si>
  <si>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</si>
  <si>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</si>
  <si>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</si>
  <si>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</si>
  <si>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</si>
  <si>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</si>
  <si>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</si>
  <si>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</si>
  <si>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</si>
  <si>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</si>
  <si>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</si>
  <si>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</si>
  <si>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</si>
  <si>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</si>
  <si>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</si>
  <si>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</si>
  <si>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</si>
  <si>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</si>
  <si>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</si>
  <si>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</si>
  <si>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</si>
  <si>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</si>
  <si>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</si>
  <si>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</si>
  <si>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</si>
  <si>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</si>
  <si>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</si>
  <si>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</si>
  <si>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</si>
  <si>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</si>
  <si>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</si>
  <si>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</si>
  <si>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</si>
  <si>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</si>
  <si>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</si>
  <si>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</si>
  <si>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</si>
  <si>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</si>
  <si>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</si>
  <si>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</si>
  <si>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</si>
  <si>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</si>
  <si>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</si>
  <si>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</si>
  <si>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</si>
  <si>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</si>
  <si>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</si>
  <si>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</si>
  <si>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</si>
  <si>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</si>
  <si>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</si>
  <si>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</si>
  <si>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</si>
  <si>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</si>
  <si>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</si>
  <si>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</si>
  <si>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</si>
  <si>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</si>
  <si>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</si>
  <si>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</si>
  <si>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</si>
  <si>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</si>
  <si>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</si>
  <si>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</si>
  <si>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</si>
  <si>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</si>
  <si>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</si>
  <si>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</si>
  <si>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</si>
  <si>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</si>
  <si>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</si>
  <si>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</si>
  <si>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</si>
  <si>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</si>
  <si>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</si>
  <si>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</si>
  <si>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</si>
  <si>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</si>
  <si>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</si>
  <si>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</si>
  <si>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</si>
  <si>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</si>
  <si>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</si>
  <si>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</si>
  <si>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</si>
  <si>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</si>
  <si>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</si>
  <si>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</si>
  <si>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</si>
  <si>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</si>
  <si>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</si>
  <si>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</si>
  <si>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</si>
  <si>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</si>
  <si>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</si>
  <si>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</si>
  <si>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</si>
  <si>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</si>
  <si>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</si>
  <si>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</si>
  <si>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</si>
  <si>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</si>
  <si>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</si>
  <si>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</si>
  <si>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</si>
  <si>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</si>
  <si>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</si>
  <si>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</si>
  <si>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</si>
  <si>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</si>
  <si>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</si>
  <si>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</si>
  <si>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</si>
  <si>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</si>
  <si>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</si>
  <si>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</si>
  <si>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</si>
  <si>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</si>
  <si>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</si>
  <si>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</si>
  <si>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</si>
  <si>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</si>
  <si>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</si>
  <si>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</si>
  <si>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</si>
  <si>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</si>
  <si>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</si>
  <si>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</si>
  <si>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</si>
  <si>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</si>
  <si>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</si>
  <si>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</si>
  <si>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</si>
  <si>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</si>
  <si>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</si>
  <si>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</si>
  <si>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</si>
  <si>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</si>
  <si>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</si>
  <si>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</si>
  <si>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</si>
  <si>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</si>
  <si>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</si>
  <si>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</si>
  <si>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</si>
  <si>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</si>
  <si>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</si>
  <si>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</si>
  <si>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r>
      <rPr>
        <sz val="11"/>
        <color theme="1"/>
        <rFont val="Calibri"/>
        <family val="2"/>
        <charset val="204"/>
        <scheme val="minor"/>
      </rPr>
      <t>Контроль места пункции, повязка  на руке до 6 ч.</t>
    </r>
    <r>
      <rPr>
        <u/>
        <sz val="11"/>
        <color theme="1"/>
        <rFont val="Calibri"/>
        <family val="2"/>
        <charset val="204"/>
        <scheme val="minor"/>
      </rPr>
      <t xml:space="preserve"> </t>
    </r>
  </si>
  <si>
    <t>Правый</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</si>
  <si>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</si>
  <si>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</si>
  <si>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</si>
  <si>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</si>
  <si>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</si>
  <si>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</si>
  <si>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</si>
  <si>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</si>
  <si>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</si>
  <si>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</si>
  <si>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</si>
  <si>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</si>
  <si>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</si>
  <si>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</si>
  <si>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</si>
  <si>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</si>
  <si>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</si>
  <si>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</si>
  <si>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</si>
  <si>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</si>
  <si>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</si>
  <si>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</si>
  <si>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</si>
  <si>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</si>
  <si>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</si>
  <si>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</si>
  <si>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</si>
  <si>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</si>
  <si>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</si>
  <si>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</si>
  <si>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</si>
  <si>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</si>
  <si>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</si>
  <si>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</si>
  <si>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</si>
  <si>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</si>
  <si>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</si>
  <si>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</si>
  <si>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</si>
  <si>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</si>
  <si>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</si>
  <si>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</si>
  <si>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</si>
  <si>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</si>
  <si>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</si>
  <si>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</si>
  <si>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</si>
  <si>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</si>
  <si>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</si>
  <si>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</si>
  <si>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</si>
  <si>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</si>
  <si>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</si>
  <si>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</si>
  <si>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</si>
  <si>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</si>
  <si>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</si>
  <si>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</si>
  <si>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</si>
  <si>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</si>
  <si>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</si>
  <si>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</si>
  <si>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</si>
  <si>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</si>
  <si>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</si>
  <si>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</si>
  <si>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</si>
  <si>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</si>
  <si>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</si>
  <si>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</si>
  <si>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</si>
  <si>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</si>
  <si>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</si>
  <si>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</si>
  <si>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</si>
  <si>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</si>
  <si>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</si>
  <si>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</si>
  <si>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</si>
  <si>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</si>
  <si>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</si>
  <si>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</si>
  <si>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</si>
  <si>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</si>
  <si>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</si>
  <si>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</si>
  <si>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</si>
  <si>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</si>
  <si>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</si>
  <si>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</si>
  <si>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</si>
  <si>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</si>
  <si>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</si>
  <si>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</si>
  <si>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</si>
  <si>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</si>
  <si>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</si>
  <si>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</si>
  <si>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</si>
  <si>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</si>
  <si>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</si>
  <si>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</si>
  <si>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</si>
  <si>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</si>
  <si>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</si>
  <si>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</si>
  <si>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лучевой</t>
  </si>
  <si>
    <t>Соболева Ю.А.</t>
  </si>
  <si>
    <t>"МИМ". Тюмень</t>
  </si>
  <si>
    <t>Совместно с д/кардиологом: с учетом клинических данных, ЭКГ и КАГ рекомендована ЧТКА ПНА.</t>
  </si>
  <si>
    <t>100 ml</t>
  </si>
  <si>
    <t>400 ml</t>
  </si>
  <si>
    <t>31:30</t>
  </si>
  <si>
    <t>Разживин Н.И.</t>
  </si>
  <si>
    <t>неровности контуров устья и тела ствола ЛКА, нестабильный стеноз дист/3 40%.</t>
  </si>
  <si>
    <t>субтотальная тромботическая окклюзия на уровне устья ПНА, TTG3, стеноз пркосимального сегмента 70%, стеноз среднего сегмента до 50%. Стенозь устья ДВ 70%.  Антеградный кровоток TIMI 0, TTG3, Rentrop 0.</t>
  </si>
  <si>
    <t>стеноз устья до 30%, пролонгированный стеноз среднего сегмента 60%, стеноз дистального сегмента 70%.   Антеградный кровоток TIMI III</t>
  </si>
  <si>
    <t>хроническая тотальная окклюзия на уровне проксимального сегмента.  Антеградный кровоток TIMI 0. Нефункционирующие коллатерали за счёт окклюзии ПНА (артерия - донор). После восстановления антеградного кровотока определяются выраженные коллатерали с ретроградным контрастированием ЗБВ и ЗМЖВ ПКА.</t>
  </si>
  <si>
    <t>150 ml</t>
  </si>
  <si>
    <t xml:space="preserve">Устье ЛКА катетеризировано проводниковым катетером Launcher JL 3,5 6Fr с последующей катетеризацией проводниковым катетером Launcher EBU 3,5 для обеспечения наиболее оптимальной поддержки гайд-катера в устье ствола ЛКА. Коронарный проводник Fielder заведен  в дистальный сегмент ПНА. Реканализация артерии выполнена аспирационным катетером Hunter 6F, получены фрагменты тромба 1-2 мм.  В зону проксимального сегмента позиционирован и имплантирован  DES Resolute Integtity 3.0-22 мм, давлением 14 атм. В зону проксимального сегмента с покрытием ствола ЛКА и полным покрытием устья ПНА имплантирован DES Resolute Integtity 3.5-18 мм, давлением 14 атм. С учетом коронарного первичного существенного тромбоза и выполнения ЧКВ в зоне бифуркации ствола ЛКА принято решение в пользу ведения эптифибатида (1 флакон). Постдилатация и оптимизация стента в стволе ЛКА БК  Accuforce  4.0-12, давлением 18 атм. Рекроссинг проводника в ОА. Длительное и сложное проведение через ячейку стента в ОА БК Колибри 1.5-15 и Колибри 2.0-15. Успешная дилатация ячейки стента в устье ОА. Далее выполнена последовательная ангиопластика зоны бифуркации ствола ЛКА методом main-said-main, дилатация устья ОА БК Accuforce  3.0-12, давлением 12 атм и постдилатация ствола ЛКА БК Accuforce  4.0-12, давлением 14 атм.   На контрольных съемках стенты раскрыты удовлетворительно, признаков диссекций, тромбоза, экстравазации не выявлено. Антеградный кровоток по ПНА восстановлен до TIMI III, устье ДВ нескомпрометировано, кровоток TIMI III. Резидуальный стеноз устья ОА до 30%, признаков диссекции и тромбоза не выявлено, кровоток сохранён, TIMI III. Ангиографический результат удовлетворительный. Пациент в стабильном состоянии транспортируется в ПРИТ для дальнейшего наблюдения и лечения.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</si>
</sst>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F800]dddd\,\ mmmm\ dd\,\ yyyy"/>
    <numFmt numFmtId="165" formatCode="h:mm;@"/>
    <numFmt numFmtId="166" formatCode="&quot;&quot;&quot;&quot;"/>
  </numFmts>
  <fonts count="7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9"/>
      <color theme="1"/>
      <name val="Calibri"/>
      <family val="2"/>
      <scheme val="min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41"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5"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4"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4"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5"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4"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5"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6"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22" fillId="8" borderId="18" xfId="6" applyFont="1" applyBorder="1" applyAlignment="1" applyProtection="1">
      <alignment horizontal="left" vertical="center"/>
      <protection locked="0"/>
    </xf>
    <xf numFmtId="0" fontId="45" fillId="8" borderId="16" xfId="6" applyFont="1" applyBorder="1" applyAlignment="1" applyProtection="1">
      <alignment horizontal="left" vertical="center"/>
      <protection locked="0"/>
    </xf>
    <xf numFmtId="0" fontId="22" fillId="8" borderId="18" xfId="6" applyFont="1" applyBorder="1" applyAlignment="1" applyProtection="1">
      <alignment horizontal="left" vertical="center"/>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26" fillId="0" borderId="12" xfId="0" applyFont="1" applyBorder="1" applyAlignment="1" applyProtection="1">
      <alignment horizontal="justify" vertical="top" wrapText="1"/>
      <protection locked="0"/>
    </xf>
    <xf numFmtId="0" fontId="70" fillId="0" borderId="0" xfId="0" applyFont="1" applyAlignment="1">
      <alignment horizontal="justify" vertical="top" wrapText="1"/>
    </xf>
    <xf numFmtId="0" fontId="70" fillId="0" borderId="13" xfId="0" applyFont="1" applyBorder="1" applyAlignment="1">
      <alignment horizontal="justify" vertical="top" wrapText="1"/>
    </xf>
    <xf numFmtId="0" fontId="70" fillId="0" borderId="12" xfId="0" applyFont="1" applyBorder="1" applyAlignment="1">
      <alignment horizontal="justify" vertical="top" wrapText="1"/>
    </xf>
  </cellXfs>
  <cellStyles count="8">
    <cellStyle name="1" xfId="1" xr:uid="{00000000-0005-0000-0000-000000000000}"/>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xr:uid="{00000000-0005-0000-0000-000006000000}"/>
    <cellStyle name="Стиль 1" xfId="2" xr:uid="{00000000-0005-0000-0000-000007000000}"/>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4"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97153</xdr:colOff>
      <xdr:row>40</xdr:row>
      <xdr:rowOff>57150</xdr:rowOff>
    </xdr:from>
    <xdr:to>
      <xdr:col>1</xdr:col>
      <xdr:colOff>906780</xdr:colOff>
      <xdr:row>49</xdr:row>
      <xdr:rowOff>41198</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153" y="7762875"/>
          <a:ext cx="2066927" cy="161282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Опер.Бригада" displayName="Опер.Бригада" ref="D9:H13" headerRowCount="0" totalsRowShown="0" headerRowDxfId="117" dataDxfId="116" tableBorderDxfId="115" totalsRowBorderDxfId="114">
  <tableColumns count="5">
    <tableColumn id="1" xr3:uid="{00000000-0010-0000-0000-000001000000}" name="Должность" headerRowDxfId="113" dataDxfId="112"/>
    <tableColumn id="5" xr3:uid="{00000000-0010-0000-0000-000005000000}" name="Столбец2" headerRowDxfId="111" dataDxfId="110"/>
    <tableColumn id="4" xr3:uid="{00000000-0010-0000-0000-000004000000}" name="Столбец1" headerRowDxfId="109" dataDxfId="108"/>
    <tableColumn id="2" xr3:uid="{00000000-0010-0000-0000-000002000000}" name="Бригада_1" headerRowDxfId="107" dataDxfId="106"/>
    <tableColumn id="3" xr3:uid="{00000000-0010-0000-0000-000003000000}" name="Бригада_2" headerRowDxfId="105" dataDxfId="10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Код.Модели" displayName="Код.Модели" ref="F2:T9" headerRowCount="0" totalsRowShown="0" headerRowCellStyle="Обычный" dataCellStyle="Обычный">
  <tableColumns count="15">
    <tableColumn id="1" xr3:uid="{00000000-0010-0000-0900-000001000000}" name="Диагноз" dataCellStyle="Обычный"/>
    <tableColumn id="2" xr3:uid="{00000000-0010-0000-0900-000002000000}" name="Код модели" dataDxfId="60" dataCellStyle="Обычный"/>
    <tableColumn id="3" xr3:uid="{00000000-0010-0000-0900-000003000000}" name="Стент3" dataDxfId="59" dataCellStyle="Обычный"/>
    <tableColumn id="4" xr3:uid="{00000000-0010-0000-0900-000004000000}" name="Стент4" dataDxfId="58" dataCellStyle="Обычный"/>
    <tableColumn id="5" xr3:uid="{00000000-0010-0000-0900-000005000000}" name="Стент5" dataDxfId="57" dataCellStyle="Обычный"/>
    <tableColumn id="6" xr3:uid="{00000000-0010-0000-0900-000006000000}" name="Стент6" dataDxfId="56" dataCellStyle="Обычный"/>
    <tableColumn id="7" xr3:uid="{00000000-0010-0000-0900-000007000000}" name="Стент7" dataDxfId="55" dataCellStyle="Обычный"/>
    <tableColumn id="8" xr3:uid="{00000000-0010-0000-0900-000008000000}" name="Стент8" dataDxfId="54" dataCellStyle="Обычный"/>
    <tableColumn id="9" xr3:uid="{00000000-0010-0000-0900-000009000000}" name="Стент9" dataDxfId="53" dataCellStyle="Обычный"/>
    <tableColumn id="10" xr3:uid="{00000000-0010-0000-0900-00000A000000}" name="Стент10" dataDxfId="52" dataCellStyle="Обычный"/>
    <tableColumn id="11" xr3:uid="{00000000-0010-0000-0900-00000B000000}" name="Стент11" dataDxfId="51" dataCellStyle="Обычный"/>
    <tableColumn id="12" xr3:uid="{00000000-0010-0000-0900-00000C000000}" name="Стент12" dataDxfId="50" dataCellStyle="Обычный"/>
    <tableColumn id="13" xr3:uid="{00000000-0010-0000-0900-00000D000000}" name="Стент13" dataDxfId="49" dataCellStyle="Обычный"/>
    <tableColumn id="14" xr3:uid="{00000000-0010-0000-0900-00000E000000}" name="Стент14" dataDxfId="48" dataCellStyle="Обычный"/>
    <tableColumn id="15" xr3:uid="{00000000-0010-0000-0900-00000F000000}"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Код.Метода" displayName="Код.Метода" ref="F12:T15" headerRowCount="0" totalsRowShown="0" dataDxfId="46">
  <tableColumns count="15">
    <tableColumn id="1" xr3:uid="{00000000-0010-0000-0A00-000001000000}" name="Диагноз"/>
    <tableColumn id="2" xr3:uid="{00000000-0010-0000-0A00-000002000000}" name="Код метода" dataDxfId="45"/>
    <tableColumn id="3" xr3:uid="{00000000-0010-0000-0A00-000003000000}" name="Стенты" dataDxfId="44"/>
    <tableColumn id="4" xr3:uid="{00000000-0010-0000-0A00-000004000000}" name="Стенты2" dataDxfId="43"/>
    <tableColumn id="5" xr3:uid="{00000000-0010-0000-0A00-000005000000}" name="Стенты3" dataDxfId="42"/>
    <tableColumn id="6" xr3:uid="{00000000-0010-0000-0A00-000006000000}" name="Стенты4" dataDxfId="41"/>
    <tableColumn id="7" xr3:uid="{00000000-0010-0000-0A00-000007000000}" name="Стенты5" dataDxfId="40"/>
    <tableColumn id="8" xr3:uid="{00000000-0010-0000-0A00-000008000000}" name="Стенты6" dataDxfId="39"/>
    <tableColumn id="9" xr3:uid="{00000000-0010-0000-0A00-000009000000}" name="Стенты7" dataDxfId="38"/>
    <tableColumn id="10" xr3:uid="{00000000-0010-0000-0A00-00000A000000}" name="Стенты8" dataDxfId="37"/>
    <tableColumn id="11" xr3:uid="{00000000-0010-0000-0A00-00000B000000}" name="Стенты9" dataDxfId="36"/>
    <tableColumn id="12" xr3:uid="{00000000-0010-0000-0A00-00000C000000}" name="Стенты10" dataDxfId="35"/>
    <tableColumn id="13" xr3:uid="{00000000-0010-0000-0A00-00000D000000}" name="Стенты11" dataDxfId="34"/>
    <tableColumn id="14" xr3:uid="{00000000-0010-0000-0A00-00000E000000}" name="Стенты12" dataDxfId="33"/>
    <tableColumn id="15" xr3:uid="{00000000-0010-0000-0A00-00000F000000}" name="Стенты13" dataDxfId="32"/>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Другое" displayName="Другое" ref="F17:F24" totalsRowShown="0">
  <autoFilter ref="F17:F24" xr:uid="{00000000-0009-0000-0100-000014000000}"/>
  <tableColumns count="1">
    <tableColumn id="1" xr3:uid="{00000000-0010-0000-0B00-000001000000}" name="Другое"/>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C000000}" name="Расходка" displayName="Расходка" ref="A1:C66" totalsRowShown="0">
  <sortState xmlns:xlrd2="http://schemas.microsoft.com/office/spreadsheetml/2017/richdata2" ref="A2:C65">
    <sortCondition ref="B2"/>
  </sortState>
  <tableColumns count="3">
    <tableColumn id="1" xr3:uid="{00000000-0010-0000-0C00-000001000000}" name="№"/>
    <tableColumn id="2" xr3:uid="{00000000-0010-0000-0C00-000002000000}" name="Тип расходного материала "/>
    <tableColumn id="3" xr3:uid="{00000000-0010-0000-0C00-000003000000}"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Размеры" displayName="Размеры" ref="AF1:AG97" totalsRowShown="0" headerRowDxfId="31">
  <sortState xmlns:xlrd2="http://schemas.microsoft.com/office/spreadsheetml/2017/richdata2" ref="AF2:AG62">
    <sortCondition ref="AF2:AF62"/>
    <sortCondition ref="AG2:AG62"/>
  </sortState>
  <tableColumns count="2">
    <tableColumn id="3" xr3:uid="{00000000-0010-0000-0D00-000003000000}" name="Тип" dataDxfId="30"/>
    <tableColumn id="1" xr3:uid="{00000000-0010-0000-0D00-000001000000}" name="Размеры" dataDxfId="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Контраст" displayName="Контраст" ref="AI1:AK8" totalsRowShown="0">
  <autoFilter ref="AI1:AK8" xr:uid="{00000000-0009-0000-0100-000008000000}"/>
  <tableColumns count="3">
    <tableColumn id="1" xr3:uid="{00000000-0010-0000-0E00-000001000000}" name="Контраст "/>
    <tableColumn id="2" xr3:uid="{00000000-0010-0000-0E00-000002000000}" name="Название"/>
    <tableColumn id="3" xr3:uid="{00000000-0010-0000-0E00-000003000000}"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Поиск_расходки" displayName="Поиск_расходки" ref="E1:AD66" totalsRowShown="0">
  <tableColumns count="26">
    <tableColumn id="1" xr3:uid="{00000000-0010-0000-0F00-000001000000}" name="Индекс1" dataDxfId="28">
      <calculatedColumnFormula>IF(ISNUMBER(SEARCH('Карта учёта'!$B$13,Расходка[[#This Row],[Наименование расходного материала]])),MAX($E$1:E1)+1,0)</calculatedColumnFormula>
    </tableColumn>
    <tableColumn id="2" xr3:uid="{00000000-0010-0000-0F00-000002000000}" name="Индекс2" dataDxfId="27">
      <calculatedColumnFormula>IF(ISNUMBER(SEARCH('Карта учёта'!$B$14,Расходка[[#This Row],[Наименование расходного материала]])),MAX($F$1:F1)+1,0)</calculatedColumnFormula>
    </tableColumn>
    <tableColumn id="3" xr3:uid="{00000000-0010-0000-0F00-000003000000}" name="Индекс3" dataDxfId="26">
      <calculatedColumnFormula>IF(ISNUMBER(SEARCH('Карта учёта'!$B$15,Расходка[[#This Row],[Наименование расходного материала]])),MAX($G$1:G1)+1,0)</calculatedColumnFormula>
    </tableColumn>
    <tableColumn id="4" xr3:uid="{00000000-0010-0000-0F00-000004000000}" name="Индекс4" dataDxfId="25">
      <calculatedColumnFormula>IF(ISNUMBER(SEARCH('Карта учёта'!$B$16,Расходка[[#This Row],[Наименование расходного материала]])),MAX($H$1:H1)+1,0)</calculatedColumnFormula>
    </tableColumn>
    <tableColumn id="5" xr3:uid="{00000000-0010-0000-0F00-000005000000}" name="Индекс5" dataDxfId="24">
      <calculatedColumnFormula>IF(ISNUMBER(SEARCH('Карта учёта'!$B$17,Расходка[[#This Row],[Наименование расходного материала]])),MAX($I$1:I1)+1,0)</calculatedColumnFormula>
    </tableColumn>
    <tableColumn id="6" xr3:uid="{00000000-0010-0000-0F00-000006000000}" name="Индекс6" dataDxfId="23">
      <calculatedColumnFormula>IF(ISNUMBER(SEARCH('Карта учёта'!$B$18,Расходка[[#This Row],[Наименование расходного материала]])),MAX($J$1:J1)+1,0)</calculatedColumnFormula>
    </tableColumn>
    <tableColumn id="7" xr3:uid="{00000000-0010-0000-0F00-000007000000}" name="Индекс7" dataDxfId="22">
      <calculatedColumnFormula>IF(ISNUMBER(SEARCH('Карта учёта'!$B$19,Расходка[[#This Row],[Наименование расходного материала]])),MAX($K$1:K1)+1,0)</calculatedColumnFormula>
    </tableColumn>
    <tableColumn id="8" xr3:uid="{00000000-0010-0000-0F00-000008000000}" name="Индекс8" dataDxfId="21">
      <calculatedColumnFormula>IF(ISNUMBER(SEARCH('Карта учёта'!$B$20,Расходка[[#This Row],[Наименование расходного материала]])),MAX($L$1:L1)+1,0)</calculatedColumnFormula>
    </tableColumn>
    <tableColumn id="9" xr3:uid="{00000000-0010-0000-0F00-000009000000}" name="Индекс9" dataDxfId="20">
      <calculatedColumnFormula>IF(ISNUMBER(SEARCH('Карта учёта'!$B$21,Расходка[[#This Row],[Наименование расходного материала]])),MAX($M$1:M1)+1,0)</calculatedColumnFormula>
    </tableColumn>
    <tableColumn id="10" xr3:uid="{00000000-0010-0000-0F00-00000A000000}" name="Индекс10" dataDxfId="19">
      <calculatedColumnFormula>IF(ISNUMBER(SEARCH('Карта учёта'!$B$22,Расходка[[#This Row],[Наименование расходного материала]])),MAX($N$1:N1)+1,0)</calculatedColumnFormula>
    </tableColumn>
    <tableColumn id="11" xr3:uid="{00000000-0010-0000-0F00-00000B000000}" name="Индекс11" dataDxfId="18">
      <calculatedColumnFormula>IF(ISNUMBER(SEARCH('Карта учёта'!$B$23,Расходка[[#This Row],[Наименование расходного материала]])),MAX($O$1:O1)+1,0)</calculatedColumnFormula>
    </tableColumn>
    <tableColumn id="12" xr3:uid="{00000000-0010-0000-0F00-00000C000000}" name="Индекс12" dataDxfId="17">
      <calculatedColumnFormula>IF(ISNUMBER(SEARCH('Карта учёта'!$B$24,Расходка[[#This Row],[Наименование расходного материала]])),MAX($P$1:P1)+1,0)</calculatedColumnFormula>
    </tableColumn>
    <tableColumn id="13" xr3:uid="{00000000-0010-0000-0F00-00000D000000}" name="Индекс13" dataDxfId="16">
      <calculatedColumnFormula>IF(ISNUMBER(SEARCH('Карта учёта'!$B$25,Расходка[[#This Row],[Наименование расходного материала]])),MAX($Q$1:Q1)+1,0)</calculatedColumnFormula>
    </tableColumn>
    <tableColumn id="14" xr3:uid="{00000000-0010-0000-0F00-00000E000000}" name="Фильтр1" dataDxfId="15">
      <calculatedColumnFormula>IFERROR(INDEX(Расходка[Наименование расходного материала],MATCH(Расходка[[#This Row],[№]],Поиск_расходки[Индекс1],0)),"")</calculatedColumnFormula>
    </tableColumn>
    <tableColumn id="15" xr3:uid="{00000000-0010-0000-0F00-00000F000000}" name="Фильтр2" dataDxfId="14">
      <calculatedColumnFormula>IFERROR(INDEX(Расходка[Наименование расходного материала],MATCH(Расходка[[#This Row],[№]],Поиск_расходки[Индекс2],0)),"")</calculatedColumnFormula>
    </tableColumn>
    <tableColumn id="16" xr3:uid="{00000000-0010-0000-0F00-000010000000}" name="Фильтр3" dataDxfId="13">
      <calculatedColumnFormula>IFERROR(INDEX(Расходка[Наименование расходного материала],MATCH(Расходка[[#This Row],[№]],Поиск_расходки[Индекс3],0)),"")</calculatedColumnFormula>
    </tableColumn>
    <tableColumn id="17" xr3:uid="{00000000-0010-0000-0F00-000011000000}" name="Фильтр4" dataDxfId="12">
      <calculatedColumnFormula>IFERROR(INDEX(Расходка[Наименование расходного материала],MATCH(Расходка[[#This Row],[№]],Поиск_расходки[Индекс4],0)),"")</calculatedColumnFormula>
    </tableColumn>
    <tableColumn id="18" xr3:uid="{00000000-0010-0000-0F00-000012000000}" name="Фильтр5" dataDxfId="11">
      <calculatedColumnFormula>IFERROR(INDEX(Расходка[Наименование расходного материала],MATCH(Расходка[[#This Row],[№]],Поиск_расходки[Индекс5],0)),"")</calculatedColumnFormula>
    </tableColumn>
    <tableColumn id="19" xr3:uid="{00000000-0010-0000-0F00-000013000000}" name="Фильтр6" dataDxfId="10">
      <calculatedColumnFormula>IFERROR(INDEX(Расходка[Наименование расходного материала],MATCH(Расходка[[#This Row],[№]],Поиск_расходки[Индекс6],0)),"")</calculatedColumnFormula>
    </tableColumn>
    <tableColumn id="20" xr3:uid="{00000000-0010-0000-0F00-000014000000}" name="Фильтр7" dataDxfId="9">
      <calculatedColumnFormula>IFERROR(INDEX(Расходка[Наименование расходного материала],MATCH(Расходка[[#This Row],[№]],Поиск_расходки[Индекс7],0)),"")</calculatedColumnFormula>
    </tableColumn>
    <tableColumn id="21" xr3:uid="{00000000-0010-0000-0F00-000015000000}" name="Фильтр8" dataDxfId="8">
      <calculatedColumnFormula>IFERROR(INDEX(Расходка[Наименование расходного материала],MATCH(Расходка[[#This Row],[№]],Поиск_расходки[Индекс8],0)),"")</calculatedColumnFormula>
    </tableColumn>
    <tableColumn id="22" xr3:uid="{00000000-0010-0000-0F00-000016000000}" name="Фильтр9" dataDxfId="7">
      <calculatedColumnFormula>IFERROR(INDEX(Расходка[Наименование расходного материала],MATCH(Расходка[[#This Row],[№]],Поиск_расходки[Индекс9],0)),"")</calculatedColumnFormula>
    </tableColumn>
    <tableColumn id="23" xr3:uid="{00000000-0010-0000-0F00-000017000000}" name="Фильтр10" dataDxfId="6">
      <calculatedColumnFormula>IFERROR(INDEX(Расходка[Наименование расходного материала],MATCH(Расходка[[#This Row],[№]],Поиск_расходки[Индекс10],0)),"")</calculatedColumnFormula>
    </tableColumn>
    <tableColumn id="24" xr3:uid="{00000000-0010-0000-0F00-000018000000}" name="Фильтр11" dataDxfId="5">
      <calculatedColumnFormula>IFERROR(INDEX(Расходка[Наименование расходного материала],MATCH(Расходка[[#This Row],[№]],Поиск_расходки[Индекс11],0)),"")</calculatedColumnFormula>
    </tableColumn>
    <tableColumn id="25" xr3:uid="{00000000-0010-0000-0F00-000019000000}" name="Фильтр12" dataDxfId="4">
      <calculatedColumnFormula>IFERROR(INDEX(Расходка[Наименование расходного материала],MATCH(Расходка[[#This Row],[№]],Поиск_расходки[Индекс12],0)),"")</calculatedColumnFormula>
    </tableColumn>
    <tableColumn id="26" xr3:uid="{00000000-0010-0000-0F00-00001A000000}"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Таблица19" displayName="Таблица19" ref="AI10:AI20" totalsRowShown="0">
  <autoFilter ref="AI10:AI20" xr:uid="{00000000-0009-0000-0100-000013000000}"/>
  <tableColumns count="1">
    <tableColumn id="1" xr3:uid="{00000000-0010-0000-1000-000001000000}" name="Наименование "/>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Коды_Расходки" displayName="Коды_Расходки" ref="AM1:AO12" totalsRowShown="0">
  <autoFilter ref="AM1:AO12" xr:uid="{00000000-0009-0000-0100-000015000000}"/>
  <tableColumns count="3">
    <tableColumn id="1" xr3:uid="{00000000-0010-0000-1100-000001000000}" name="Код НК МИ" dataDxfId="2"/>
    <tableColumn id="2" xr3:uid="{00000000-0010-0000-1100-000002000000}" name="АБР" dataDxfId="1"/>
    <tableColumn id="3" xr3:uid="{00000000-0010-0000-1100-000003000000}" name="Наименование"/>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2000000}" name="Сотрудники" displayName="Сотрудники" ref="A1:C17" totalsRowShown="0">
  <autoFilter ref="A1:C17" xr:uid="{00000000-0009-0000-0100-000005000000}"/>
  <tableColumns count="3">
    <tableColumn id="1" xr3:uid="{00000000-0010-0000-1200-000001000000}" name="Должность: "/>
    <tableColumn id="2" xr3:uid="{00000000-0010-0000-1200-000002000000}" name="ФИО"/>
    <tableColumn id="3" xr3:uid="{00000000-0010-0000-1200-000003000000}"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Таблица24" displayName="Таблица24" ref="A12:B16" headerRowCount="0" totalsRowShown="0" headerRowDxfId="103" dataDxfId="102">
  <tableColumns count="2">
    <tableColumn id="1" xr3:uid="{00000000-0010-0000-0100-000001000000}" name="Столбец1" headerRowDxfId="101" dataDxfId="100"/>
    <tableColumn id="2" xr3:uid="{00000000-0010-0000-0100-000002000000}" name="Столбец2" headerRowDxfId="99" dataDxfId="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Сотрудники_2" displayName="Сотрудники_2" ref="A20:B89" totalsRowShown="0">
  <autoFilter ref="A20:B89" xr:uid="{00000000-0009-0000-0100-00000A000000}"/>
  <sortState xmlns:xlrd2="http://schemas.microsoft.com/office/spreadsheetml/2017/richdata2" ref="A21:B89">
    <sortCondition ref="A21:A89"/>
    <sortCondition ref="B21:B89"/>
  </sortState>
  <tableColumns count="2">
    <tableColumn id="1" xr3:uid="{00000000-0010-0000-1300-000001000000}" name="Должность"/>
    <tableColumn id="2" xr3:uid="{00000000-0010-0000-1300-000002000000}" name="Сотрудник"/>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Должность" displayName="Должность" ref="E1:E11" totalsRowShown="0">
  <autoFilter ref="E1:E11" xr:uid="{00000000-0009-0000-0100-00000E000000}"/>
  <tableColumns count="1">
    <tableColumn id="1" xr3:uid="{00000000-0010-0000-1400-000001000000}" name="Должность"/>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Опер.Бригада12" displayName="Опер.Бригада12" ref="D13:H17" headerRowCount="0" totalsRowShown="0" headerRowDxfId="97" dataDxfId="96" tableBorderDxfId="95" totalsRowBorderDxfId="94">
  <tableColumns count="5">
    <tableColumn id="1" xr3:uid="{00000000-0010-0000-0200-000001000000}" name="Должность" headerRowDxfId="93" dataDxfId="92"/>
    <tableColumn id="5" xr3:uid="{00000000-0010-0000-0200-000005000000}" name="Столбец2" headerRowDxfId="91" dataDxfId="90"/>
    <tableColumn id="4" xr3:uid="{00000000-0010-0000-0200-000004000000}" name="Столбец1" headerRowDxfId="89" dataDxfId="88"/>
    <tableColumn id="2" xr3:uid="{00000000-0010-0000-0200-000002000000}" name="Бригада_1" headerRowDxfId="87" dataDxfId="86"/>
    <tableColumn id="3" xr3:uid="{00000000-0010-0000-0200-000003000000}"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Таблица2416" displayName="Таблица2416" ref="A17:B21" headerRowCount="0" totalsRowShown="0" headerRowDxfId="83" dataDxfId="82">
  <tableColumns count="2">
    <tableColumn id="1" xr3:uid="{00000000-0010-0000-0300-000001000000}" name="Столбец1" headerRowDxfId="81" dataDxfId="80"/>
    <tableColumn id="2" xr3:uid="{00000000-0010-0000-0300-000002000000}"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Карта_Учёта" displayName="Карта_Учёта" ref="A12:D25" totalsRowShown="0" headerRowDxfId="77" headerRowBorderDxfId="76" tableBorderDxfId="75">
  <tableColumns count="4">
    <tableColumn id="1" xr3:uid="{00000000-0010-0000-0400-000001000000}"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xr3:uid="{00000000-0010-0000-0400-000002000000}" name="Наименование расходного материала" dataDxfId="73"/>
    <tableColumn id="3" xr3:uid="{00000000-0010-0000-0400-000003000000}" name="Размер" dataDxfId="72"/>
    <tableColumn id="4" xr3:uid="{00000000-0010-0000-0400-000004000000}"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Манипуляции" displayName="Манипуляции" ref="A4:B6" headerRowDxfId="70" dataDxfId="69">
  <tableColumns count="2">
    <tableColumn id="1" xr3:uid="{00000000-0010-0000-0500-000001000000}"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xr3:uid="{00000000-0010-0000-0500-000002000000}"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Вмешательства" displayName="Вмешательства" ref="A1:D35" totalsRowShown="0" headerRowDxfId="66" tableBorderDxfId="65">
  <tableColumns count="4">
    <tableColumn id="1" xr3:uid="{00000000-0010-0000-0600-000001000000}" name="№" dataDxfId="64"/>
    <tableColumn id="2" xr3:uid="{00000000-0010-0000-0600-000002000000}" name="Код услуги" dataDxfId="63"/>
    <tableColumn id="3" xr3:uid="{00000000-0010-0000-0600-000003000000}" name="Номенклатура мед.услуги" dataDxfId="62"/>
    <tableColumn id="4" xr3:uid="{00000000-0010-0000-0600-000004000000}"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Локализация" displayName="Локализация" ref="V1:V13">
  <autoFilter ref="V1:V13" xr:uid="{00000000-0009-0000-0100-000010000000}"/>
  <tableColumns count="1">
    <tableColumn id="1" xr3:uid="{00000000-0010-0000-0700-000001000000}" name="Локализация"/>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Таблица2" displayName="Таблица2" ref="V15:V17" totalsRowShown="0">
  <autoFilter ref="V15:V17" xr:uid="{00000000-0009-0000-0100-000002000000}"/>
  <tableColumns count="1">
    <tableColumn id="1" xr3:uid="{00000000-0010-0000-0800-000001000000}"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54"/>
  <sheetViews>
    <sheetView showGridLines="0" showWhiteSpace="0" view="pageBreakPreview" topLeftCell="A22" zoomScaleNormal="100" zoomScaleSheetLayoutView="100" zoomScalePageLayoutView="90" workbookViewId="0">
      <selection activeCell="J48" sqref="J48"/>
    </sheetView>
  </sheetViews>
  <sheetFormatPr defaultColWidth="8.85546875" defaultRowHeight="15" x14ac:dyDescent="0.2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x14ac:dyDescent="0.25">
      <c r="A6" s="211" t="s">
        <v>213</v>
      </c>
      <c r="B6" s="212"/>
      <c r="C6" s="212"/>
      <c r="D6" s="212"/>
      <c r="E6" s="212"/>
      <c r="F6" s="212"/>
      <c r="G6" s="212"/>
      <c r="H6" s="213"/>
    </row>
    <row r="7" spans="1:8" x14ac:dyDescent="0.25">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x14ac:dyDescent="0.25">
      <c r="A8" s="14" t="s">
        <v>191</v>
      </c>
      <c r="B8" s="20">
        <v>45100</v>
      </c>
      <c r="C8" s="54"/>
      <c r="D8" s="16" t="s">
        <v>186</v>
      </c>
      <c r="E8" s="29"/>
      <c r="F8" s="29"/>
      <c r="G8" s="17"/>
      <c r="H8" s="18"/>
    </row>
    <row r="9" spans="1:8" ht="15.6" customHeight="1" x14ac:dyDescent="0.25">
      <c r="A9" s="21" t="s">
        <v>193</v>
      </c>
      <c r="B9" s="22">
        <v>4.1666666666666664E-2</v>
      </c>
      <c r="C9" s="54"/>
      <c r="D9" s="94" t="s">
        <v>172</v>
      </c>
      <c r="E9" s="92"/>
      <c r="F9" s="92"/>
      <c r="G9" s="23" t="s">
        <v>163</v>
      </c>
      <c r="H9" s="25"/>
    </row>
    <row r="10" spans="1:8" ht="15.6" customHeight="1" thickBot="1" x14ac:dyDescent="0.3">
      <c r="A10" s="83" t="s">
        <v>194</v>
      </c>
      <c r="B10" s="84">
        <v>4.8611111111111112E-2</v>
      </c>
      <c r="C10" s="55"/>
      <c r="D10" s="95" t="s">
        <v>173</v>
      </c>
      <c r="E10" s="93"/>
      <c r="F10" s="93"/>
      <c r="G10" s="24" t="s">
        <v>144</v>
      </c>
      <c r="H10" s="26"/>
    </row>
    <row r="11" spans="1:8" ht="17.25" thickTop="1" thickBot="1" x14ac:dyDescent="0.3">
      <c r="A11" s="89" t="s">
        <v>192</v>
      </c>
      <c r="B11" s="201" t="s">
        <v>519</v>
      </c>
      <c r="C11" s="8"/>
      <c r="D11" s="95" t="s">
        <v>170</v>
      </c>
      <c r="E11" s="93"/>
      <c r="F11" s="93"/>
      <c r="G11" s="24" t="s">
        <v>253</v>
      </c>
      <c r="H11" s="26"/>
    </row>
    <row r="12" spans="1:8" ht="16.5" thickTop="1" x14ac:dyDescent="0.25">
      <c r="A12" s="81" t="s">
        <v>8</v>
      </c>
      <c r="B12" s="82">
        <v>19308</v>
      </c>
      <c r="C12" s="12"/>
      <c r="D12" s="95" t="s">
        <v>303</v>
      </c>
      <c r="E12" s="93"/>
      <c r="F12" s="93"/>
      <c r="G12" s="24" t="s">
        <v>178</v>
      </c>
      <c r="H12" s="26"/>
    </row>
    <row r="13" spans="1:8" ht="15.75" x14ac:dyDescent="0.25">
      <c r="A13" s="15" t="s">
        <v>10</v>
      </c>
      <c r="B13" s="30">
        <f>DATEDIF(B12,B8,"y")</f>
        <v>70</v>
      </c>
      <c r="C13" s="12"/>
      <c r="D13" s="95"/>
      <c r="E13" s="93"/>
      <c r="F13" s="93"/>
      <c r="G13" s="24"/>
      <c r="H13" s="26"/>
    </row>
    <row r="14" spans="1:8" ht="15.75" x14ac:dyDescent="0.25">
      <c r="A14" s="15" t="s">
        <v>12</v>
      </c>
      <c r="B14" s="19">
        <v>16521</v>
      </c>
      <c r="C14" s="12"/>
      <c r="D14" s="36"/>
      <c r="E14" s="36"/>
      <c r="F14" s="36"/>
      <c r="G14" s="37"/>
      <c r="H14" s="56"/>
    </row>
    <row r="15" spans="1:8" ht="15.75" x14ac:dyDescent="0.25">
      <c r="A15" s="15" t="s">
        <v>133</v>
      </c>
      <c r="B15" s="19">
        <v>35</v>
      </c>
      <c r="D15" s="36"/>
      <c r="E15" s="36"/>
      <c r="F15" s="36"/>
      <c r="G15" s="166" t="s">
        <v>403</v>
      </c>
      <c r="H15" s="170" t="s">
        <v>518</v>
      </c>
    </row>
    <row r="16" spans="1:8" ht="15.6" customHeight="1" x14ac:dyDescent="0.25">
      <c r="A16" s="15" t="s">
        <v>106</v>
      </c>
      <c r="B16" s="19" t="s">
        <v>491</v>
      </c>
      <c r="D16" s="36"/>
      <c r="E16" s="36"/>
      <c r="F16" s="36"/>
      <c r="G16" s="167" t="s">
        <v>407</v>
      </c>
      <c r="H16" s="165">
        <v>17700</v>
      </c>
    </row>
    <row r="17" spans="1:8" ht="14.45" customHeight="1" x14ac:dyDescent="0.25">
      <c r="A17" s="40"/>
      <c r="B17" s="31"/>
      <c r="C17" s="31"/>
      <c r="D17" s="88"/>
      <c r="E17" s="88"/>
      <c r="F17" s="88"/>
      <c r="G17" s="168" t="s">
        <v>392</v>
      </c>
      <c r="H17" s="169">
        <f>H16*0.0019</f>
        <v>33.630000000000003</v>
      </c>
    </row>
    <row r="18" spans="1:8" ht="14.45" customHeight="1" x14ac:dyDescent="0.25">
      <c r="A18" s="57" t="s">
        <v>188</v>
      </c>
      <c r="B18" s="87" t="s">
        <v>405</v>
      </c>
      <c r="D18" s="28" t="s">
        <v>210</v>
      </c>
      <c r="E18" s="28"/>
      <c r="F18" s="28"/>
      <c r="G18" s="85" t="s">
        <v>189</v>
      </c>
      <c r="H18" s="86" t="s">
        <v>512</v>
      </c>
    </row>
    <row r="19" spans="1:8" ht="14.45" customHeight="1" x14ac:dyDescent="0.25">
      <c r="A19" s="40"/>
      <c r="B19" s="31"/>
      <c r="C19" s="31"/>
      <c r="D19" s="34"/>
      <c r="E19" s="34"/>
      <c r="F19" s="34"/>
      <c r="G19" s="31"/>
      <c r="H19" s="41"/>
    </row>
    <row r="20" spans="1:8" ht="14.45" customHeight="1" x14ac:dyDescent="0.25">
      <c r="A20" s="57" t="s">
        <v>212</v>
      </c>
      <c r="B20" s="214" t="s">
        <v>520</v>
      </c>
      <c r="C20" s="215"/>
      <c r="D20" s="215"/>
      <c r="E20" s="215"/>
      <c r="F20" s="215"/>
      <c r="G20" s="215"/>
      <c r="H20" s="216"/>
    </row>
    <row r="21" spans="1:8" x14ac:dyDescent="0.25">
      <c r="A21" s="58"/>
      <c r="B21" s="217"/>
      <c r="C21" s="217"/>
      <c r="D21" s="217"/>
      <c r="E21" s="217"/>
      <c r="F21" s="217"/>
      <c r="G21" s="217"/>
      <c r="H21" s="218"/>
    </row>
    <row r="22" spans="1:8" ht="15.6" customHeight="1" x14ac:dyDescent="0.25">
      <c r="A22" s="59" t="s">
        <v>271</v>
      </c>
      <c r="B22" s="219" t="s">
        <v>521</v>
      </c>
      <c r="C22" s="219"/>
      <c r="D22" s="219"/>
      <c r="E22" s="219"/>
      <c r="F22" s="219"/>
      <c r="G22" s="219"/>
      <c r="H22" s="220"/>
    </row>
    <row r="23" spans="1:8" ht="14.45" customHeight="1" x14ac:dyDescent="0.25">
      <c r="A23" s="38"/>
      <c r="B23" s="221"/>
      <c r="C23" s="221"/>
      <c r="D23" s="221"/>
      <c r="E23" s="221"/>
      <c r="F23" s="221"/>
      <c r="G23" s="221"/>
      <c r="H23" s="222"/>
    </row>
    <row r="24" spans="1:8" ht="14.45" customHeight="1" x14ac:dyDescent="0.25">
      <c r="A24" s="60"/>
      <c r="B24" s="221"/>
      <c r="C24" s="221"/>
      <c r="D24" s="221"/>
      <c r="E24" s="221"/>
      <c r="F24" s="221"/>
      <c r="G24" s="221"/>
      <c r="H24" s="222"/>
    </row>
    <row r="25" spans="1:8" ht="14.45" customHeight="1" x14ac:dyDescent="0.25">
      <c r="A25" s="38"/>
      <c r="B25" s="221"/>
      <c r="C25" s="221"/>
      <c r="D25" s="221"/>
      <c r="E25" s="221"/>
      <c r="F25" s="221"/>
      <c r="G25" s="221"/>
      <c r="H25" s="222"/>
    </row>
    <row r="26" spans="1:8" ht="14.45" customHeight="1" x14ac:dyDescent="0.25">
      <c r="A26" s="40"/>
      <c r="B26" s="223"/>
      <c r="C26" s="223"/>
      <c r="D26" s="223"/>
      <c r="E26" s="223"/>
      <c r="F26" s="223"/>
      <c r="G26" s="223"/>
      <c r="H26" s="224"/>
    </row>
    <row r="27" spans="1:8" ht="14.45" customHeight="1" x14ac:dyDescent="0.25">
      <c r="A27" s="59" t="s">
        <v>272</v>
      </c>
      <c r="B27" s="219" t="s">
        <v>522</v>
      </c>
      <c r="C27" s="219"/>
      <c r="D27" s="219"/>
      <c r="E27" s="219"/>
      <c r="F27" s="219"/>
      <c r="G27" s="219"/>
      <c r="H27" s="220"/>
    </row>
    <row r="28" spans="1:8" ht="15.6" customHeight="1" x14ac:dyDescent="0.25">
      <c r="A28" s="38"/>
      <c r="B28" s="221"/>
      <c r="C28" s="221"/>
      <c r="D28" s="221"/>
      <c r="E28" s="221"/>
      <c r="F28" s="221"/>
      <c r="G28" s="221"/>
      <c r="H28" s="222"/>
    </row>
    <row r="29" spans="1:8" ht="14.45" customHeight="1" x14ac:dyDescent="0.25">
      <c r="A29" s="38"/>
      <c r="B29" s="221"/>
      <c r="C29" s="221"/>
      <c r="D29" s="221"/>
      <c r="E29" s="221"/>
      <c r="F29" s="221"/>
      <c r="G29" s="221"/>
      <c r="H29" s="222"/>
    </row>
    <row r="30" spans="1:8" ht="14.45" customHeight="1" x14ac:dyDescent="0.25">
      <c r="A30" s="32"/>
      <c r="B30" s="221"/>
      <c r="C30" s="221"/>
      <c r="D30" s="221"/>
      <c r="E30" s="221"/>
      <c r="F30" s="221"/>
      <c r="G30" s="221"/>
      <c r="H30" s="222"/>
    </row>
    <row r="31" spans="1:8" ht="14.45" customHeight="1" x14ac:dyDescent="0.25">
      <c r="A31" s="33"/>
      <c r="B31" s="223"/>
      <c r="C31" s="223"/>
      <c r="D31" s="223"/>
      <c r="E31" s="223"/>
      <c r="F31" s="223"/>
      <c r="G31" s="223"/>
      <c r="H31" s="224"/>
    </row>
    <row r="32" spans="1:8" ht="14.45" customHeight="1" x14ac:dyDescent="0.25">
      <c r="A32" s="59" t="s">
        <v>273</v>
      </c>
      <c r="B32" s="219" t="s">
        <v>523</v>
      </c>
      <c r="C32" s="219"/>
      <c r="D32" s="219"/>
      <c r="E32" s="219"/>
      <c r="F32" s="219"/>
      <c r="G32" s="219"/>
      <c r="H32" s="220"/>
    </row>
    <row r="33" spans="1:8" ht="14.45" customHeight="1" x14ac:dyDescent="0.25">
      <c r="A33" s="38"/>
      <c r="B33" s="221"/>
      <c r="C33" s="221"/>
      <c r="D33" s="221"/>
      <c r="E33" s="221"/>
      <c r="F33" s="221"/>
      <c r="G33" s="221"/>
      <c r="H33" s="222"/>
    </row>
    <row r="34" spans="1:8" ht="15.6" customHeight="1" x14ac:dyDescent="0.25">
      <c r="A34" s="38"/>
      <c r="B34" s="221"/>
      <c r="C34" s="221"/>
      <c r="D34" s="221"/>
      <c r="E34" s="221"/>
      <c r="F34" s="221"/>
      <c r="G34" s="221"/>
      <c r="H34" s="222"/>
    </row>
    <row r="35" spans="1:8" ht="14.45" customHeight="1" x14ac:dyDescent="0.25">
      <c r="A35" s="38"/>
      <c r="B35" s="221"/>
      <c r="C35" s="221"/>
      <c r="D35" s="221"/>
      <c r="E35" s="221"/>
      <c r="F35" s="221"/>
      <c r="G35" s="221"/>
      <c r="H35" s="222"/>
    </row>
    <row r="36" spans="1:8" ht="15.6" customHeight="1" x14ac:dyDescent="0.25">
      <c r="A36" s="38"/>
      <c r="B36" s="221"/>
      <c r="C36" s="221"/>
      <c r="D36" s="221"/>
      <c r="E36" s="221"/>
      <c r="F36" s="221"/>
      <c r="G36" s="221"/>
      <c r="H36" s="222"/>
    </row>
    <row r="37" spans="1:8" ht="14.45" customHeight="1" x14ac:dyDescent="0.25">
      <c r="A37" s="38"/>
      <c r="D37" s="207" t="str">
        <f>IF($A$6=Вмешательства!$D$3,Вмешательства!$F$18,"")</f>
        <v/>
      </c>
      <c r="E37" s="207"/>
      <c r="F37" s="119"/>
      <c r="G37" s="119"/>
      <c r="H37" s="123"/>
    </row>
    <row r="38" spans="1:8" ht="14.45" customHeight="1" x14ac:dyDescent="0.25">
      <c r="A38" s="38"/>
      <c r="C38" s="124"/>
      <c r="D38" s="208"/>
      <c r="E38" s="209"/>
      <c r="F38" s="209"/>
      <c r="G38" s="209"/>
      <c r="H38" s="210"/>
    </row>
    <row r="39" spans="1:8" ht="14.45" customHeight="1" x14ac:dyDescent="0.25">
      <c r="A39" s="35"/>
      <c r="B39" s="119"/>
      <c r="C39" s="124"/>
      <c r="D39" s="209"/>
      <c r="E39" s="209"/>
      <c r="F39" s="209"/>
      <c r="G39" s="209"/>
      <c r="H39" s="210"/>
    </row>
    <row r="40" spans="1:8" ht="14.45" customHeight="1" x14ac:dyDescent="0.25">
      <c r="A40" s="35"/>
      <c r="B40" s="119"/>
      <c r="C40" s="124"/>
      <c r="D40" s="209"/>
      <c r="E40" s="209"/>
      <c r="F40" s="209"/>
      <c r="G40" s="209"/>
      <c r="H40" s="210"/>
    </row>
    <row r="41" spans="1:8" ht="14.45" customHeight="1" x14ac:dyDescent="0.25">
      <c r="A41" s="35"/>
      <c r="B41" s="119"/>
      <c r="C41" s="124"/>
      <c r="D41" s="209"/>
      <c r="E41" s="209"/>
      <c r="F41" s="209"/>
      <c r="G41" s="209"/>
      <c r="H41" s="210"/>
    </row>
    <row r="42" spans="1:8" ht="14.45" customHeight="1" x14ac:dyDescent="0.25">
      <c r="A42" s="35"/>
      <c r="B42" s="119"/>
      <c r="C42" s="125"/>
      <c r="D42" s="128"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x14ac:dyDescent="0.25">
      <c r="A43" s="35"/>
      <c r="B43" s="119"/>
      <c r="C43" s="126"/>
      <c r="D43" s="204" t="s">
        <v>515</v>
      </c>
      <c r="E43" s="205"/>
      <c r="F43" s="205"/>
      <c r="G43" s="205"/>
      <c r="H43" s="206"/>
    </row>
    <row r="44" spans="1:8" ht="14.45" customHeight="1" x14ac:dyDescent="0.25">
      <c r="A44" s="35"/>
      <c r="B44" s="119"/>
      <c r="C44" s="126"/>
      <c r="D44" s="205"/>
      <c r="E44" s="205"/>
      <c r="F44" s="205"/>
      <c r="G44" s="205"/>
      <c r="H44" s="206"/>
    </row>
    <row r="45" spans="1:8" ht="14.45" customHeight="1" x14ac:dyDescent="0.25">
      <c r="A45" s="35"/>
      <c r="B45" s="119"/>
      <c r="C45" s="126"/>
      <c r="D45" s="205"/>
      <c r="E45" s="205"/>
      <c r="F45" s="205"/>
      <c r="G45" s="205"/>
      <c r="H45" s="206"/>
    </row>
    <row r="46" spans="1:8" x14ac:dyDescent="0.25">
      <c r="A46" s="35"/>
      <c r="B46" s="119"/>
      <c r="C46" s="126"/>
      <c r="D46" s="205"/>
      <c r="E46" s="205"/>
      <c r="F46" s="205"/>
      <c r="G46" s="205"/>
      <c r="H46" s="206"/>
    </row>
    <row r="47" spans="1:8" x14ac:dyDescent="0.25">
      <c r="A47" s="38"/>
      <c r="C47" s="126"/>
      <c r="D47" s="205"/>
      <c r="E47" s="205"/>
      <c r="F47" s="205"/>
      <c r="G47" s="205"/>
      <c r="H47" s="206"/>
    </row>
    <row r="48" spans="1:8" x14ac:dyDescent="0.25">
      <c r="A48" s="38"/>
      <c r="C48" s="126"/>
      <c r="D48" s="205"/>
      <c r="E48" s="205"/>
      <c r="F48" s="205"/>
      <c r="G48" s="205"/>
      <c r="H48" s="206"/>
    </row>
    <row r="49" spans="1:13" x14ac:dyDescent="0.25">
      <c r="A49" s="40"/>
      <c r="B49" s="31"/>
      <c r="C49" s="127"/>
      <c r="D49" s="205"/>
      <c r="E49" s="205"/>
      <c r="F49" s="205"/>
      <c r="G49" s="205"/>
      <c r="H49" s="206"/>
    </row>
    <row r="50" spans="1:13" x14ac:dyDescent="0.25">
      <c r="A50" s="38"/>
      <c r="D50" s="205"/>
      <c r="E50" s="205"/>
      <c r="F50" s="205"/>
      <c r="G50" s="205"/>
      <c r="H50" s="206"/>
      <c r="M50" t="s">
        <v>211</v>
      </c>
    </row>
    <row r="51" spans="1:13" x14ac:dyDescent="0.25">
      <c r="A51" s="62" t="s">
        <v>199</v>
      </c>
      <c r="B51" s="63" t="s">
        <v>516</v>
      </c>
      <c r="G51" s="74" t="str">
        <f>$G$9</f>
        <v>Щербаков А.С.</v>
      </c>
      <c r="H51" s="64"/>
    </row>
    <row r="52" spans="1:13" x14ac:dyDescent="0.25">
      <c r="A52" s="38"/>
      <c r="H52" s="39"/>
    </row>
    <row r="53" spans="1:13" x14ac:dyDescent="0.25">
      <c r="A53" s="65" t="s">
        <v>206</v>
      </c>
      <c r="B53" s="66" t="s">
        <v>311</v>
      </c>
      <c r="G53" s="74" t="str">
        <f>IF(ISBLANK(H9),"",H9)</f>
        <v/>
      </c>
      <c r="H53" s="64"/>
    </row>
    <row r="54" spans="1:13" x14ac:dyDescent="0.25">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xr:uid="{00000000-0002-0000-0000-000000000000}">
      <formula1>INDIRECT("Должность[Должность]")</formula1>
    </dataValidation>
    <dataValidation type="list" allowBlank="1" showInputMessage="1" showErrorMessage="1" sqref="H9:H13" xr:uid="{00000000-0002-0000-0000-000001000000}">
      <formula1>Должность_Сотрудник</formula1>
    </dataValidation>
    <dataValidation type="list" allowBlank="1" showInputMessage="1" showErrorMessage="1" sqref="A51" xr:uid="{00000000-0002-0000-0000-000002000000}">
      <formula1>INDIRECT("Контраст[Название]")</formula1>
    </dataValidation>
    <dataValidation type="list" allowBlank="1" showInputMessage="1" showErrorMessage="1" sqref="B53" xr:uid="{00000000-0002-0000-0000-000003000000}">
      <formula1>"Извлечён,Оставлен,М/О ушито Angio-Seal™"</formula1>
    </dataValidation>
    <dataValidation type="list" allowBlank="1" showInputMessage="1" showErrorMessage="1" sqref="H18" xr:uid="{00000000-0002-0000-0000-000004000000}">
      <formula1>"лучевой,ульнарный,локтевой,дистальный,бедренный,rad et femoral"</formula1>
    </dataValidation>
    <dataValidation type="list" allowBlank="1" showInputMessage="1" showErrorMessage="1" sqref="B51" xr:uid="{00000000-0002-0000-0000-000005000000}">
      <formula1>"50 ml,100 ml,150 ml,200 ml,250 ml,300 ml,350 ml,400 ml,450 ml,500 ml,"</formula1>
    </dataValidation>
    <dataValidation type="list" allowBlank="1" showInputMessage="1" showErrorMessage="1" sqref="E15:F15 B18" xr:uid="{00000000-0002-0000-0000-000006000000}">
      <formula1>"Правый,Левый,Сбалансированный "</formula1>
    </dataValidation>
    <dataValidation type="list" allowBlank="1" showInputMessage="1" showErrorMessage="1" sqref="A6:H6" xr:uid="{00000000-0002-0000-0000-000007000000}">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xr:uid="{00000000-0002-0000-0000-000008000000}">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9000000}">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54"/>
  <sheetViews>
    <sheetView showGridLines="0" tabSelected="1" showWhiteSpace="0" view="pageBreakPreview" topLeftCell="A19" zoomScaleNormal="100" zoomScaleSheetLayoutView="100" zoomScalePageLayoutView="90" workbookViewId="0">
      <selection activeCell="Q48" sqref="Q48"/>
    </sheetView>
  </sheetViews>
  <sheetFormatPr defaultColWidth="8.85546875" defaultRowHeight="15" x14ac:dyDescent="0.2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ht="15.6" customHeight="1" x14ac:dyDescent="0.25">
      <c r="A6" s="235" t="s">
        <v>208</v>
      </c>
      <c r="B6" s="236"/>
      <c r="C6" s="236"/>
      <c r="D6" s="236"/>
      <c r="E6" s="236"/>
      <c r="F6" s="236"/>
      <c r="G6" s="236"/>
      <c r="H6" s="237"/>
    </row>
    <row r="7" spans="1:8" ht="21.6" customHeight="1" x14ac:dyDescent="0.25">
      <c r="A7" s="235"/>
      <c r="B7" s="236"/>
      <c r="C7" s="236"/>
      <c r="D7" s="236"/>
      <c r="E7" s="236"/>
      <c r="F7" s="236"/>
      <c r="G7" s="236"/>
      <c r="H7" s="237"/>
    </row>
    <row r="8" spans="1:8" ht="17.25" thickBot="1" x14ac:dyDescent="0.35">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4" t="s">
        <v>218</v>
      </c>
      <c r="D8" s="234"/>
      <c r="E8" s="234"/>
      <c r="F8" s="191">
        <v>2</v>
      </c>
      <c r="G8" s="118" t="s">
        <v>309</v>
      </c>
      <c r="H8" s="159"/>
    </row>
    <row r="9" spans="1:8" ht="15.75" thickTop="1" x14ac:dyDescent="0.25">
      <c r="A9" s="52" t="str">
        <f>"Код модели:"&amp;" "&amp;IFERROR(IF(ISBLANK(H8),IF(A6=Вмешательства!D4,INDEX(Код.Модели[#All],MATCH(ЧКВ!B21,Код.Модели[[#All],[Диагноз]],0),MATCH(ЧКВ!C11,Вмешательства!F2:T2,0))," ")," "),"")</f>
        <v>Код модели: 21166</v>
      </c>
      <c r="C9" s="234"/>
      <c r="D9" s="234"/>
      <c r="E9" s="234"/>
      <c r="F9" s="191"/>
      <c r="G9" s="118"/>
      <c r="H9" s="39"/>
    </row>
    <row r="10" spans="1:8" x14ac:dyDescent="0.25">
      <c r="A10" s="52" t="str">
        <f>"Код метода:"&amp;" "&amp;IFERROR(IF(ISBLANK(ЧКВ!H8),IF(A6=Вмешательства!D4,INDEX(Код.Метода[#All],MATCH(ЧКВ!B21,Код.Метода[[#All],[Диагноз]],0),MATCH(ЧКВ!C11,Вмешательства!F12:T12,0))," ")," "),"")</f>
        <v>Код метода: 46</v>
      </c>
      <c r="B10" s="190"/>
      <c r="C10" s="238"/>
      <c r="D10" s="238"/>
      <c r="E10" s="238"/>
      <c r="F10" s="195"/>
      <c r="G10" s="118"/>
      <c r="H10" s="39"/>
    </row>
    <row r="11" spans="1:8" x14ac:dyDescent="0.25">
      <c r="A11" s="193"/>
      <c r="B11" s="198"/>
      <c r="C11" s="194">
        <f>SUM(F8:F10)</f>
        <v>2</v>
      </c>
      <c r="H11" s="39"/>
    </row>
    <row r="12" spans="1:8" ht="18.75" x14ac:dyDescent="0.25">
      <c r="A12" s="75" t="s">
        <v>191</v>
      </c>
      <c r="B12" s="20">
        <f>КАГ!B8</f>
        <v>45100</v>
      </c>
      <c r="C12" s="12"/>
      <c r="D12" s="16" t="s">
        <v>186</v>
      </c>
      <c r="E12" s="29"/>
      <c r="F12" s="29"/>
      <c r="G12" s="17"/>
      <c r="H12" s="18"/>
    </row>
    <row r="13" spans="1:8" ht="15.75" x14ac:dyDescent="0.25">
      <c r="A13" s="76" t="s">
        <v>193</v>
      </c>
      <c r="B13" s="22">
        <v>4.8611111111111112E-2</v>
      </c>
      <c r="C13" s="12"/>
      <c r="D13" s="94" t="s">
        <v>172</v>
      </c>
      <c r="E13" s="92"/>
      <c r="F13" s="92"/>
      <c r="G13" s="79" t="str">
        <f>КАГ!G9</f>
        <v>Щербаков А.С.</v>
      </c>
      <c r="H13" s="90" t="str">
        <f>IF(ISBLANK(КАГ!H9),"",КАГ!H9)</f>
        <v/>
      </c>
    </row>
    <row r="14" spans="1:8" ht="15.75" x14ac:dyDescent="0.25">
      <c r="A14" s="76" t="s">
        <v>194</v>
      </c>
      <c r="B14" s="22">
        <v>0.125</v>
      </c>
      <c r="C14" s="12"/>
      <c r="D14" s="95" t="s">
        <v>173</v>
      </c>
      <c r="E14" s="93"/>
      <c r="F14" s="93"/>
      <c r="G14" s="80" t="str">
        <f>КАГ!G10</f>
        <v>Александрова И.А.</v>
      </c>
      <c r="H14" s="91" t="str">
        <f>IF(ISBLANK(КАГ!H10),"",КАГ!H10)</f>
        <v/>
      </c>
    </row>
    <row r="15" spans="1:8" ht="16.5" thickBot="1" x14ac:dyDescent="0.3">
      <c r="A15" s="164" t="s">
        <v>391</v>
      </c>
      <c r="B15" s="189">
        <f>IF(B14&lt;B13,B14+1,B14)-B13</f>
        <v>7.6388888888888895E-2</v>
      </c>
      <c r="D15" s="95" t="s">
        <v>170</v>
      </c>
      <c r="E15" s="93"/>
      <c r="F15" s="93"/>
      <c r="G15" s="80" t="str">
        <f>КАГ!G11</f>
        <v>Селезнёв С.А</v>
      </c>
      <c r="H15" s="91" t="str">
        <f>IF(ISBLANK(КАГ!H11),"",КАГ!H11)</f>
        <v/>
      </c>
    </row>
    <row r="16" spans="1:8" ht="17.25" thickTop="1" thickBot="1" x14ac:dyDescent="0.3">
      <c r="A16" s="89" t="s">
        <v>192</v>
      </c>
      <c r="B16" s="203" t="str">
        <f>КАГ!B11</f>
        <v>Разживин Н.И.</v>
      </c>
      <c r="D16" s="95" t="s">
        <v>303</v>
      </c>
      <c r="E16" s="93"/>
      <c r="F16" s="93"/>
      <c r="G16" s="80" t="str">
        <f>КАГ!G12</f>
        <v>Галамага Н.Е.</v>
      </c>
      <c r="H16" s="91" t="str">
        <f>IF(ISBLANK(КАГ!H12),"",КАГ!H12)</f>
        <v/>
      </c>
    </row>
    <row r="17" spans="1:8" ht="16.5" thickTop="1" x14ac:dyDescent="0.25">
      <c r="A17" s="15" t="s">
        <v>8</v>
      </c>
      <c r="B17" s="67">
        <f>КАГ!B12</f>
        <v>19308</v>
      </c>
      <c r="D17" s="95" t="s">
        <v>184</v>
      </c>
      <c r="E17" s="93"/>
      <c r="F17" s="93"/>
      <c r="G17" s="80" t="str">
        <f>IF(ISBLANK(КАГ!G13),"",КАГ!G13)</f>
        <v/>
      </c>
      <c r="H17" s="91" t="str">
        <f>IF(ISBLANK(КАГ!H13),"",КАГ!H13)</f>
        <v/>
      </c>
    </row>
    <row r="18" spans="1:8" ht="15.75" x14ac:dyDescent="0.25">
      <c r="A18" s="15" t="s">
        <v>10</v>
      </c>
      <c r="B18" s="30">
        <f>КАГ!B13</f>
        <v>70</v>
      </c>
      <c r="H18" s="39"/>
    </row>
    <row r="19" spans="1:8" ht="14.45" customHeight="1" x14ac:dyDescent="0.25">
      <c r="A19" s="15" t="s">
        <v>12</v>
      </c>
      <c r="B19" s="68">
        <f>КАГ!B14</f>
        <v>16521</v>
      </c>
      <c r="C19" s="69"/>
      <c r="D19" s="69"/>
      <c r="E19" s="69"/>
      <c r="F19" s="69"/>
      <c r="G19" s="166" t="s">
        <v>403</v>
      </c>
      <c r="H19" s="181" t="str">
        <f>КАГ!H15</f>
        <v>31:30</v>
      </c>
    </row>
    <row r="20" spans="1:8" ht="14.45" customHeight="1" x14ac:dyDescent="0.25">
      <c r="A20" s="15" t="s">
        <v>133</v>
      </c>
      <c r="B20" s="68">
        <f>КАГ!B15</f>
        <v>35</v>
      </c>
      <c r="C20" s="70"/>
      <c r="D20" s="70"/>
      <c r="E20" s="70"/>
      <c r="F20" s="70"/>
      <c r="G20" s="167" t="s">
        <v>407</v>
      </c>
      <c r="H20" s="182">
        <f>КАГ!H16</f>
        <v>17700</v>
      </c>
    </row>
    <row r="21" spans="1:8" ht="14.45" customHeight="1" x14ac:dyDescent="0.25">
      <c r="A21" s="15" t="s">
        <v>106</v>
      </c>
      <c r="B21" s="67" t="str">
        <f>КАГ!B16</f>
        <v>ОКС с ↑ ST</v>
      </c>
      <c r="C21" s="70"/>
      <c r="E21" s="71"/>
      <c r="F21" s="71"/>
      <c r="G21" s="168" t="s">
        <v>392</v>
      </c>
      <c r="H21" s="169">
        <f>КАГ!H17</f>
        <v>33.630000000000003</v>
      </c>
    </row>
    <row r="22" spans="1:8" ht="14.45" customHeight="1" x14ac:dyDescent="0.25">
      <c r="A22" s="57" t="str">
        <f>КАГ!G18</f>
        <v>Доступ:</v>
      </c>
      <c r="B22" s="77" t="str">
        <f>КАГ!H18</f>
        <v>лучевой</v>
      </c>
      <c r="C22" s="70"/>
      <c r="D22" s="70"/>
      <c r="E22" s="70"/>
      <c r="F22" s="70"/>
      <c r="G22" s="185" t="str">
        <f>IF(B21=Вмешательства!F3,Вмешательства!F19,"")</f>
        <v>Реканализация:</v>
      </c>
      <c r="H22" s="186">
        <f>IFERROR(SUM(IF($B$21=Вмешательства!F3,SUM(КАГ!$B$9+0.01),"")),"")</f>
        <v>5.1666666666666666E-2</v>
      </c>
    </row>
    <row r="23" spans="1:8" ht="14.45" customHeight="1" x14ac:dyDescent="0.25">
      <c r="A23" s="65" t="s">
        <v>395</v>
      </c>
      <c r="B23" s="173" t="s">
        <v>394</v>
      </c>
      <c r="C23" s="163"/>
      <c r="D23" s="163"/>
      <c r="E23" s="163"/>
      <c r="F23" s="163"/>
      <c r="H23" s="39"/>
    </row>
    <row r="24" spans="1:8" ht="14.45" customHeight="1" x14ac:dyDescent="0.3">
      <c r="A24" s="184" t="s">
        <v>393</v>
      </c>
      <c r="B24" s="171"/>
      <c r="C24" s="171"/>
      <c r="D24" s="171"/>
      <c r="E24" s="171"/>
      <c r="F24" s="171"/>
      <c r="G24" s="171"/>
      <c r="H24" s="172"/>
    </row>
    <row r="25" spans="1:8" ht="14.45" customHeight="1" x14ac:dyDescent="0.25">
      <c r="A25" s="242" t="s">
        <v>525</v>
      </c>
      <c r="B25" s="243"/>
      <c r="C25" s="243"/>
      <c r="D25" s="243"/>
      <c r="E25" s="243"/>
      <c r="F25" s="243"/>
      <c r="G25" s="243"/>
      <c r="H25" s="244"/>
    </row>
    <row r="26" spans="1:8" ht="14.45" customHeight="1" x14ac:dyDescent="0.25">
      <c r="A26" s="245"/>
      <c r="B26" s="243"/>
      <c r="C26" s="243"/>
      <c r="D26" s="243"/>
      <c r="E26" s="243"/>
      <c r="F26" s="243"/>
      <c r="G26" s="243"/>
      <c r="H26" s="244"/>
    </row>
    <row r="27" spans="1:8" ht="14.45" customHeight="1" x14ac:dyDescent="0.25">
      <c r="A27" s="245"/>
      <c r="B27" s="243"/>
      <c r="C27" s="243"/>
      <c r="D27" s="243"/>
      <c r="E27" s="243"/>
      <c r="F27" s="243"/>
      <c r="G27" s="243"/>
      <c r="H27" s="244"/>
    </row>
    <row r="28" spans="1:8" ht="14.45" customHeight="1" x14ac:dyDescent="0.25">
      <c r="A28" s="245"/>
      <c r="B28" s="243"/>
      <c r="C28" s="243"/>
      <c r="D28" s="243"/>
      <c r="E28" s="243"/>
      <c r="F28" s="243"/>
      <c r="G28" s="243"/>
      <c r="H28" s="244"/>
    </row>
    <row r="29" spans="1:8" ht="14.45" customHeight="1" x14ac:dyDescent="0.25">
      <c r="A29" s="245"/>
      <c r="B29" s="243"/>
      <c r="C29" s="243"/>
      <c r="D29" s="243"/>
      <c r="E29" s="243"/>
      <c r="F29" s="243"/>
      <c r="G29" s="243"/>
      <c r="H29" s="244"/>
    </row>
    <row r="30" spans="1:8" ht="14.45" customHeight="1" x14ac:dyDescent="0.25">
      <c r="A30" s="245"/>
      <c r="B30" s="243"/>
      <c r="C30" s="243"/>
      <c r="D30" s="243"/>
      <c r="E30" s="243"/>
      <c r="F30" s="243"/>
      <c r="G30" s="243"/>
      <c r="H30" s="244"/>
    </row>
    <row r="31" spans="1:8" ht="14.45" customHeight="1" x14ac:dyDescent="0.25">
      <c r="A31" s="245"/>
      <c r="B31" s="243"/>
      <c r="C31" s="243"/>
      <c r="D31" s="243"/>
      <c r="E31" s="243"/>
      <c r="F31" s="243"/>
      <c r="G31" s="243"/>
      <c r="H31" s="244"/>
    </row>
    <row r="32" spans="1:8" ht="14.45" customHeight="1" x14ac:dyDescent="0.25">
      <c r="A32" s="245"/>
      <c r="B32" s="243"/>
      <c r="C32" s="243"/>
      <c r="D32" s="243"/>
      <c r="E32" s="243"/>
      <c r="F32" s="243"/>
      <c r="G32" s="243"/>
      <c r="H32" s="244"/>
    </row>
    <row r="33" spans="1:12" ht="14.45" customHeight="1" x14ac:dyDescent="0.25">
      <c r="A33" s="245"/>
      <c r="B33" s="243"/>
      <c r="C33" s="243"/>
      <c r="D33" s="243"/>
      <c r="E33" s="243"/>
      <c r="F33" s="243"/>
      <c r="G33" s="243"/>
      <c r="H33" s="244"/>
    </row>
    <row r="34" spans="1:12" ht="14.45" customHeight="1" x14ac:dyDescent="0.25">
      <c r="A34" s="245"/>
      <c r="B34" s="243"/>
      <c r="C34" s="243"/>
      <c r="D34" s="243"/>
      <c r="E34" s="243"/>
      <c r="F34" s="243"/>
      <c r="G34" s="243"/>
      <c r="H34" s="244"/>
    </row>
    <row r="35" spans="1:12" ht="14.45" customHeight="1" x14ac:dyDescent="0.25">
      <c r="A35" s="245"/>
      <c r="B35" s="243"/>
      <c r="C35" s="243"/>
      <c r="D35" s="243"/>
      <c r="E35" s="243"/>
      <c r="F35" s="243"/>
      <c r="G35" s="243"/>
      <c r="H35" s="244"/>
    </row>
    <row r="36" spans="1:12" ht="14.45" customHeight="1" x14ac:dyDescent="0.25">
      <c r="A36" s="245"/>
      <c r="B36" s="243"/>
      <c r="C36" s="243"/>
      <c r="D36" s="243"/>
      <c r="E36" s="243"/>
      <c r="F36" s="243"/>
      <c r="G36" s="243"/>
      <c r="H36" s="244"/>
    </row>
    <row r="37" spans="1:12" ht="14.45" customHeight="1" x14ac:dyDescent="0.25">
      <c r="A37" s="245"/>
      <c r="B37" s="243"/>
      <c r="C37" s="243"/>
      <c r="D37" s="243"/>
      <c r="E37" s="243"/>
      <c r="F37" s="243"/>
      <c r="G37" s="243"/>
      <c r="H37" s="244"/>
    </row>
    <row r="38" spans="1:12" ht="14.45" customHeight="1" x14ac:dyDescent="0.25">
      <c r="A38" s="178" t="s">
        <v>399</v>
      </c>
      <c r="B38" s="176"/>
      <c r="C38" s="177"/>
      <c r="D38" s="177"/>
      <c r="E38" s="187" t="str">
        <f>IF(A6=Вмешательства!D4,Вмешательства!V16,IF(ЧКВ!A6=Вмешательства!D36,Вмешательства!V16,"-----"))</f>
        <v>СТЕНТ/Ы</v>
      </c>
      <c r="F38" s="177"/>
      <c r="G38" s="180"/>
    </row>
    <row r="39" spans="1:12" ht="15.75" x14ac:dyDescent="0.25">
      <c r="A39" s="174" t="s">
        <v>396</v>
      </c>
      <c r="B39" s="70" t="s">
        <v>398</v>
      </c>
      <c r="C39" s="121"/>
      <c r="D39" s="122" t="s">
        <v>187</v>
      </c>
      <c r="E39" s="72"/>
      <c r="F39" s="72"/>
      <c r="G39" s="72"/>
      <c r="H39" s="73"/>
    </row>
    <row r="40" spans="1:12" ht="14.45" customHeight="1" x14ac:dyDescent="0.25">
      <c r="A40" s="175" t="s">
        <v>397</v>
      </c>
      <c r="B40" s="179" t="s">
        <v>524</v>
      </c>
      <c r="C40" s="120"/>
      <c r="D40" s="239" t="s">
        <v>404</v>
      </c>
      <c r="E40" s="240"/>
      <c r="F40" s="240"/>
      <c r="G40" s="240"/>
      <c r="H40" s="241"/>
    </row>
    <row r="41" spans="1:12" ht="14.45" customHeight="1" x14ac:dyDescent="0.25">
      <c r="A41" s="32"/>
      <c r="B41" s="28"/>
      <c r="C41" s="120"/>
      <c r="D41" s="240"/>
      <c r="E41" s="240"/>
      <c r="F41" s="240"/>
      <c r="G41" s="240"/>
      <c r="H41" s="241"/>
    </row>
    <row r="42" spans="1:12" ht="14.45" customHeight="1" x14ac:dyDescent="0.25">
      <c r="A42" s="32"/>
      <c r="B42" s="28"/>
      <c r="C42" s="120"/>
      <c r="D42" s="240"/>
      <c r="E42" s="240"/>
      <c r="F42" s="240"/>
      <c r="G42" s="240"/>
      <c r="H42" s="241"/>
    </row>
    <row r="43" spans="1:12" ht="14.45" customHeight="1" x14ac:dyDescent="0.25">
      <c r="A43" s="32"/>
      <c r="B43" s="28"/>
      <c r="C43" s="120"/>
      <c r="D43" s="240"/>
      <c r="E43" s="240"/>
      <c r="F43" s="240"/>
      <c r="G43" s="240"/>
      <c r="H43" s="241"/>
    </row>
    <row r="44" spans="1:12" ht="14.45" customHeight="1" x14ac:dyDescent="0.25">
      <c r="A44" s="32"/>
      <c r="B44" s="28"/>
      <c r="C44" s="120"/>
      <c r="D44" s="240"/>
      <c r="E44" s="240"/>
      <c r="F44" s="240"/>
      <c r="G44" s="240"/>
      <c r="H44" s="241"/>
      <c r="L44" s="161"/>
    </row>
    <row r="45" spans="1:12" ht="14.45" customHeight="1" x14ac:dyDescent="0.25">
      <c r="A45" s="32"/>
      <c r="B45" s="28"/>
      <c r="C45" s="120"/>
      <c r="D45" s="240"/>
      <c r="E45" s="240"/>
      <c r="F45" s="240"/>
      <c r="G45" s="240"/>
      <c r="H45" s="241"/>
    </row>
    <row r="46" spans="1:12" ht="14.45" customHeight="1" x14ac:dyDescent="0.25">
      <c r="A46" s="32"/>
      <c r="B46" s="28"/>
      <c r="C46" s="120"/>
      <c r="D46" s="240"/>
      <c r="E46" s="240"/>
      <c r="F46" s="240"/>
      <c r="G46" s="240"/>
      <c r="H46" s="241"/>
    </row>
    <row r="47" spans="1:12" ht="14.45" customHeight="1" x14ac:dyDescent="0.25">
      <c r="A47" s="38"/>
      <c r="C47" s="120"/>
      <c r="D47" s="240"/>
      <c r="E47" s="240"/>
      <c r="F47" s="240"/>
      <c r="G47" s="240"/>
      <c r="H47" s="241"/>
    </row>
    <row r="48" spans="1:12" ht="14.45" customHeight="1" x14ac:dyDescent="0.25">
      <c r="A48" s="38"/>
      <c r="C48" s="120"/>
      <c r="D48" s="240"/>
      <c r="E48" s="240"/>
      <c r="F48" s="240"/>
      <c r="G48" s="240"/>
      <c r="H48" s="241"/>
    </row>
    <row r="49" spans="1:8" ht="14.45" customHeight="1" x14ac:dyDescent="0.25">
      <c r="A49" s="38"/>
      <c r="C49" s="120"/>
      <c r="D49" s="240"/>
      <c r="E49" s="240"/>
      <c r="F49" s="240"/>
      <c r="G49" s="240"/>
      <c r="H49" s="241"/>
    </row>
    <row r="50" spans="1:8" x14ac:dyDescent="0.25">
      <c r="A50" s="62" t="s">
        <v>199</v>
      </c>
      <c r="B50" s="63" t="s">
        <v>517</v>
      </c>
      <c r="H50" s="39"/>
    </row>
    <row r="51" spans="1:8" x14ac:dyDescent="0.25">
      <c r="A51" s="65" t="s">
        <v>206</v>
      </c>
      <c r="B51" s="66" t="s">
        <v>311</v>
      </c>
      <c r="G51" s="74" t="str">
        <f>$G$13</f>
        <v>Щербаков А.С.</v>
      </c>
      <c r="H51" s="64"/>
    </row>
    <row r="52" spans="1:8" x14ac:dyDescent="0.25">
      <c r="A52" s="225" t="s">
        <v>375</v>
      </c>
      <c r="B52" s="226"/>
      <c r="C52" s="226"/>
      <c r="D52" s="226"/>
      <c r="E52" s="226"/>
      <c r="F52" s="227"/>
      <c r="H52" s="39"/>
    </row>
    <row r="53" spans="1:8" ht="15" customHeight="1" x14ac:dyDescent="0.25">
      <c r="A53" s="228"/>
      <c r="B53" s="229"/>
      <c r="C53" s="229"/>
      <c r="D53" s="229"/>
      <c r="E53" s="229"/>
      <c r="F53" s="230"/>
      <c r="G53" s="74" t="str">
        <f>IF(ISBLANK(H13),"",H13)</f>
        <v/>
      </c>
      <c r="H53" s="64"/>
    </row>
    <row r="54" spans="1:8" x14ac:dyDescent="0.25">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xr:uid="{00000000-0002-0000-0100-000000000000}">
      <formula1>"50 ml,100 ml,150 ml,200 ml,250 ml,300 ml,350 ml,400 ml,450 ml,500 ml,"</formula1>
    </dataValidation>
    <dataValidation type="list" allowBlank="1" showInputMessage="1" showErrorMessage="1" sqref="B51" xr:uid="{00000000-0002-0000-0100-000001000000}">
      <formula1>"Извлечён,Оставлен,М/О ушито Angio-Seal™"</formula1>
    </dataValidation>
    <dataValidation type="list" allowBlank="1" showInputMessage="1" showErrorMessage="1" sqref="A50" xr:uid="{00000000-0002-0000-0100-000002000000}">
      <formula1>INDIRECT("Контраст[Название]")</formula1>
    </dataValidation>
    <dataValidation type="list" allowBlank="1" showInputMessage="1" showErrorMessage="1" sqref="A6" xr:uid="{00000000-0002-0000-0100-000003000000}">
      <formula1>INDIRECT("Вмешательства[Рентгенэндоваскулярная диагностика и лечение]")</formula1>
    </dataValidation>
    <dataValidation type="list" allowBlank="1" showInputMessage="1" showErrorMessage="1" sqref="D13:F17" xr:uid="{00000000-0002-0000-0100-000004000000}">
      <formula1>INDIRECT("Должность[Должность]")</formula1>
    </dataValidation>
    <dataValidation type="list" allowBlank="1" showInputMessage="1" showErrorMessage="1" sqref="C8:E10" xr:uid="{00000000-0002-0000-0100-000005000000}">
      <formula1>INDIRECT("Локализация[Локализация]")</formula1>
    </dataValidation>
    <dataValidation type="list" allowBlank="1" showInputMessage="1" showErrorMessage="1" sqref="G9:G10" xr:uid="{00000000-0002-0000-0100-000006000000}">
      <formula1>"DES,BMS"</formula1>
    </dataValidation>
    <dataValidation type="list" allowBlank="1" showInputMessage="1" showErrorMessage="1" sqref="B23" xr:uid="{00000000-0002-0000-0100-000007000000}">
      <formula1>"м/а,общий"</formula1>
    </dataValidation>
    <dataValidation type="list" allowBlank="1" showInputMessage="1" showErrorMessage="1" sqref="B39" xr:uid="{00000000-0002-0000-0100-000008000000}">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9000000}">
          <x14:formula1>
            <xm:f>Вмешательства!$F$23:$F$24</xm:f>
          </x14:formula1>
          <xm:sqref>H8</xm:sqref>
        </x14:dataValidation>
        <x14:dataValidation type="list" allowBlank="1" showInputMessage="1" showErrorMessage="1" xr:uid="{00000000-0002-0000-0100-00000A000000}">
          <x14:formula1>
            <xm:f>Вмешательства!$H$2:$T$2</xm:f>
          </x14:formula1>
          <xm:sqref>F8:F10</xm:sqref>
        </x14:dataValidation>
        <x14:dataValidation type="list" allowBlank="1" showInputMessage="1" showErrorMessage="1" xr:uid="{00000000-0002-0000-0100-00000B000000}">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showGridLines="0" showWhiteSpace="0" view="pageBreakPreview" topLeftCell="A4" zoomScaleNormal="90" zoomScaleSheetLayoutView="100" zoomScalePageLayoutView="80" workbookViewId="0">
      <selection activeCell="H18" sqref="H18"/>
    </sheetView>
  </sheetViews>
  <sheetFormatPr defaultRowHeight="15" x14ac:dyDescent="0.2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x14ac:dyDescent="0.25">
      <c r="A1" s="27"/>
      <c r="B1" s="112"/>
      <c r="C1" s="112"/>
      <c r="D1" s="113"/>
    </row>
    <row r="2" spans="1:4" ht="19.899999999999999" customHeight="1" x14ac:dyDescent="0.3">
      <c r="A2" s="96" t="s">
        <v>98</v>
      </c>
      <c r="B2" s="97">
        <f>$D$10</f>
        <v>45100</v>
      </c>
      <c r="C2" s="153" t="str">
        <f>IF(ЧКВ!A6=Вмешательства!D4,Вмешательства!F20,IF(ЧКВ!A6=Вмешательства!D36,Вмешательства!F20,Вмешательства!F22))</f>
        <v>ВМП 1</v>
      </c>
      <c r="D2" s="98" t="s">
        <v>99</v>
      </c>
    </row>
    <row r="3" spans="1:4" ht="20.45" customHeight="1" x14ac:dyDescent="0.25">
      <c r="A3" s="99" t="s">
        <v>97</v>
      </c>
      <c r="B3" s="100"/>
      <c r="D3" s="39"/>
    </row>
    <row r="4" spans="1:4" ht="16.5" thickBot="1" x14ac:dyDescent="0.3">
      <c r="A4" s="148" t="s">
        <v>195</v>
      </c>
      <c r="B4" s="149" t="s">
        <v>105</v>
      </c>
      <c r="C4" s="150" t="s">
        <v>15</v>
      </c>
      <c r="D4" s="202" t="str">
        <f>КАГ!$B$11</f>
        <v>Разживин Н.И.</v>
      </c>
    </row>
    <row r="5" spans="1:4" ht="15.75" thickTop="1" x14ac:dyDescent="0.25">
      <c r="A5"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4" t="str">
        <f>IF(ISBLANK(КАГ!A6),"",КАГ!A6)</f>
        <v>КОРОНАРОГРАФИЯ</v>
      </c>
      <c r="C5" s="132" t="s">
        <v>8</v>
      </c>
      <c r="D5" s="102">
        <f>КАГ!$B$12</f>
        <v>19308</v>
      </c>
    </row>
    <row r="6" spans="1:4" ht="30" x14ac:dyDescent="0.25">
      <c r="A6"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5" t="str">
        <f>ЧКВ!A6</f>
        <v xml:space="preserve">Транслюминальная баллонная ангиопластика и стентирование коронарных артерий. </v>
      </c>
      <c r="C6" s="132" t="s">
        <v>10</v>
      </c>
      <c r="D6" s="103">
        <f>DATEDIF(D5,D10,"y")</f>
        <v>70</v>
      </c>
    </row>
    <row r="7" spans="1:4" x14ac:dyDescent="0.25">
      <c r="A7" s="38"/>
      <c r="C7" s="101" t="s">
        <v>12</v>
      </c>
      <c r="D7" s="103">
        <f>КАГ!$B$14</f>
        <v>16521</v>
      </c>
    </row>
    <row r="8" spans="1:4" x14ac:dyDescent="0.25">
      <c r="A8" s="196" t="str">
        <f>ЧКВ!$A$9</f>
        <v>Код модели: 21166</v>
      </c>
      <c r="B8" s="104"/>
      <c r="C8" s="101" t="s">
        <v>133</v>
      </c>
      <c r="D8" s="103">
        <f>КАГ!$B$15</f>
        <v>35</v>
      </c>
    </row>
    <row r="9" spans="1:4" x14ac:dyDescent="0.25">
      <c r="A9" s="196" t="str">
        <f>ЧКВ!$A$10</f>
        <v>Код метода: 46</v>
      </c>
      <c r="C9" s="105" t="s">
        <v>106</v>
      </c>
      <c r="D9" s="103" t="str">
        <f>КАГ!$B$16</f>
        <v>ОКС с ↑ ST</v>
      </c>
    </row>
    <row r="10" spans="1:4" x14ac:dyDescent="0.25">
      <c r="A10" s="197"/>
      <c r="B10" s="31"/>
      <c r="C10" s="151" t="s">
        <v>13</v>
      </c>
      <c r="D10" s="152">
        <f>КАГ!$B$8</f>
        <v>45100</v>
      </c>
    </row>
    <row r="11" spans="1:4" x14ac:dyDescent="0.25">
      <c r="A11" s="27"/>
      <c r="B11" s="112"/>
      <c r="C11" s="112"/>
      <c r="D11" s="113"/>
    </row>
    <row r="12" spans="1:4" ht="18.75" customHeight="1" x14ac:dyDescent="0.25">
      <c r="A12" s="137" t="s">
        <v>336</v>
      </c>
      <c r="B12" s="138" t="s">
        <v>0</v>
      </c>
      <c r="C12" s="138" t="s">
        <v>14</v>
      </c>
      <c r="D12" s="139" t="s">
        <v>100</v>
      </c>
    </row>
    <row r="13" spans="1:4" ht="27.75" customHeight="1" x14ac:dyDescent="0.25">
      <c r="A13" s="140"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4" t="s">
        <v>514</v>
      </c>
      <c r="C13" s="188"/>
      <c r="D13" s="141">
        <v>2</v>
      </c>
    </row>
    <row r="14" spans="1:4" ht="27.75" customHeight="1" x14ac:dyDescent="0.25">
      <c r="A14" s="142"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5" t="s">
        <v>326</v>
      </c>
      <c r="C14" s="136"/>
      <c r="D14" s="141">
        <v>1</v>
      </c>
    </row>
    <row r="15" spans="1:4" ht="27.75" customHeight="1" x14ac:dyDescent="0.25">
      <c r="A15" s="142"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5" s="155" t="s">
        <v>328</v>
      </c>
      <c r="C15" s="136"/>
      <c r="D15" s="141">
        <v>1</v>
      </c>
    </row>
    <row r="16" spans="1:4" ht="27.75" customHeight="1" x14ac:dyDescent="0.25">
      <c r="A16"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6" s="155" t="s">
        <v>315</v>
      </c>
      <c r="C16" s="136"/>
      <c r="D16" s="141">
        <v>2</v>
      </c>
    </row>
    <row r="17" spans="1:4" ht="27.75" customHeight="1" x14ac:dyDescent="0.25">
      <c r="A17"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5" t="s">
        <v>379</v>
      </c>
      <c r="C17" s="136" t="s">
        <v>409</v>
      </c>
      <c r="D17" s="141">
        <v>1</v>
      </c>
    </row>
    <row r="18" spans="1:4" ht="27.75" customHeight="1" x14ac:dyDescent="0.25">
      <c r="A18"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8" s="155" t="s">
        <v>379</v>
      </c>
      <c r="C18" s="136" t="s">
        <v>412</v>
      </c>
      <c r="D18" s="141">
        <v>1</v>
      </c>
    </row>
    <row r="19" spans="1:4" ht="27.75" customHeight="1" x14ac:dyDescent="0.25">
      <c r="A19"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9" s="155" t="s">
        <v>313</v>
      </c>
      <c r="C19" s="183" t="s">
        <v>431</v>
      </c>
      <c r="D19" s="141">
        <v>1</v>
      </c>
    </row>
    <row r="20" spans="1:4" ht="27.75" customHeight="1" x14ac:dyDescent="0.25">
      <c r="A20"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20" s="156" t="s">
        <v>313</v>
      </c>
      <c r="C20" s="136" t="s">
        <v>420</v>
      </c>
      <c r="D20" s="141">
        <v>1</v>
      </c>
    </row>
    <row r="21" spans="1:4" ht="27.75" customHeight="1" x14ac:dyDescent="0.25">
      <c r="A21"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1" s="155" t="s">
        <v>324</v>
      </c>
      <c r="C21" s="136" t="s">
        <v>462</v>
      </c>
      <c r="D21" s="141">
        <v>1</v>
      </c>
    </row>
    <row r="22" spans="1:4" ht="27.75" customHeight="1" x14ac:dyDescent="0.25">
      <c r="A22"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2" s="155" t="s">
        <v>324</v>
      </c>
      <c r="C22" s="136" t="s">
        <v>472</v>
      </c>
      <c r="D22" s="143">
        <v>1</v>
      </c>
    </row>
    <row r="23" spans="1:4" ht="27.75" customHeight="1" x14ac:dyDescent="0.25">
      <c r="A23" s="142" t="str">
        <f>IFERROR(INDEX(Расходка[[Тип расходного материала ]],MATCH(Карта_Учёта[[#This Row],[Наименование расходного материала]],Расходка[Наименование расходного материала],0)),"")</f>
        <v>Аспирационный катетер</v>
      </c>
      <c r="B23" s="155" t="s">
        <v>310</v>
      </c>
      <c r="C23" s="136"/>
      <c r="D23" s="143">
        <v>1</v>
      </c>
    </row>
    <row r="24" spans="1:4" ht="27.75" customHeight="1" x14ac:dyDescent="0.25">
      <c r="A24" s="144" t="str">
        <f>IFERROR(INDEX(Расходка[[Тип расходного материала ]],MATCH(Карта_Учёта[[#This Row],[Наименование расходного материала]],Расходка[Наименование расходного материала],0)),"")</f>
        <v/>
      </c>
      <c r="B24" s="155"/>
      <c r="C24" s="136"/>
      <c r="D24" s="143"/>
    </row>
    <row r="25" spans="1:4" ht="27.75" customHeight="1" x14ac:dyDescent="0.25">
      <c r="A25" s="145" t="str">
        <f>IFERROR(INDEX(Расходка[[Тип расходного материала ]],MATCH(Карта_Учёта[[#This Row],[Наименование расходного материала]],Расходка[Наименование расходного материала],0)),"")</f>
        <v/>
      </c>
      <c r="B25" s="157"/>
      <c r="C25" s="146"/>
      <c r="D25" s="147"/>
    </row>
    <row r="26" spans="1:4" ht="14.45" customHeight="1" x14ac:dyDescent="0.25">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x14ac:dyDescent="0.25">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x14ac:dyDescent="0.25">
      <c r="A28" s="38" t="s">
        <v>11</v>
      </c>
      <c r="B28" t="s">
        <v>11</v>
      </c>
      <c r="D28" s="39"/>
    </row>
    <row r="29" spans="1:4" ht="14.45" customHeight="1" x14ac:dyDescent="0.25">
      <c r="A29" s="38" t="s">
        <v>11</v>
      </c>
      <c r="B29" t="s">
        <v>11</v>
      </c>
      <c r="D29" s="39"/>
    </row>
    <row r="30" spans="1:4" ht="14.45" customHeight="1" x14ac:dyDescent="0.25">
      <c r="A30" s="38" t="s">
        <v>11</v>
      </c>
      <c r="B30" t="s">
        <v>11</v>
      </c>
      <c r="D30" s="39"/>
    </row>
    <row r="31" spans="1:4" ht="14.45" customHeight="1" x14ac:dyDescent="0.25">
      <c r="A31" s="38" t="s">
        <v>11</v>
      </c>
      <c r="B31" t="s">
        <v>11</v>
      </c>
      <c r="D31" s="39"/>
    </row>
    <row r="32" spans="1:4" ht="14.45" customHeight="1" x14ac:dyDescent="0.25">
      <c r="A32" s="38" t="s">
        <v>11</v>
      </c>
      <c r="D32" s="39"/>
    </row>
    <row r="33" spans="1:4" ht="14.45" customHeight="1" x14ac:dyDescent="0.25">
      <c r="A33" s="38"/>
      <c r="D33" s="39"/>
    </row>
    <row r="34" spans="1:4" ht="14.45" customHeight="1" x14ac:dyDescent="0.25">
      <c r="A34" s="38"/>
      <c r="D34" s="39"/>
    </row>
    <row r="35" spans="1:4" ht="19.899999999999999" customHeight="1" x14ac:dyDescent="0.25">
      <c r="A35" s="38"/>
      <c r="B35" s="110" t="s">
        <v>381</v>
      </c>
      <c r="C35" s="13"/>
      <c r="D35" s="39"/>
    </row>
    <row r="36" spans="1:4" ht="19.899999999999999" customHeight="1" x14ac:dyDescent="0.25">
      <c r="A36" s="38"/>
      <c r="D36" s="39"/>
    </row>
    <row r="37" spans="1:4" ht="19.899999999999999" customHeight="1" x14ac:dyDescent="0.25">
      <c r="A37" s="38"/>
      <c r="B37" s="117" t="str">
        <f>"Оператор:"&amp;" "&amp;ЧКВ!$G$13</f>
        <v>Оператор: Щербаков А.С.</v>
      </c>
      <c r="C37" s="13"/>
      <c r="D37" s="39"/>
    </row>
    <row r="38" spans="1:4" ht="19.899999999999999" customHeight="1" x14ac:dyDescent="0.25">
      <c r="A38" s="38"/>
      <c r="D38" s="39"/>
    </row>
    <row r="39" spans="1:4" ht="19.899999999999999" customHeight="1" x14ac:dyDescent="0.25">
      <c r="A39" s="38"/>
      <c r="B39" s="111" t="s">
        <v>372</v>
      </c>
      <c r="C39" s="114"/>
      <c r="D39" s="39"/>
    </row>
    <row r="40" spans="1:4" ht="19.899999999999999" customHeight="1" x14ac:dyDescent="0.25">
      <c r="A40" s="40"/>
      <c r="B40" s="31"/>
      <c r="C40" s="31"/>
      <c r="D40" s="41"/>
    </row>
    <row r="41" spans="1:4" ht="14.45" customHeight="1" x14ac:dyDescent="0.25">
      <c r="C41" s="11"/>
    </row>
  </sheetData>
  <sheetProtection formatCells="0" formatColumns="0" formatRows="0" sort="0" autoFilter="0"/>
  <phoneticPr fontId="14" type="noConversion"/>
  <dataValidations count="17">
    <dataValidation allowBlank="1" showInputMessage="1" sqref="B5:B6" xr:uid="{00000000-0002-0000-0200-000000000000}"/>
    <dataValidation type="list" errorStyle="warning" allowBlank="1" showInputMessage="1" showErrorMessage="1" errorTitle="Ой)))" error="Размера нет в базе данных!" sqref="C13:C14 C16:C25" xr:uid="{00000000-0002-0000-0200-000001000000}">
      <formula1>Размеры_стентов_балонов</formula1>
    </dataValidation>
    <dataValidation type="list" allowBlank="1" showInputMessage="1" sqref="B13" xr:uid="{00000000-0002-0000-0200-000002000000}">
      <formula1>ВЫП.Список_Расходка_1</formula1>
    </dataValidation>
    <dataValidation type="list" allowBlank="1" showInputMessage="1" sqref="B14" xr:uid="{00000000-0002-0000-0200-000003000000}">
      <formula1>ВЫП.Список_Расходка_2</formula1>
    </dataValidation>
    <dataValidation type="list" allowBlank="1" showInputMessage="1" sqref="B15" xr:uid="{00000000-0002-0000-0200-000004000000}">
      <formula1>ВЫП.Список_Расходка_3</formula1>
    </dataValidation>
    <dataValidation type="list" allowBlank="1" showInputMessage="1" showErrorMessage="1" sqref="B39 B35" xr:uid="{00000000-0002-0000-0200-000005000000}">
      <formula1>INDIRECT("Сотрудники[Должность: ФИО]")</formula1>
    </dataValidation>
    <dataValidation type="list" allowBlank="1" showInputMessage="1" sqref="B17" xr:uid="{00000000-0002-0000-0200-000006000000}">
      <formula1>ВЫП.Список_Расходка_5</formula1>
    </dataValidation>
    <dataValidation type="list" allowBlank="1" showInputMessage="1" sqref="B18" xr:uid="{00000000-0002-0000-0200-000007000000}">
      <formula1>ВЫП.Список_Расходка_6</formula1>
    </dataValidation>
    <dataValidation type="list" allowBlank="1" showInputMessage="1" sqref="B19" xr:uid="{00000000-0002-0000-0200-000008000000}">
      <formula1>ВЫП.Список_Расходка_7</formula1>
    </dataValidation>
    <dataValidation type="list" allowBlank="1" showInputMessage="1" sqref="B20" xr:uid="{00000000-0002-0000-0200-000009000000}">
      <formula1>ВЫП.Список_Расходка_8</formula1>
    </dataValidation>
    <dataValidation type="list" allowBlank="1" showInputMessage="1" sqref="B21" xr:uid="{00000000-0002-0000-0200-00000A000000}">
      <formula1>ВЫП.Список_Расходка_9</formula1>
    </dataValidation>
    <dataValidation type="list" allowBlank="1" showInputMessage="1" sqref="B22" xr:uid="{00000000-0002-0000-0200-00000B000000}">
      <formula1>ВЫП.Список_Расходка_10</formula1>
    </dataValidation>
    <dataValidation type="list" allowBlank="1" showInputMessage="1" sqref="B23" xr:uid="{00000000-0002-0000-0200-00000C000000}">
      <formula1>ВЫП.Список_Расходка_11</formula1>
    </dataValidation>
    <dataValidation type="list" allowBlank="1" showInputMessage="1" sqref="B24" xr:uid="{00000000-0002-0000-0200-00000D000000}">
      <formula1>ВЫП.Список_Расходка_12</formula1>
    </dataValidation>
    <dataValidation type="list" allowBlank="1" showInputMessage="1" sqref="B25" xr:uid="{00000000-0002-0000-0200-00000E000000}">
      <formula1>ВЫП.Список_Расходка_13</formula1>
    </dataValidation>
    <dataValidation type="list" errorStyle="warning" allowBlank="1" showInputMessage="1" showErrorMessage="1" errorTitle="Ой)))" error="Размера нет в базе данных" sqref="C15" xr:uid="{00000000-0002-0000-0200-00000F000000}">
      <formula1>Размеры_стентов_балонов</formula1>
    </dataValidation>
    <dataValidation type="list" allowBlank="1" showInputMessage="1" sqref="B16" xr:uid="{911EF318-FAC1-468D-9B2E-5BFF895B0773}">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zoomScale="90" zoomScaleNormal="90" workbookViewId="0">
      <pane ySplit="1" topLeftCell="A5" activePane="bottomLeft" state="frozen"/>
      <selection pane="bottomLeft" activeCell="V21" sqref="V21"/>
    </sheetView>
  </sheetViews>
  <sheetFormatPr defaultRowHeight="15" outlineLevelCol="1" x14ac:dyDescent="0.25"/>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x14ac:dyDescent="0.25">
      <c r="A1" s="6" t="s">
        <v>2</v>
      </c>
      <c r="B1" s="6" t="s">
        <v>7</v>
      </c>
      <c r="C1" s="7" t="s">
        <v>16</v>
      </c>
      <c r="D1" s="9" t="s">
        <v>17</v>
      </c>
      <c r="V1" t="s">
        <v>227</v>
      </c>
    </row>
    <row r="2" spans="1:23" x14ac:dyDescent="0.25">
      <c r="A2" s="8">
        <v>1</v>
      </c>
      <c r="B2" s="2" t="s">
        <v>9</v>
      </c>
      <c r="C2" s="8" t="s">
        <v>228</v>
      </c>
      <c r="D2" s="5" t="s">
        <v>213</v>
      </c>
      <c r="F2" t="s">
        <v>106</v>
      </c>
      <c r="G2" s="3" t="s">
        <v>492</v>
      </c>
      <c r="H2" s="3">
        <v>1</v>
      </c>
      <c r="I2" s="3">
        <v>2</v>
      </c>
      <c r="J2" s="3">
        <v>3</v>
      </c>
      <c r="K2" s="3">
        <v>4</v>
      </c>
      <c r="L2" s="3">
        <v>5</v>
      </c>
      <c r="M2" s="3">
        <v>6</v>
      </c>
      <c r="N2" s="3">
        <v>7</v>
      </c>
      <c r="O2" s="3">
        <v>8</v>
      </c>
      <c r="P2" s="3">
        <v>9</v>
      </c>
      <c r="Q2" s="3">
        <v>10</v>
      </c>
      <c r="R2" s="3">
        <v>11</v>
      </c>
      <c r="S2" s="3">
        <v>12</v>
      </c>
      <c r="T2" s="3">
        <v>13</v>
      </c>
      <c r="V2" t="s">
        <v>217</v>
      </c>
    </row>
    <row r="3" spans="1:23" x14ac:dyDescent="0.25">
      <c r="A3" s="8">
        <v>2</v>
      </c>
      <c r="B3" s="2" t="s">
        <v>18</v>
      </c>
      <c r="C3" s="8" t="s">
        <v>85</v>
      </c>
      <c r="D3" s="5" t="s">
        <v>214</v>
      </c>
      <c r="F3" t="s">
        <v>491</v>
      </c>
      <c r="G3" s="3" t="s">
        <v>492</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x14ac:dyDescent="0.25">
      <c r="A4" s="8">
        <v>3</v>
      </c>
      <c r="B4" s="2" t="s">
        <v>38</v>
      </c>
      <c r="C4" s="8" t="s">
        <v>39</v>
      </c>
      <c r="D4" s="5" t="s">
        <v>208</v>
      </c>
      <c r="F4" t="s">
        <v>312</v>
      </c>
      <c r="G4" s="3" t="s">
        <v>492</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x14ac:dyDescent="0.25">
      <c r="A5" s="8">
        <v>4</v>
      </c>
      <c r="B5" s="2" t="s">
        <v>36</v>
      </c>
      <c r="C5" s="8" t="s">
        <v>37</v>
      </c>
      <c r="D5" s="5" t="s">
        <v>406</v>
      </c>
      <c r="F5" t="s">
        <v>131</v>
      </c>
      <c r="G5" s="3" t="s">
        <v>492</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x14ac:dyDescent="0.25">
      <c r="A6" s="8">
        <v>5</v>
      </c>
      <c r="B6" s="2"/>
      <c r="C6" s="8" t="s">
        <v>229</v>
      </c>
      <c r="D6" s="5" t="s">
        <v>132</v>
      </c>
      <c r="F6" t="s">
        <v>125</v>
      </c>
      <c r="G6" s="3" t="s">
        <v>492</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x14ac:dyDescent="0.25">
      <c r="A7" s="8">
        <v>6</v>
      </c>
      <c r="B7" s="2"/>
      <c r="C7" s="8" t="s">
        <v>80</v>
      </c>
      <c r="D7" s="5" t="s">
        <v>247</v>
      </c>
      <c r="F7" t="s">
        <v>127</v>
      </c>
      <c r="G7" s="3" t="s">
        <v>492</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x14ac:dyDescent="0.25">
      <c r="A8" s="8">
        <v>7</v>
      </c>
      <c r="B8" s="2" t="s">
        <v>35</v>
      </c>
      <c r="C8" s="8" t="s">
        <v>86</v>
      </c>
      <c r="D8" s="5" t="s">
        <v>87</v>
      </c>
      <c r="F8" t="s">
        <v>126</v>
      </c>
      <c r="G8" s="3" t="s">
        <v>492</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x14ac:dyDescent="0.25">
      <c r="A9" s="8">
        <v>8</v>
      </c>
      <c r="B9" s="2"/>
      <c r="C9" s="8" t="s">
        <v>230</v>
      </c>
      <c r="D9" s="5" t="s">
        <v>139</v>
      </c>
      <c r="F9" t="s">
        <v>128</v>
      </c>
      <c r="G9" s="3" t="s">
        <v>492</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x14ac:dyDescent="0.25">
      <c r="A10" s="8">
        <v>9</v>
      </c>
      <c r="B10" s="2" t="s">
        <v>25</v>
      </c>
      <c r="C10" s="8" t="s">
        <v>231</v>
      </c>
      <c r="D10" s="5" t="s">
        <v>26</v>
      </c>
      <c r="G10" s="3"/>
      <c r="H10" s="12"/>
      <c r="I10" s="12"/>
      <c r="J10" s="3"/>
      <c r="K10" s="3"/>
      <c r="L10" s="3"/>
      <c r="M10" s="3"/>
      <c r="N10" s="12"/>
      <c r="O10" s="12"/>
      <c r="P10" s="12"/>
      <c r="Q10" s="12"/>
      <c r="R10" s="12"/>
      <c r="S10" s="12"/>
      <c r="T10" s="12"/>
      <c r="V10" t="s">
        <v>224</v>
      </c>
    </row>
    <row r="11" spans="1:23" x14ac:dyDescent="0.25">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x14ac:dyDescent="0.25">
      <c r="A12" s="8">
        <v>11</v>
      </c>
      <c r="B12" s="2" t="s">
        <v>21</v>
      </c>
      <c r="C12" s="8" t="s">
        <v>233</v>
      </c>
      <c r="D12" s="5" t="s">
        <v>22</v>
      </c>
      <c r="F12" t="s">
        <v>106</v>
      </c>
      <c r="G12" s="3" t="s">
        <v>493</v>
      </c>
      <c r="H12" s="3">
        <v>1</v>
      </c>
      <c r="I12" s="3">
        <v>2</v>
      </c>
      <c r="J12" s="3">
        <v>3</v>
      </c>
      <c r="K12" s="3">
        <v>4</v>
      </c>
      <c r="L12" s="3">
        <v>5</v>
      </c>
      <c r="M12" s="3">
        <v>6</v>
      </c>
      <c r="N12" s="3">
        <v>7</v>
      </c>
      <c r="O12" s="3">
        <v>8</v>
      </c>
      <c r="P12" s="3">
        <v>9</v>
      </c>
      <c r="Q12" s="3">
        <v>10</v>
      </c>
      <c r="R12" s="3">
        <v>11</v>
      </c>
      <c r="S12" s="3">
        <v>12</v>
      </c>
      <c r="T12" s="3">
        <v>13</v>
      </c>
      <c r="V12" t="s">
        <v>225</v>
      </c>
      <c r="W12" s="12"/>
    </row>
    <row r="13" spans="1:23" x14ac:dyDescent="0.25">
      <c r="A13" s="8">
        <v>12</v>
      </c>
      <c r="B13" s="2" t="s">
        <v>23</v>
      </c>
      <c r="C13" s="8" t="s">
        <v>234</v>
      </c>
      <c r="D13" s="5" t="s">
        <v>24</v>
      </c>
      <c r="F13" t="s">
        <v>491</v>
      </c>
      <c r="G13" s="3" t="s">
        <v>493</v>
      </c>
      <c r="H13" s="3">
        <v>47</v>
      </c>
      <c r="I13" s="3">
        <v>46</v>
      </c>
      <c r="J13" s="3">
        <v>45</v>
      </c>
      <c r="K13" s="3">
        <v>45</v>
      </c>
      <c r="L13" s="3">
        <v>45</v>
      </c>
      <c r="M13" s="3">
        <v>45</v>
      </c>
      <c r="N13" s="3">
        <v>45</v>
      </c>
      <c r="O13" s="3">
        <v>45</v>
      </c>
      <c r="P13" s="3">
        <v>45</v>
      </c>
      <c r="Q13" s="3">
        <v>45</v>
      </c>
      <c r="R13" s="3">
        <v>45</v>
      </c>
      <c r="S13" s="3">
        <v>45</v>
      </c>
      <c r="T13" s="3">
        <v>45</v>
      </c>
      <c r="V13" t="s">
        <v>226</v>
      </c>
      <c r="W13" s="12"/>
    </row>
    <row r="14" spans="1:23" x14ac:dyDescent="0.25">
      <c r="A14" s="8">
        <v>13</v>
      </c>
      <c r="B14" s="2" t="s">
        <v>27</v>
      </c>
      <c r="C14" s="8" t="s">
        <v>235</v>
      </c>
      <c r="D14" s="5" t="s">
        <v>28</v>
      </c>
      <c r="F14" t="s">
        <v>312</v>
      </c>
      <c r="G14" s="3" t="s">
        <v>493</v>
      </c>
      <c r="H14" s="3">
        <v>47</v>
      </c>
      <c r="I14" s="3">
        <v>46</v>
      </c>
      <c r="J14" s="3">
        <v>45</v>
      </c>
      <c r="K14" s="3">
        <v>45</v>
      </c>
      <c r="L14" s="3">
        <v>45</v>
      </c>
      <c r="M14" s="3">
        <v>45</v>
      </c>
      <c r="N14" s="3">
        <v>45</v>
      </c>
      <c r="O14" s="3">
        <v>45</v>
      </c>
      <c r="P14" s="3">
        <v>45</v>
      </c>
      <c r="Q14" s="3">
        <v>45</v>
      </c>
      <c r="R14" s="3">
        <v>45</v>
      </c>
      <c r="S14" s="3">
        <v>45</v>
      </c>
      <c r="T14" s="3">
        <v>45</v>
      </c>
      <c r="W14" s="12"/>
    </row>
    <row r="15" spans="1:23" x14ac:dyDescent="0.25">
      <c r="A15" s="8">
        <v>14</v>
      </c>
      <c r="B15" s="2" t="s">
        <v>29</v>
      </c>
      <c r="C15" s="8" t="s">
        <v>236</v>
      </c>
      <c r="D15" s="5" t="s">
        <v>30</v>
      </c>
      <c r="F15" t="s">
        <v>131</v>
      </c>
      <c r="G15" s="3" t="s">
        <v>493</v>
      </c>
      <c r="H15" s="3">
        <v>2633</v>
      </c>
      <c r="I15" s="3">
        <v>46</v>
      </c>
      <c r="J15" s="3">
        <v>45</v>
      </c>
      <c r="K15" s="3">
        <v>45</v>
      </c>
      <c r="L15" s="3">
        <v>45</v>
      </c>
      <c r="M15" s="3">
        <v>45</v>
      </c>
      <c r="N15" s="3">
        <v>45</v>
      </c>
      <c r="O15" s="3">
        <v>45</v>
      </c>
      <c r="P15" s="3">
        <v>45</v>
      </c>
      <c r="Q15" s="3">
        <v>45</v>
      </c>
      <c r="R15" s="3">
        <v>45</v>
      </c>
      <c r="S15" s="3">
        <v>45</v>
      </c>
      <c r="T15" s="3">
        <v>45</v>
      </c>
      <c r="V15" t="s">
        <v>399</v>
      </c>
      <c r="W15" s="12"/>
    </row>
    <row r="16" spans="1:23" x14ac:dyDescent="0.25">
      <c r="A16" s="8">
        <v>15</v>
      </c>
      <c r="B16" s="2" t="s">
        <v>31</v>
      </c>
      <c r="C16" s="8" t="s">
        <v>237</v>
      </c>
      <c r="D16" s="5" t="s">
        <v>32</v>
      </c>
      <c r="V16" t="s">
        <v>400</v>
      </c>
    </row>
    <row r="17" spans="1:23" x14ac:dyDescent="0.25">
      <c r="A17" s="8">
        <v>16</v>
      </c>
      <c r="B17" s="2" t="s">
        <v>33</v>
      </c>
      <c r="C17" s="8" t="s">
        <v>238</v>
      </c>
      <c r="D17" s="5" t="s">
        <v>34</v>
      </c>
      <c r="F17" t="s">
        <v>494</v>
      </c>
      <c r="V17" t="s">
        <v>401</v>
      </c>
    </row>
    <row r="18" spans="1:23" ht="30" x14ac:dyDescent="0.25">
      <c r="A18" s="8">
        <v>17</v>
      </c>
      <c r="B18" s="2" t="s">
        <v>40</v>
      </c>
      <c r="C18" s="8" t="s">
        <v>41</v>
      </c>
      <c r="D18" s="5" t="s">
        <v>42</v>
      </c>
      <c r="F18" t="s">
        <v>215</v>
      </c>
    </row>
    <row r="19" spans="1:23" ht="30" x14ac:dyDescent="0.25">
      <c r="A19" s="8">
        <v>18</v>
      </c>
      <c r="B19" s="2" t="s">
        <v>43</v>
      </c>
      <c r="C19" s="8" t="s">
        <v>44</v>
      </c>
      <c r="D19" s="5" t="s">
        <v>45</v>
      </c>
      <c r="F19" t="s">
        <v>207</v>
      </c>
    </row>
    <row r="20" spans="1:23" ht="30" x14ac:dyDescent="0.25">
      <c r="A20" s="8">
        <v>19</v>
      </c>
      <c r="B20" s="2" t="s">
        <v>46</v>
      </c>
      <c r="C20" s="8" t="s">
        <v>47</v>
      </c>
      <c r="D20" s="5" t="s">
        <v>48</v>
      </c>
      <c r="F20" t="s">
        <v>305</v>
      </c>
      <c r="J20" s="12"/>
    </row>
    <row r="21" spans="1:23" ht="30" x14ac:dyDescent="0.25">
      <c r="A21" s="8">
        <v>20</v>
      </c>
      <c r="B21" s="2" t="s">
        <v>49</v>
      </c>
      <c r="C21" s="8" t="s">
        <v>50</v>
      </c>
      <c r="D21" s="5" t="s">
        <v>51</v>
      </c>
      <c r="F21" t="s">
        <v>337</v>
      </c>
      <c r="J21" s="12"/>
    </row>
    <row r="22" spans="1:23" ht="30" x14ac:dyDescent="0.25">
      <c r="A22" s="8">
        <v>21</v>
      </c>
      <c r="B22" s="2" t="s">
        <v>52</v>
      </c>
      <c r="C22" s="8" t="s">
        <v>53</v>
      </c>
      <c r="D22" s="5" t="s">
        <v>54</v>
      </c>
      <c r="F22" t="s">
        <v>338</v>
      </c>
      <c r="J22" s="12"/>
      <c r="U22" s="2"/>
    </row>
    <row r="23" spans="1:23" x14ac:dyDescent="0.25">
      <c r="A23" s="8">
        <v>22</v>
      </c>
      <c r="B23" s="2" t="s">
        <v>55</v>
      </c>
      <c r="C23" s="8" t="s">
        <v>56</v>
      </c>
      <c r="D23" s="5" t="s">
        <v>57</v>
      </c>
      <c r="F23" t="s">
        <v>348</v>
      </c>
      <c r="J23" s="12"/>
      <c r="U23" s="2"/>
    </row>
    <row r="24" spans="1:23" x14ac:dyDescent="0.25">
      <c r="A24" s="8">
        <v>23</v>
      </c>
      <c r="B24" s="2" t="s">
        <v>58</v>
      </c>
      <c r="C24" s="8" t="s">
        <v>59</v>
      </c>
      <c r="D24" s="5" t="s">
        <v>60</v>
      </c>
      <c r="F24" t="s">
        <v>509</v>
      </c>
      <c r="H24" s="10"/>
      <c r="K24" s="2"/>
      <c r="U24" s="2"/>
      <c r="W24" s="12"/>
    </row>
    <row r="25" spans="1:23" ht="30" x14ac:dyDescent="0.25">
      <c r="A25" s="8">
        <v>24</v>
      </c>
      <c r="B25" s="2" t="s">
        <v>61</v>
      </c>
      <c r="C25" s="8" t="s">
        <v>62</v>
      </c>
      <c r="D25" s="5" t="s">
        <v>63</v>
      </c>
      <c r="K25" s="2"/>
    </row>
    <row r="26" spans="1:23" ht="45" x14ac:dyDescent="0.25">
      <c r="A26" s="8">
        <v>25</v>
      </c>
      <c r="B26" s="2" t="s">
        <v>64</v>
      </c>
      <c r="C26" s="8" t="s">
        <v>65</v>
      </c>
      <c r="D26" s="5" t="s">
        <v>66</v>
      </c>
      <c r="H26" s="10"/>
      <c r="K26" s="3"/>
      <c r="W26" s="10"/>
    </row>
    <row r="27" spans="1:23" x14ac:dyDescent="0.25">
      <c r="A27" s="8">
        <v>26</v>
      </c>
      <c r="B27" s="2" t="s">
        <v>67</v>
      </c>
      <c r="C27" s="78" t="s">
        <v>244</v>
      </c>
      <c r="D27" s="5" t="s">
        <v>245</v>
      </c>
      <c r="H27" s="10"/>
      <c r="W27" s="10"/>
    </row>
    <row r="28" spans="1:23" ht="45" x14ac:dyDescent="0.25">
      <c r="A28" s="8">
        <v>27</v>
      </c>
      <c r="B28" s="2" t="s">
        <v>68</v>
      </c>
      <c r="C28" s="78" t="s">
        <v>69</v>
      </c>
      <c r="D28" s="5" t="s">
        <v>70</v>
      </c>
      <c r="H28" s="10"/>
      <c r="W28" s="10"/>
    </row>
    <row r="29" spans="1:23" ht="30" x14ac:dyDescent="0.25">
      <c r="A29" s="8">
        <v>28</v>
      </c>
      <c r="B29" s="2" t="s">
        <v>71</v>
      </c>
      <c r="C29" s="78" t="s">
        <v>72</v>
      </c>
      <c r="D29" s="5" t="s">
        <v>73</v>
      </c>
      <c r="H29" s="10"/>
      <c r="W29" s="10"/>
    </row>
    <row r="30" spans="1:23" x14ac:dyDescent="0.25">
      <c r="A30" s="8">
        <v>29</v>
      </c>
      <c r="B30" s="2" t="s">
        <v>74</v>
      </c>
      <c r="C30" s="78" t="s">
        <v>240</v>
      </c>
      <c r="D30" s="5" t="s">
        <v>75</v>
      </c>
      <c r="H30" s="10"/>
      <c r="W30" s="10"/>
    </row>
    <row r="31" spans="1:23" x14ac:dyDescent="0.25">
      <c r="A31" s="8">
        <v>30</v>
      </c>
      <c r="B31" s="2" t="s">
        <v>76</v>
      </c>
      <c r="C31" s="78" t="s">
        <v>239</v>
      </c>
      <c r="D31" s="5" t="s">
        <v>77</v>
      </c>
      <c r="H31" s="10"/>
      <c r="W31" s="10"/>
    </row>
    <row r="32" spans="1:23" x14ac:dyDescent="0.25">
      <c r="A32" s="8">
        <v>31</v>
      </c>
      <c r="B32" s="2" t="s">
        <v>78</v>
      </c>
      <c r="C32" s="78" t="s">
        <v>241</v>
      </c>
      <c r="D32" s="5" t="s">
        <v>79</v>
      </c>
      <c r="H32" s="10"/>
      <c r="W32" s="10"/>
    </row>
    <row r="33" spans="1:23" x14ac:dyDescent="0.25">
      <c r="A33" s="8">
        <v>32</v>
      </c>
      <c r="B33" s="2" t="s">
        <v>81</v>
      </c>
      <c r="C33" s="78" t="s">
        <v>82</v>
      </c>
      <c r="D33" s="5" t="s">
        <v>242</v>
      </c>
      <c r="H33" s="10"/>
      <c r="I33" s="10"/>
      <c r="W33" s="10"/>
    </row>
    <row r="34" spans="1:23" x14ac:dyDescent="0.25">
      <c r="A34" s="8">
        <v>33</v>
      </c>
      <c r="B34" s="2" t="s">
        <v>83</v>
      </c>
      <c r="C34" s="78" t="s">
        <v>84</v>
      </c>
      <c r="D34" s="5" t="s">
        <v>243</v>
      </c>
      <c r="H34" s="10"/>
      <c r="W34" s="10"/>
    </row>
    <row r="35" spans="1:23" x14ac:dyDescent="0.25">
      <c r="A35" s="8">
        <v>34</v>
      </c>
      <c r="B35" s="2"/>
      <c r="C35" s="78" t="s">
        <v>246</v>
      </c>
      <c r="D35" s="5" t="s">
        <v>88</v>
      </c>
      <c r="H35" s="10"/>
      <c r="W35" s="10"/>
    </row>
    <row r="36" spans="1:23" ht="34.15" customHeight="1" x14ac:dyDescent="0.25">
      <c r="A36" s="8"/>
      <c r="B36" s="2"/>
      <c r="C36" s="8"/>
      <c r="D36" s="5"/>
      <c r="F36" s="10"/>
      <c r="H36" s="10"/>
      <c r="W36" s="10"/>
    </row>
    <row r="37" spans="1:23" x14ac:dyDescent="0.25">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AP97"/>
  <sheetViews>
    <sheetView topLeftCell="A2" zoomScaleNormal="100" workbookViewId="0">
      <selection activeCell="Q37" sqref="Q37"/>
    </sheetView>
  </sheetViews>
  <sheetFormatPr defaultRowHeight="15" outlineLevelCol="1" x14ac:dyDescent="0.25"/>
  <cols>
    <col min="1" max="1" width="3.140625" bestFit="1" customWidth="1"/>
    <col min="2" max="2" width="34.42578125" bestFit="1" customWidth="1"/>
    <col min="3" max="3" width="35.5703125"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x14ac:dyDescent="0.25">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506</v>
      </c>
      <c r="AN1" s="2" t="s">
        <v>500</v>
      </c>
      <c r="AO1" t="s">
        <v>357</v>
      </c>
      <c r="AP1" s="160"/>
    </row>
    <row r="2" spans="1:42" x14ac:dyDescent="0.25">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0</v>
      </c>
      <c r="I2" s="116">
        <f>IF(ISNUMBER(SEARCH('Карта учёта'!$B$17,Расходка[[#This Row],[Наименование расходного материала]])),MAX($I$1:I1)+1,0)</f>
        <v>0</v>
      </c>
      <c r="J2" s="116">
        <f>IF(ISNUMBER(SEARCH('Карта учёта'!$B$18,Расходка[[#This Row],[Наименование расходного материала]])),MAX($J$1:J1)+1,0)</f>
        <v>0</v>
      </c>
      <c r="K2" s="116">
        <f>IF(ISNUMBER(SEARCH('Карта учёта'!$B$19,Расходка[[#This Row],[Наименование расходного материала]])),MAX($K$1:K1)+1,0)</f>
        <v>0</v>
      </c>
      <c r="L2" s="116">
        <f>IF(ISNUMBER(SEARCH('Карта учёта'!$B$20,Расходка[[#This Row],[Наименование расходного материала]])),MAX($L$1:L1)+1,0)</f>
        <v>0</v>
      </c>
      <c r="M2" s="116">
        <f>IF(ISNUMBER(SEARCH('Карта учёта'!$B$21,Расходка[[#This Row],[Наименование расходного материала]])),MAX($M$1:M1)+1,0)</f>
        <v>0</v>
      </c>
      <c r="N2" s="2">
        <f>IF(ISNUMBER(SEARCH('Карта учёта'!$B$22,Расходка[[#This Row],[Наименование расходного материала]])),MAX($N$1:N1)+1,0)</f>
        <v>0</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"МИМ". Тюмень</v>
      </c>
      <c r="S2" s="115" t="str">
        <f>IFERROR(INDEX(Расходка[Наименование расходного материала],MATCH(Расходка[[#This Row],[№]],Поиск_расходки[Индекс2],0)),"")</f>
        <v>Launcher 6F EBU 3.5</v>
      </c>
      <c r="T2" s="115" t="str">
        <f>IFERROR(INDEX(Расходка[Наименование расходного материала],MATCH(Расходка[[#This Row],[№]],Поиск_расходки[Индекс3],0)),"")</f>
        <v>Launcher 6F JL 3.5</v>
      </c>
      <c r="U2" s="115" t="str">
        <f>IFERROR(INDEX(Расходка[Наименование расходного материала],MATCH(Расходка[[#This Row],[№]],Поиск_расходки[Индекс4],0)),"")</f>
        <v>Fielder</v>
      </c>
      <c r="V2" s="115" t="str">
        <f>IFERROR(INDEX(Расходка[Наименование расходного материала],MATCH(Расходка[[#This Row],[№]],Поиск_расходки[Индекс5],0)),"")</f>
        <v>Колибри</v>
      </c>
      <c r="W2" s="115" t="str">
        <f>IFERROR(INDEX(Расходка[Наименование расходного материала],MATCH(Расходка[[#This Row],[№]],Поиск_расходки[Индекс6],0)),"")</f>
        <v>Колибри</v>
      </c>
      <c r="X2" s="115" t="str">
        <f>IFERROR(INDEX(Расходка[Наименование расходного материала],MATCH(Расходка[[#This Row],[№]],Поиск_расходки[Индекс7],0)),"")</f>
        <v>NC Accuforce</v>
      </c>
      <c r="Y2" s="115" t="str">
        <f>IFERROR(INDEX(Расходка[Наименование расходного материала],MATCH(Расходка[[#This Row],[№]],Поиск_расходки[Индекс8],0)),"")</f>
        <v>NC Accuforce</v>
      </c>
      <c r="Z2" s="115" t="str">
        <f>IFERROR(INDEX(Расходка[Наименование расходного материала],MATCH(Расходка[[#This Row],[№]],Поиск_расходки[Индекс9],0)),"")</f>
        <v>DES, Resolute Integtity</v>
      </c>
      <c r="AA2" s="115" t="str">
        <f>IFERROR(INDEX(Расходка[Наименование расходного материала],MATCH(Расходка[[#This Row],[№]],Поиск_расходки[Индекс10],0)),"")</f>
        <v>DES, Resolute Integtity</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408</v>
      </c>
      <c r="AI2" t="s">
        <v>190</v>
      </c>
      <c r="AJ2" t="s">
        <v>199</v>
      </c>
      <c r="AK2" t="str">
        <f>CONCATENATE(AI2,AJ2)</f>
        <v xml:space="preserve">Контраст: Ультравист 370 </v>
      </c>
      <c r="AM2" s="190">
        <v>155800</v>
      </c>
      <c r="AN2" s="2" t="s">
        <v>309</v>
      </c>
      <c r="AO2" t="s">
        <v>502</v>
      </c>
      <c r="AP2" s="129"/>
    </row>
    <row r="3" spans="1:42" x14ac:dyDescent="0.25">
      <c r="A3">
        <v>2</v>
      </c>
      <c r="B3" t="s">
        <v>94</v>
      </c>
      <c r="C3" t="s">
        <v>374</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учёта'!$B$17,Расходка[[#This Row],[Наименование расходного материала]])),MAX($I$1:I2)+1,0)</f>
        <v>0</v>
      </c>
      <c r="J3" s="116">
        <f>IF(ISNUMBER(SEARCH('Карта учёта'!$B$18,Расходка[[#This Row],[Наименование расходного материала]])),MAX($J$1:J2)+1,0)</f>
        <v>0</v>
      </c>
      <c r="K3" s="116">
        <f>IF(ISNUMBER(SEARCH('Карта учёта'!$B$19,Расходка[[#This Row],[Наименование расходного материала]])),MAX($K$1:K2)+1,0)</f>
        <v>0</v>
      </c>
      <c r="L3" s="116">
        <f>IF(ISNUMBER(SEARCH('Карта учёта'!$B$20,Расходка[[#This Row],[Наименование расходного материала]])),MAX($L$1:L2)+1,0)</f>
        <v>0</v>
      </c>
      <c r="M3" s="116">
        <f>IF(ISNUMBER(SEARCH('Карта учёта'!$B$21,Расходка[[#This Row],[Наименование расходного материала]])),MAX($M$1:M2)+1,0)</f>
        <v>0</v>
      </c>
      <c r="N3" s="116">
        <f>IF(ISNUMBER(SEARCH('Карта учёта'!$B$22,Расходка[[#This Row],[Наименование расходного материала]])),MAX($N$1:N2)+1,0)</f>
        <v>0</v>
      </c>
      <c r="O3" s="116">
        <f>IF(ISNUMBER(SEARCH('Карта учёта'!$B$23,Расходка[[#This Row],[Наименование расходного материала]])),MAX($O$1:O2)+1,0)</f>
        <v>0</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
      </c>
      <c r="U3" s="115" t="str">
        <f>IFERROR(INDEX(Расходка[Наименование расходного материала],MATCH(Расходка[[#This Row],[№]],Поиск_расходки[Индекс4],0)),"")</f>
        <v>Fielder XT-A</v>
      </c>
      <c r="V3" s="115" t="str">
        <f>IFERROR(INDEX(Расходка[Наименование расходного материала],MATCH(Расходка[[#This Row],[№]],Поиск_расходки[Индекс5],0)),"")</f>
        <v xml:space="preserve">NC Колибри </v>
      </c>
      <c r="W3" s="115" t="str">
        <f>IFERROR(INDEX(Расходка[Наименование расходного материала],MATCH(Расходка[[#This Row],[№]],Поиск_расходки[Индекс6],0)),"")</f>
        <v xml:space="preserve">NC Колибри </v>
      </c>
      <c r="X3" s="115" t="str">
        <f>IFERROR(INDEX(Расходка[Наименование расходного материала],MATCH(Расходка[[#This Row],[№]],Поиск_расходки[Индекс7],0)),"")</f>
        <v/>
      </c>
      <c r="Y3" s="115" t="str">
        <f>IFERROR(INDEX(Расходка[Наименование расходного материала],MATCH(Расходка[[#This Row],[№]],Поиск_расходки[Индекс8],0)),"")</f>
        <v/>
      </c>
      <c r="Z3" s="115" t="str">
        <f>IFERROR(INDEX(Расходка[Наименование расходного материала],MATCH(Расходка[[#This Row],[№]],Поиск_расходки[Индекс9],0)),"")</f>
        <v/>
      </c>
      <c r="AA3" s="115" t="str">
        <f>IFERROR(INDEX(Расходка[Наименование расходного материала],MATCH(Расходка[[#This Row],[№]],Поиск_расходки[Индекс10],0)),"")</f>
        <v/>
      </c>
      <c r="AB3" s="115" t="str">
        <f>IFERROR(INDEX(Расходка[Наименование расходного материала],MATCH(Расходка[[#This Row],[№]],Поиск_расходки[Индекс11],0)),"")</f>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409</v>
      </c>
      <c r="AI3" t="s">
        <v>190</v>
      </c>
      <c r="AJ3" t="s">
        <v>200</v>
      </c>
      <c r="AK3" t="str">
        <f t="shared" ref="AK3:AK6" si="0">CONCATENATE(AI3,AJ3)</f>
        <v>Контраст: Омнипак 350</v>
      </c>
      <c r="AM3" s="190">
        <v>218190</v>
      </c>
      <c r="AN3" s="2" t="s">
        <v>495</v>
      </c>
      <c r="AO3" t="s">
        <v>503</v>
      </c>
      <c r="AP3" s="130"/>
    </row>
    <row r="4" spans="1:42" x14ac:dyDescent="0.25">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учёта'!$B$17,Расходка[[#This Row],[Наименование расходного материала]])),MAX($I$1:I3)+1,0)</f>
        <v>0</v>
      </c>
      <c r="J4" s="116">
        <f>IF(ISNUMBER(SEARCH('Карта учёта'!$B$18,Расходка[[#This Row],[Наименование расходного материала]])),MAX($J$1:J3)+1,0)</f>
        <v>0</v>
      </c>
      <c r="K4" s="116">
        <f>IF(ISNUMBER(SEARCH('Карта учёта'!$B$19,Расходка[[#This Row],[Наименование расходного материала]])),MAX($K$1:K3)+1,0)</f>
        <v>0</v>
      </c>
      <c r="L4" s="116">
        <f>IF(ISNUMBER(SEARCH('Карта учёта'!$B$20,Расходка[[#This Row],[Наименование расходного материала]])),MAX($L$1:L3)+1,0)</f>
        <v>0</v>
      </c>
      <c r="M4" s="116">
        <f>IF(ISNUMBER(SEARCH('Карта учёта'!$B$21,Расходка[[#This Row],[Наименование расходного материала]])),MAX($M$1:M3)+1,0)</f>
        <v>0</v>
      </c>
      <c r="N4" s="116">
        <f>IF(ISNUMBER(SEARCH('Карта учёта'!$B$22,Расходка[[#This Row],[Наименование расходного материала]])),MAX($N$1:N3)+1,0)</f>
        <v>0</v>
      </c>
      <c r="O4" s="116">
        <f>IF(ISNUMBER(SEARCH('Карта учёта'!$B$23,Расходка[[#This Row],[Наименование расходного материала]])),MAX($O$1:O3)+1,0)</f>
        <v>0</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
      </c>
      <c r="U4" s="115" t="str">
        <f>IFERROR(INDEX(Расходка[Наименование расходного материала],MATCH(Расходка[[#This Row],[№]],Поиск_расходки[Индекс4],0)),"")</f>
        <v>Fielder XT-R</v>
      </c>
      <c r="V4" s="115" t="str">
        <f>IFERROR(INDEX(Расходка[Наименование расходного материала],MATCH(Расходка[[#This Row],[№]],Поиск_расходки[Индекс5],0)),"")</f>
        <v/>
      </c>
      <c r="W4" s="115" t="str">
        <f>IFERROR(INDEX(Расходка[Наименование расходного материала],MATCH(Расходка[[#This Row],[№]],Поиск_расходки[Индекс6],0)),"")</f>
        <v/>
      </c>
      <c r="X4" s="115" t="str">
        <f>IFERROR(INDEX(Расходка[Наименование расходного материала],MATCH(Расходка[[#This Row],[№]],Поиск_расходки[Индекс7],0)),"")</f>
        <v/>
      </c>
      <c r="Y4" s="115" t="str">
        <f>IFERROR(INDEX(Расходка[Наименование расходного материала],MATCH(Расходка[[#This Row],[№]],Поиск_расходки[Индекс8],0)),"")</f>
        <v/>
      </c>
      <c r="Z4" s="115" t="str">
        <f>IFERROR(INDEX(Расходка[Наименование расходного материала],MATCH(Расходка[[#This Row],[№]],Поиск_расходки[Индекс9],0)),"")</f>
        <v/>
      </c>
      <c r="AA4" s="115" t="str">
        <f>IFERROR(INDEX(Расходка[Наименование расходного материала],MATCH(Расходка[[#This Row],[№]],Поиск_расходки[Индекс10],0)),"")</f>
        <v/>
      </c>
      <c r="AB4" s="115" t="str">
        <f>IFERROR(INDEX(Расходка[Наименование расходного материала],MATCH(Расходка[[#This Row],[№]],Поиск_расходки[Индекс11],0)),"")</f>
        <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410</v>
      </c>
      <c r="AI4" t="s">
        <v>190</v>
      </c>
      <c r="AJ4" t="s">
        <v>201</v>
      </c>
      <c r="AK4" t="str">
        <f t="shared" si="0"/>
        <v>Контраст: Оптирей 350</v>
      </c>
      <c r="AM4" s="190">
        <v>337440</v>
      </c>
      <c r="AN4" s="2" t="s">
        <v>508</v>
      </c>
      <c r="AO4" t="s">
        <v>505</v>
      </c>
      <c r="AP4" s="130"/>
    </row>
    <row r="5" spans="1:42" x14ac:dyDescent="0.25">
      <c r="A5">
        <v>4</v>
      </c>
      <c r="B5" t="s">
        <v>5</v>
      </c>
      <c r="C5" t="s">
        <v>313</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учёта'!$B$17,Расходка[[#This Row],[Наименование расходного материала]])),MAX($I$1:I4)+1,0)</f>
        <v>0</v>
      </c>
      <c r="J5" s="116">
        <f>IF(ISNUMBER(SEARCH('Карта учёта'!$B$18,Расходка[[#This Row],[Наименование расходного материала]])),MAX($J$1:J4)+1,0)</f>
        <v>0</v>
      </c>
      <c r="K5" s="116">
        <f>IF(ISNUMBER(SEARCH('Карта учёта'!$B$19,Расходка[[#This Row],[Наименование расходного материала]])),MAX($K$1:K4)+1,0)</f>
        <v>1</v>
      </c>
      <c r="L5" s="116">
        <f>IF(ISNUMBER(SEARCH('Карта учёта'!$B$20,Расходка[[#This Row],[Наименование расходного материала]])),MAX($L$1:L4)+1,0)</f>
        <v>1</v>
      </c>
      <c r="M5" s="116">
        <f>IF(ISNUMBER(SEARCH('Карта учёта'!$B$21,Расходка[[#This Row],[Наименование расходного материала]])),MAX($M$1:M4)+1,0)</f>
        <v>0</v>
      </c>
      <c r="N5" s="116">
        <f>IF(ISNUMBER(SEARCH('Карта учёта'!$B$22,Расходка[[#This Row],[Наименование расходного материала]])),MAX($N$1:N4)+1,0)</f>
        <v>0</v>
      </c>
      <c r="O5" s="116">
        <f>IF(ISNUMBER(SEARCH('Карта учёта'!$B$23,Расходка[[#This Row],[Наименование расходного материала]])),MAX($O$1:O4)+1,0)</f>
        <v>0</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
      </c>
      <c r="Y5" s="115" t="str">
        <f>IFERROR(INDEX(Расходка[Наименование расходного материала],MATCH(Расходка[[#This Row],[№]],Поиск_расходки[Индекс8],0)),"")</f>
        <v/>
      </c>
      <c r="Z5" s="115" t="str">
        <f>IFERROR(INDEX(Расходка[Наименование расходного материала],MATCH(Расходка[[#This Row],[№]],Поиск_расходки[Индекс9],0)),"")</f>
        <v/>
      </c>
      <c r="AA5" s="115" t="str">
        <f>IFERROR(INDEX(Расходка[Наименование расходного материала],MATCH(Расходка[[#This Row],[№]],Поиск_расходки[Индекс10],0)),"")</f>
        <v/>
      </c>
      <c r="AB5" s="115" t="str">
        <f>IFERROR(INDEX(Расходка[Наименование расходного материала],MATCH(Расходка[[#This Row],[№]],Поиск_расходки[Индекс11],0)),"")</f>
        <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411</v>
      </c>
      <c r="AI5" t="s">
        <v>190</v>
      </c>
      <c r="AJ5" t="s">
        <v>202</v>
      </c>
      <c r="AK5" t="str">
        <f t="shared" si="0"/>
        <v>Контраст: Юнигексол 350</v>
      </c>
      <c r="AM5" s="190">
        <v>136170</v>
      </c>
      <c r="AN5" s="2"/>
      <c r="AO5" t="s">
        <v>504</v>
      </c>
    </row>
    <row r="6" spans="1:42" x14ac:dyDescent="0.25">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учёта'!$B$17,Расходка[[#This Row],[Наименование расходного материала]])),MAX($I$1:I5)+1,0)</f>
        <v>0</v>
      </c>
      <c r="J6" s="116">
        <f>IF(ISNUMBER(SEARCH('Карта учёта'!$B$18,Расходка[[#This Row],[Наименование расходного материала]])),MAX($J$1:J5)+1,0)</f>
        <v>0</v>
      </c>
      <c r="K6" s="116">
        <f>IF(ISNUMBER(SEARCH('Карта учёта'!$B$19,Расходка[[#This Row],[Наименование расходного материала]])),MAX($K$1:K5)+1,0)</f>
        <v>0</v>
      </c>
      <c r="L6" s="116">
        <f>IF(ISNUMBER(SEARCH('Карта учёта'!$B$20,Расходка[[#This Row],[Наименование расходного материала]])),MAX($L$1:L5)+1,0)</f>
        <v>0</v>
      </c>
      <c r="M6" s="116">
        <f>IF(ISNUMBER(SEARCH('Карта учёта'!$B$21,Расходка[[#This Row],[Наименование расходного материала]])),MAX($M$1:M5)+1,0)</f>
        <v>0</v>
      </c>
      <c r="N6" s="116">
        <f>IF(ISNUMBER(SEARCH('Карта учёта'!$B$22,Расходка[[#This Row],[Наименование расходного материала]])),MAX($N$1:N5)+1,0)</f>
        <v>0</v>
      </c>
      <c r="O6" s="116">
        <f>IF(ISNUMBER(SEARCH('Карта учёта'!$B$23,Расходка[[#This Row],[Наименование расходного материала]])),MAX($O$1:O5)+1,0)</f>
        <v>0</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
      </c>
      <c r="Y6" s="115" t="str">
        <f>IFERROR(INDEX(Расходка[Наименование расходного материала],MATCH(Расходка[[#This Row],[№]],Поиск_расходки[Индекс8],0)),"")</f>
        <v/>
      </c>
      <c r="Z6" s="115" t="str">
        <f>IFERROR(INDEX(Расходка[Наименование расходного материала],MATCH(Расходка[[#This Row],[№]],Поиск_расходки[Индекс9],0)),"")</f>
        <v/>
      </c>
      <c r="AA6" s="115" t="str">
        <f>IFERROR(INDEX(Расходка[Наименование расходного материала],MATCH(Расходка[[#This Row],[№]],Поиск_расходки[Индекс10],0)),"")</f>
        <v/>
      </c>
      <c r="AB6" s="115" t="str">
        <f>IFERROR(INDEX(Расходка[Наименование расходного материала],MATCH(Расходка[[#This Row],[№]],Поиск_расходки[Индекс11],0)),"")</f>
        <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412</v>
      </c>
      <c r="AI6" t="s">
        <v>190</v>
      </c>
      <c r="AJ6" t="s">
        <v>203</v>
      </c>
      <c r="AK6" t="str">
        <f t="shared" si="0"/>
        <v>Контраст: Сканлюкс 370</v>
      </c>
      <c r="AM6" s="190">
        <v>135820</v>
      </c>
      <c r="AN6" s="2"/>
      <c r="AO6" t="s">
        <v>507</v>
      </c>
    </row>
    <row r="7" spans="1:42" x14ac:dyDescent="0.25">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учёта'!$B$17,Расходка[[#This Row],[Наименование расходного материала]])),MAX($I$1:I6)+1,0)</f>
        <v>0</v>
      </c>
      <c r="J7" s="116">
        <f>IF(ISNUMBER(SEARCH('Карта учёта'!$B$18,Расходка[[#This Row],[Наименование расходного материала]])),MAX($J$1:J6)+1,0)</f>
        <v>0</v>
      </c>
      <c r="K7" s="116">
        <f>IF(ISNUMBER(SEARCH('Карта учёта'!$B$19,Расходка[[#This Row],[Наименование расходного материала]])),MAX($K$1:K6)+1,0)</f>
        <v>0</v>
      </c>
      <c r="L7" s="116">
        <f>IF(ISNUMBER(SEARCH('Карта учёта'!$B$20,Расходка[[#This Row],[Наименование расходного материала]])),MAX($L$1:L6)+1,0)</f>
        <v>0</v>
      </c>
      <c r="M7" s="116">
        <f>IF(ISNUMBER(SEARCH('Карта учёта'!$B$21,Расходка[[#This Row],[Наименование расходного материала]])),MAX($M$1:M6)+1,0)</f>
        <v>0</v>
      </c>
      <c r="N7" s="116">
        <f>IF(ISNUMBER(SEARCH('Карта учёта'!$B$22,Расходка[[#This Row],[Наименование расходного материала]])),MAX($N$1:N6)+1,0)</f>
        <v>0</v>
      </c>
      <c r="O7" s="116">
        <f>IF(ISNUMBER(SEARCH('Карта учёта'!$B$23,Расходка[[#This Row],[Наименование расходного материала]])),MAX($O$1:O6)+1,0)</f>
        <v>0</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
      </c>
      <c r="Y7" s="115" t="str">
        <f>IFERROR(INDEX(Расходка[Наименование расходного материала],MATCH(Расходка[[#This Row],[№]],Поиск_расходки[Индекс8],0)),"")</f>
        <v/>
      </c>
      <c r="Z7" s="115" t="str">
        <f>IFERROR(INDEX(Расходка[Наименование расходного материала],MATCH(Расходка[[#This Row],[№]],Поиск_расходки[Индекс9],0)),"")</f>
        <v/>
      </c>
      <c r="AA7" s="115" t="str">
        <f>IFERROR(INDEX(Расходка[Наименование расходного материала],MATCH(Расходка[[#This Row],[№]],Поиск_расходки[Индекс10],0)),"")</f>
        <v/>
      </c>
      <c r="AB7" s="115" t="str">
        <f>IFERROR(INDEX(Расходка[Наименование расходного материала],MATCH(Расходка[[#This Row],[№]],Поиск_расходки[Индекс11],0)),"")</f>
        <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413</v>
      </c>
      <c r="AI7" t="s">
        <v>190</v>
      </c>
      <c r="AJ7" t="s">
        <v>204</v>
      </c>
      <c r="AK7" t="str">
        <f t="shared" ref="AK7:AK8" si="1">CONCATENATE(AI7,AJ7)</f>
        <v>Контраст: Йогексол 350</v>
      </c>
      <c r="AM7" s="190">
        <v>155760</v>
      </c>
      <c r="AN7" s="2"/>
      <c r="AO7" t="s">
        <v>501</v>
      </c>
    </row>
    <row r="8" spans="1:42" x14ac:dyDescent="0.25">
      <c r="A8">
        <v>7</v>
      </c>
      <c r="B8" t="s">
        <v>5</v>
      </c>
      <c r="C8" t="s">
        <v>314</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учёта'!$B$17,Расходка[[#This Row],[Наименование расходного материала]])),MAX($I$1:I7)+1,0)</f>
        <v>0</v>
      </c>
      <c r="J8" s="116">
        <f>IF(ISNUMBER(SEARCH('Карта учёта'!$B$18,Расходка[[#This Row],[Наименование расходного материала]])),MAX($J$1:J7)+1,0)</f>
        <v>0</v>
      </c>
      <c r="K8" s="116">
        <f>IF(ISNUMBER(SEARCH('Карта учёта'!$B$19,Расходка[[#This Row],[Наименование расходного материала]])),MAX($K$1:K7)+1,0)</f>
        <v>0</v>
      </c>
      <c r="L8" s="116">
        <f>IF(ISNUMBER(SEARCH('Карта учёта'!$B$20,Расходка[[#This Row],[Наименование расходного материала]])),MAX($L$1:L7)+1,0)</f>
        <v>0</v>
      </c>
      <c r="M8" s="116">
        <f>IF(ISNUMBER(SEARCH('Карта учёта'!$B$21,Расходка[[#This Row],[Наименование расходного материала]])),MAX($M$1:M7)+1,0)</f>
        <v>0</v>
      </c>
      <c r="N8" s="116">
        <f>IF(ISNUMBER(SEARCH('Карта учёта'!$B$22,Расходка[[#This Row],[Наименование расходного материала]])),MAX($N$1:N7)+1,0)</f>
        <v>0</v>
      </c>
      <c r="O8" s="116">
        <f>IF(ISNUMBER(SEARCH('Карта учёта'!$B$23,Расходка[[#This Row],[Наименование расходного материала]])),MAX($O$1:O7)+1,0)</f>
        <v>0</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
      </c>
      <c r="Y8" s="115" t="str">
        <f>IFERROR(INDEX(Расходка[Наименование расходного материала],MATCH(Расходка[[#This Row],[№]],Поиск_расходки[Индекс8],0)),"")</f>
        <v/>
      </c>
      <c r="Z8" s="115" t="str">
        <f>IFERROR(INDEX(Расходка[Наименование расходного материала],MATCH(Расходка[[#This Row],[№]],Поиск_расходки[Индекс9],0)),"")</f>
        <v/>
      </c>
      <c r="AA8" s="115" t="str">
        <f>IFERROR(INDEX(Расходка[Наименование расходного материала],MATCH(Расходка[[#This Row],[№]],Поиск_расходки[Индекс10],0)),"")</f>
        <v/>
      </c>
      <c r="AB8" s="115" t="str">
        <f>IFERROR(INDEX(Расходка[Наименование расходного материала],MATCH(Расходка[[#This Row],[№]],Поиск_расходки[Индекс11],0)),"")</f>
        <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414</v>
      </c>
      <c r="AI8" t="s">
        <v>190</v>
      </c>
      <c r="AJ8" t="s">
        <v>205</v>
      </c>
      <c r="AK8" t="str">
        <f t="shared" si="1"/>
        <v>Контраст: Визипак 320</v>
      </c>
      <c r="AM8" s="190">
        <v>218140</v>
      </c>
      <c r="AN8" s="2"/>
      <c r="AO8" t="s">
        <v>89</v>
      </c>
    </row>
    <row r="9" spans="1:42" x14ac:dyDescent="0.25">
      <c r="A9">
        <v>8</v>
      </c>
      <c r="B9" t="s">
        <v>5</v>
      </c>
      <c r="C9" t="s">
        <v>359</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учёта'!$B$17,Расходка[[#This Row],[Наименование расходного материала]])),MAX($I$1:I8)+1,0)</f>
        <v>0</v>
      </c>
      <c r="J9" s="116">
        <f>IF(ISNUMBER(SEARCH('Карта учёта'!$B$18,Расходка[[#This Row],[Наименование расходного материала]])),MAX($J$1:J8)+1,0)</f>
        <v>0</v>
      </c>
      <c r="K9" s="116">
        <f>IF(ISNUMBER(SEARCH('Карта учёта'!$B$19,Расходка[[#This Row],[Наименование расходного материала]])),MAX($K$1:K8)+1,0)</f>
        <v>0</v>
      </c>
      <c r="L9" s="116">
        <f>IF(ISNUMBER(SEARCH('Карта учёта'!$B$20,Расходка[[#This Row],[Наименование расходного материала]])),MAX($L$1:L8)+1,0)</f>
        <v>0</v>
      </c>
      <c r="M9" s="116">
        <f>IF(ISNUMBER(SEARCH('Карта учёта'!$B$21,Расходка[[#This Row],[Наименование расходного материала]])),MAX($M$1:M8)+1,0)</f>
        <v>0</v>
      </c>
      <c r="N9" s="116">
        <f>IF(ISNUMBER(SEARCH('Карта учёта'!$B$22,Расходка[[#This Row],[Наименование расходного материала]])),MAX($N$1:N8)+1,0)</f>
        <v>0</v>
      </c>
      <c r="O9" s="116">
        <f>IF(ISNUMBER(SEARCH('Карта учёта'!$B$23,Расходка[[#This Row],[Наименование расходного материала]])),MAX($O$1:O8)+1,0)</f>
        <v>0</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
      </c>
      <c r="Y9" s="115" t="str">
        <f>IFERROR(INDEX(Расходка[Наименование расходного материала],MATCH(Расходка[[#This Row],[№]],Поиск_расходки[Индекс8],0)),"")</f>
        <v/>
      </c>
      <c r="Z9" s="115" t="str">
        <f>IFERROR(INDEX(Расходка[Наименование расходного материала],MATCH(Расходка[[#This Row],[№]],Поиск_расходки[Индекс9],0)),"")</f>
        <v/>
      </c>
      <c r="AA9" s="115" t="str">
        <f>IFERROR(INDEX(Расходка[Наименование расходного материала],MATCH(Расходка[[#This Row],[№]],Поиск_расходки[Индекс10],0)),"")</f>
        <v/>
      </c>
      <c r="AB9" s="115" t="str">
        <f>IFERROR(INDEX(Расходка[Наименование расходного материала],MATCH(Расходка[[#This Row],[№]],Поиск_расходки[Индекс11],0)),"")</f>
        <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415</v>
      </c>
      <c r="AM9" s="190">
        <v>218160</v>
      </c>
      <c r="AN9" s="2"/>
      <c r="AO9" t="s">
        <v>90</v>
      </c>
    </row>
    <row r="10" spans="1:42" x14ac:dyDescent="0.25">
      <c r="A10">
        <v>9</v>
      </c>
      <c r="B10" t="s">
        <v>5</v>
      </c>
      <c r="C10" t="s">
        <v>379</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0</v>
      </c>
      <c r="I10" s="116">
        <f>IF(ISNUMBER(SEARCH('Карта учёта'!$B$17,Расходка[[#This Row],[Наименование расходного материала]])),MAX($I$1:I9)+1,0)</f>
        <v>1</v>
      </c>
      <c r="J10" s="116">
        <f>IF(ISNUMBER(SEARCH('Карта учёта'!$B$18,Расходка[[#This Row],[Наименование расходного материала]])),MAX($J$1:J9)+1,0)</f>
        <v>1</v>
      </c>
      <c r="K10" s="116">
        <f>IF(ISNUMBER(SEARCH('Карта учёта'!$B$19,Расходка[[#This Row],[Наименование расходного материала]])),MAX($K$1:K9)+1,0)</f>
        <v>0</v>
      </c>
      <c r="L10" s="116">
        <f>IF(ISNUMBER(SEARCH('Карта учёта'!$B$20,Расходка[[#This Row],[Наименование расходного материала]])),MAX($L$1:L9)+1,0)</f>
        <v>0</v>
      </c>
      <c r="M10" s="116">
        <f>IF(ISNUMBER(SEARCH('Карта учёта'!$B$21,Расходка[[#This Row],[Наименование расходного материала]])),MAX($M$1:M9)+1,0)</f>
        <v>0</v>
      </c>
      <c r="N10" s="116">
        <f>IF(ISNUMBER(SEARCH('Карта учёта'!$B$22,Расходка[[#This Row],[Наименование расходного материала]])),MAX($N$1:N9)+1,0)</f>
        <v>0</v>
      </c>
      <c r="O10" s="116">
        <f>IF(ISNUMBER(SEARCH('Карта учёта'!$B$23,Расходка[[#This Row],[Наименование расходного материала]])),MAX($O$1:O9)+1,0)</f>
        <v>0</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
      </c>
      <c r="Y10" s="115" t="str">
        <f>IFERROR(INDEX(Расходка[Наименование расходного материала],MATCH(Расходка[[#This Row],[№]],Поиск_расходки[Индекс8],0)),"")</f>
        <v/>
      </c>
      <c r="Z10" s="115" t="str">
        <f>IFERROR(INDEX(Расходка[Наименование расходного материала],MATCH(Расходка[[#This Row],[№]],Поиск_расходки[Индекс9],0)),"")</f>
        <v/>
      </c>
      <c r="AA10" s="115" t="str">
        <f>IFERROR(INDEX(Расходка[Наименование расходного материала],MATCH(Расходка[[#This Row],[№]],Поиск_расходки[Индекс10],0)),"")</f>
        <v/>
      </c>
      <c r="AB10" s="115" t="str">
        <f>IFERROR(INDEX(Расходка[Наименование расходного материала],MATCH(Расходка[[#This Row],[№]],Поиск_расходки[Индекс11],0)),"")</f>
        <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416</v>
      </c>
      <c r="AI10" t="s">
        <v>356</v>
      </c>
      <c r="AM10" s="190">
        <v>194510</v>
      </c>
      <c r="AN10" s="2"/>
      <c r="AO10" t="s">
        <v>91</v>
      </c>
    </row>
    <row r="11" spans="1:42" x14ac:dyDescent="0.25">
      <c r="A11">
        <v>10</v>
      </c>
      <c r="B11" t="s">
        <v>5</v>
      </c>
      <c r="C11" t="s">
        <v>402</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0</v>
      </c>
      <c r="I11" s="116">
        <f>IF(ISNUMBER(SEARCH('Карта учёта'!$B$17,Расходка[[#This Row],[Наименование расходного материала]])),MAX($I$1:I10)+1,0)</f>
        <v>2</v>
      </c>
      <c r="J11" s="116">
        <f>IF(ISNUMBER(SEARCH('Карта учёта'!$B$18,Расходка[[#This Row],[Наименование расходного материала]])),MAX($J$1:J10)+1,0)</f>
        <v>2</v>
      </c>
      <c r="K11" s="116">
        <f>IF(ISNUMBER(SEARCH('Карта учёта'!$B$19,Расходка[[#This Row],[Наименование расходного материала]])),MAX($K$1:K10)+1,0)</f>
        <v>0</v>
      </c>
      <c r="L11" s="116">
        <f>IF(ISNUMBER(SEARCH('Карта учёта'!$B$20,Расходка[[#This Row],[Наименование расходного материала]])),MAX($L$1:L10)+1,0)</f>
        <v>0</v>
      </c>
      <c r="M11" s="116">
        <f>IF(ISNUMBER(SEARCH('Карта учёта'!$B$21,Расходка[[#This Row],[Наименование расходного материала]])),MAX($M$1:M10)+1,0)</f>
        <v>0</v>
      </c>
      <c r="N11" s="116">
        <f>IF(ISNUMBER(SEARCH('Карта учёта'!$B$22,Расходка[[#This Row],[Наименование расходного материала]])),MAX($N$1:N10)+1,0)</f>
        <v>0</v>
      </c>
      <c r="O11" s="116">
        <f>IF(ISNUMBER(SEARCH('Карта учёта'!$B$23,Расходка[[#This Row],[Наименование расходного материала]])),MAX($O$1:O10)+1,0)</f>
        <v>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c>
      <c r="Y11" s="115" t="str">
        <f>IFERROR(INDEX(Расходка[Наименование расходного материала],MATCH(Расходка[[#This Row],[№]],Поиск_расходки[Индекс8],0)),"")</f>
        <v/>
      </c>
      <c r="Z11" s="115" t="str">
        <f>IFERROR(INDEX(Расходка[Наименование расходного материала],MATCH(Расходка[[#This Row],[№]],Поиск_расходки[Индекс9],0)),"")</f>
        <v/>
      </c>
      <c r="AA11" s="115" t="str">
        <f>IFERROR(INDEX(Расходка[Наименование расходного материала],MATCH(Расходка[[#This Row],[№]],Поиск_расходки[Индекс10],0)),"")</f>
        <v/>
      </c>
      <c r="AB11" s="115" t="str">
        <f>IFERROR(INDEX(Расходка[Наименование расходного материала],MATCH(Расходка[[#This Row],[№]],Поиск_расходки[Индекс11],0)),"")</f>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417</v>
      </c>
      <c r="AI11" t="s">
        <v>4</v>
      </c>
      <c r="AM11" s="190">
        <v>323500</v>
      </c>
      <c r="AN11" s="2"/>
      <c r="AO11" t="s">
        <v>92</v>
      </c>
    </row>
    <row r="12" spans="1:42" x14ac:dyDescent="0.25">
      <c r="A12">
        <v>11</v>
      </c>
      <c r="B12" t="s">
        <v>308</v>
      </c>
      <c r="C12" s="1" t="s">
        <v>334</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учёта'!$B$17,Расходка[[#This Row],[Наименование расходного материала]])),MAX($I$1:I11)+1,0)</f>
        <v>0</v>
      </c>
      <c r="J12" s="116">
        <f>IF(ISNUMBER(SEARCH('Карта учёта'!$B$18,Расходка[[#This Row],[Наименование расходного материала]])),MAX($J$1:J11)+1,0)</f>
        <v>0</v>
      </c>
      <c r="K12" s="116">
        <f>IF(ISNUMBER(SEARCH('Карта учёта'!$B$19,Расходка[[#This Row],[Наименование расходного материала]])),MAX($K$1:K11)+1,0)</f>
        <v>0</v>
      </c>
      <c r="L12" s="116">
        <f>IF(ISNUMBER(SEARCH('Карта учёта'!$B$20,Расходка[[#This Row],[Наименование расходного материала]])),MAX($L$1:L11)+1,0)</f>
        <v>0</v>
      </c>
      <c r="M12" s="116">
        <f>IF(ISNUMBER(SEARCH('Карта учёта'!$B$21,Расходка[[#This Row],[Наименование расходного материала]])),MAX($M$1:M11)+1,0)</f>
        <v>0</v>
      </c>
      <c r="N12" s="116">
        <f>IF(ISNUMBER(SEARCH('Карта учёта'!$B$22,Расходка[[#This Row],[Наименование расходного материала]])),MAX($N$1:N11)+1,0)</f>
        <v>0</v>
      </c>
      <c r="O12" s="116">
        <f>IF(ISNUMBER(SEARCH('Карта учёта'!$B$23,Расходка[[#This Row],[Наименование расходного материала]])),MAX($O$1:O11)+1,0)</f>
        <v>0</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
      </c>
      <c r="Y12" s="115" t="str">
        <f>IFERROR(INDEX(Расходка[Наименование расходного материала],MATCH(Расходка[[#This Row],[№]],Поиск_расходки[Индекс8],0)),"")</f>
        <v/>
      </c>
      <c r="Z12" s="115" t="str">
        <f>IFERROR(INDEX(Расходка[Наименование расходного материала],MATCH(Расходка[[#This Row],[№]],Поиск_расходки[Индекс9],0)),"")</f>
        <v/>
      </c>
      <c r="AA12" s="115" t="str">
        <f>IFERROR(INDEX(Расходка[Наименование расходного материала],MATCH(Расходка[[#This Row],[№]],Поиск_расходки[Индекс10],0)),"")</f>
        <v/>
      </c>
      <c r="AB12" s="115" t="str">
        <f>IFERROR(INDEX(Расходка[Наименование расходного материала],MATCH(Расходка[[#This Row],[№]],Поиск_расходки[Индекс11],0)),"")</f>
        <v/>
      </c>
      <c r="AC12" s="115" t="str">
        <f>IFERROR(INDEX(Расходка[Наименование расходного материала],MATCH(Расходка[[#This Row],[№]],Поиск_расходки[Индекс12],0)),"")</f>
        <v>Nitrex 260</v>
      </c>
      <c r="AD12" s="115" t="str">
        <f>IFERROR(INDEX(Расходка[Наименование расходного материала],MATCH(Расходка[[#This Row],[№]],Поиск_расходки[Индекс13],0)),"")</f>
        <v>Nitrex 260</v>
      </c>
      <c r="AF12" s="4" t="s">
        <v>5</v>
      </c>
      <c r="AG12" s="4" t="s">
        <v>418</v>
      </c>
      <c r="AI12" t="s">
        <v>3</v>
      </c>
      <c r="AM12" s="190">
        <v>323510</v>
      </c>
      <c r="AN12" s="2"/>
      <c r="AO12" t="s">
        <v>93</v>
      </c>
    </row>
    <row r="13" spans="1:42" x14ac:dyDescent="0.25">
      <c r="A13">
        <v>12</v>
      </c>
      <c r="B13" t="s">
        <v>308</v>
      </c>
      <c r="C13" t="s">
        <v>368</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учёта'!$B$17,Расходка[[#This Row],[Наименование расходного материала]])),MAX($I$1:I12)+1,0)</f>
        <v>0</v>
      </c>
      <c r="J13" s="116">
        <f>IF(ISNUMBER(SEARCH('Карта учёта'!$B$18,Расходка[[#This Row],[Наименование расходного материала]])),MAX($J$1:J12)+1,0)</f>
        <v>0</v>
      </c>
      <c r="K13" s="116">
        <f>IF(ISNUMBER(SEARCH('Карта учёта'!$B$19,Расходка[[#This Row],[Наименование расходного материала]])),MAX($K$1:K12)+1,0)</f>
        <v>0</v>
      </c>
      <c r="L13" s="116">
        <f>IF(ISNUMBER(SEARCH('Карта учёта'!$B$20,Расходка[[#This Row],[Наименование расходного материала]])),MAX($L$1:L12)+1,0)</f>
        <v>0</v>
      </c>
      <c r="M13" s="116">
        <f>IF(ISNUMBER(SEARCH('Карта учёта'!$B$21,Расходка[[#This Row],[Наименование расходного материала]])),MAX($M$1:M12)+1,0)</f>
        <v>0</v>
      </c>
      <c r="N13" s="116">
        <f>IF(ISNUMBER(SEARCH('Карта учёта'!$B$22,Расходка[[#This Row],[Наименование расходного материала]])),MAX($N$1:N12)+1,0)</f>
        <v>0</v>
      </c>
      <c r="O13" s="116">
        <f>IF(ISNUMBER(SEARCH('Карта учёта'!$B$23,Расходка[[#This Row],[Наименование расходного материала]])),MAX($O$1:O12)+1,0)</f>
        <v>0</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
      </c>
      <c r="Y13" s="115" t="str">
        <f>IFERROR(INDEX(Расходка[Наименование расходного материала],MATCH(Расходка[[#This Row],[№]],Поиск_расходки[Индекс8],0)),"")</f>
        <v/>
      </c>
      <c r="Z13" s="115" t="str">
        <f>IFERROR(INDEX(Расходка[Наименование расходного материала],MATCH(Расходка[[#This Row],[№]],Поиск_расходки[Индекс9],0)),"")</f>
        <v/>
      </c>
      <c r="AA13" s="115" t="str">
        <f>IFERROR(INDEX(Расходка[Наименование расходного материала],MATCH(Расходка[[#This Row],[№]],Поиск_расходки[Индекс10],0)),"")</f>
        <v/>
      </c>
      <c r="AB13" s="115" t="str">
        <f>IFERROR(INDEX(Расходка[Наименование расходного материала],MATCH(Расходка[[#This Row],[№]],Поиск_расходки[Индекс11],0)),"")</f>
        <v/>
      </c>
      <c r="AC13" s="115" t="str">
        <f>IFERROR(INDEX(Расходка[Наименование расходного материала],MATCH(Расходка[[#This Row],[№]],Поиск_расходки[Индекс12],0)),"")</f>
        <v>RadiFocus</v>
      </c>
      <c r="AD13" s="115" t="str">
        <f>IFERROR(INDEX(Расходка[Наименование расходного материала],MATCH(Расходка[[#This Row],[№]],Поиск_расходки[Индекс13],0)),"")</f>
        <v>RadiFocus</v>
      </c>
      <c r="AF13" s="4" t="s">
        <v>5</v>
      </c>
      <c r="AG13" s="4" t="s">
        <v>419</v>
      </c>
      <c r="AI13" t="s">
        <v>6</v>
      </c>
      <c r="AN13" s="2"/>
    </row>
    <row r="14" spans="1:42" x14ac:dyDescent="0.25">
      <c r="A14">
        <v>13</v>
      </c>
      <c r="B14" t="s">
        <v>306</v>
      </c>
      <c r="C14" t="s">
        <v>333</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учёта'!$B$17,Расходка[[#This Row],[Наименование расходного материала]])),MAX($I$1:I13)+1,0)</f>
        <v>0</v>
      </c>
      <c r="J14" s="116">
        <f>IF(ISNUMBER(SEARCH('Карта учёта'!$B$18,Расходка[[#This Row],[Наименование расходного материала]])),MAX($J$1:J13)+1,0)</f>
        <v>0</v>
      </c>
      <c r="K14" s="116">
        <f>IF(ISNUMBER(SEARCH('Карта учёта'!$B$19,Расходка[[#This Row],[Наименование расходного материала]])),MAX($K$1:K13)+1,0)</f>
        <v>0</v>
      </c>
      <c r="L14" s="116">
        <f>IF(ISNUMBER(SEARCH('Карта учёта'!$B$20,Расходка[[#This Row],[Наименование расходного материала]])),MAX($L$1:L13)+1,0)</f>
        <v>0</v>
      </c>
      <c r="M14" s="116">
        <f>IF(ISNUMBER(SEARCH('Карта учёта'!$B$21,Расходка[[#This Row],[Наименование расходного материала]])),MAX($M$1:M13)+1,0)</f>
        <v>0</v>
      </c>
      <c r="N14" s="116">
        <f>IF(ISNUMBER(SEARCH('Карта учёта'!$B$22,Расходка[[#This Row],[Наименование расходного материала]])),MAX($N$1:N13)+1,0)</f>
        <v>0</v>
      </c>
      <c r="O14" s="116">
        <f>IF(ISNUMBER(SEARCH('Карта учёта'!$B$23,Расходка[[#This Row],[Наименование расходного материала]])),MAX($O$1:O13)+1,0)</f>
        <v>0</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
      </c>
      <c r="Y14" s="115" t="str">
        <f>IFERROR(INDEX(Расходка[Наименование расходного материала],MATCH(Расходка[[#This Row],[№]],Поиск_расходки[Индекс8],0)),"")</f>
        <v/>
      </c>
      <c r="Z14" s="115" t="str">
        <f>IFERROR(INDEX(Расходка[Наименование расходного материала],MATCH(Расходка[[#This Row],[№]],Поиск_расходки[Индекс9],0)),"")</f>
        <v/>
      </c>
      <c r="AA14" s="115" t="str">
        <f>IFERROR(INDEX(Расходка[Наименование расходного материала],MATCH(Расходка[[#This Row],[№]],Поиск_расходки[Индекс10],0)),"")</f>
        <v/>
      </c>
      <c r="AB14" s="115" t="str">
        <f>IFERROR(INDEX(Расходка[Наименование расходного материала],MATCH(Расходка[[#This Row],[№]],Поиск_расходки[Индекс11],0)),"")</f>
        <v/>
      </c>
      <c r="AC14" s="115" t="str">
        <f>IFERROR(INDEX(Расходка[Наименование расходного материала],MATCH(Расходка[[#This Row],[№]],Поиск_расходки[Индекс12],0)),"")</f>
        <v>BasixCOMPAK</v>
      </c>
      <c r="AD14" s="115" t="str">
        <f>IFERROR(INDEX(Расходка[Наименование расходного материала],MATCH(Расходка[[#This Row],[№]],Поиск_расходки[Индекс13],0)),"")</f>
        <v>BasixCOMPAK</v>
      </c>
      <c r="AF14" s="4" t="s">
        <v>5</v>
      </c>
      <c r="AG14" s="4" t="s">
        <v>498</v>
      </c>
      <c r="AI14" t="s">
        <v>5</v>
      </c>
      <c r="AM14" s="190"/>
      <c r="AN14" s="2"/>
    </row>
    <row r="15" spans="1:42" x14ac:dyDescent="0.25">
      <c r="A15">
        <v>14</v>
      </c>
      <c r="B15" t="s">
        <v>306</v>
      </c>
      <c r="C15" t="s">
        <v>365</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учёта'!$B$17,Расходка[[#This Row],[Наименование расходного материала]])),MAX($I$1:I14)+1,0)</f>
        <v>0</v>
      </c>
      <c r="J15" s="116">
        <f>IF(ISNUMBER(SEARCH('Карта учёта'!$B$18,Расходка[[#This Row],[Наименование расходного материала]])),MAX($J$1:J14)+1,0)</f>
        <v>0</v>
      </c>
      <c r="K15" s="116">
        <f>IF(ISNUMBER(SEARCH('Карта учёта'!$B$19,Расходка[[#This Row],[Наименование расходного материала]])),MAX($K$1:K14)+1,0)</f>
        <v>0</v>
      </c>
      <c r="L15" s="116">
        <f>IF(ISNUMBER(SEARCH('Карта учёта'!$B$20,Расходка[[#This Row],[Наименование расходного материала]])),MAX($L$1:L14)+1,0)</f>
        <v>0</v>
      </c>
      <c r="M15" s="116">
        <f>IF(ISNUMBER(SEARCH('Карта учёта'!$B$21,Расходка[[#This Row],[Наименование расходного материала]])),MAX($M$1:M14)+1,0)</f>
        <v>0</v>
      </c>
      <c r="N15" s="116">
        <f>IF(ISNUMBER(SEARCH('Карта учёта'!$B$22,Расходка[[#This Row],[Наименование расходного материала]])),MAX($N$1:N14)+1,0)</f>
        <v>0</v>
      </c>
      <c r="O15" s="116">
        <f>IF(ISNUMBER(SEARCH('Карта учёта'!$B$23,Расходка[[#This Row],[Наименование расходного материала]])),MAX($O$1:O14)+1,0)</f>
        <v>0</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
      </c>
      <c r="Y15" s="115" t="str">
        <f>IFERROR(INDEX(Расходка[Наименование расходного материала],MATCH(Расходка[[#This Row],[№]],Поиск_расходки[Индекс8],0)),"")</f>
        <v/>
      </c>
      <c r="Z15" s="115" t="str">
        <f>IFERROR(INDEX(Расходка[Наименование расходного материала],MATCH(Расходка[[#This Row],[№]],Поиск_расходки[Индекс9],0)),"")</f>
        <v/>
      </c>
      <c r="AA15" s="115" t="str">
        <f>IFERROR(INDEX(Расходка[Наименование расходного материала],MATCH(Расходка[[#This Row],[№]],Поиск_расходки[Индекс10],0)),"")</f>
        <v/>
      </c>
      <c r="AB15" s="115" t="str">
        <f>IFERROR(INDEX(Расходка[Наименование расходного материала],MATCH(Расходка[[#This Row],[№]],Поиск_расходки[Индекс11],0)),"")</f>
        <v/>
      </c>
      <c r="AC15" s="115" t="str">
        <f>IFERROR(INDEX(Расходка[Наименование расходного материала],MATCH(Расходка[[#This Row],[№]],Поиск_расходки[Индекс12],0)),"")</f>
        <v>BasixTOUCH</v>
      </c>
      <c r="AD15" s="115" t="str">
        <f>IFERROR(INDEX(Расходка[Наименование расходного материала],MATCH(Расходка[[#This Row],[№]],Поиск_расходки[Индекс13],0)),"")</f>
        <v>BasixTOUCH</v>
      </c>
      <c r="AF15" s="4" t="s">
        <v>5</v>
      </c>
      <c r="AG15" s="4" t="s">
        <v>420</v>
      </c>
      <c r="AI15" t="s">
        <v>94</v>
      </c>
    </row>
    <row r="16" spans="1:42" x14ac:dyDescent="0.25">
      <c r="A16">
        <v>15</v>
      </c>
      <c r="B16" t="s">
        <v>306</v>
      </c>
      <c r="C16" t="s">
        <v>355</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учёта'!$B$17,Расходка[[#This Row],[Наименование расходного материала]])),MAX($I$1:I15)+1,0)</f>
        <v>0</v>
      </c>
      <c r="J16" s="116">
        <f>IF(ISNUMBER(SEARCH('Карта учёта'!$B$18,Расходка[[#This Row],[Наименование расходного материала]])),MAX($J$1:J15)+1,0)</f>
        <v>0</v>
      </c>
      <c r="K16" s="116">
        <f>IF(ISNUMBER(SEARCH('Карта учёта'!$B$19,Расходка[[#This Row],[Наименование расходного материала]])),MAX($K$1:K15)+1,0)</f>
        <v>0</v>
      </c>
      <c r="L16" s="116">
        <f>IF(ISNUMBER(SEARCH('Карта учёта'!$B$20,Расходка[[#This Row],[Наименование расходного материала]])),MAX($L$1:L15)+1,0)</f>
        <v>0</v>
      </c>
      <c r="M16" s="116">
        <f>IF(ISNUMBER(SEARCH('Карта учёта'!$B$21,Расходка[[#This Row],[Наименование расходного материала]])),MAX($M$1:M15)+1,0)</f>
        <v>0</v>
      </c>
      <c r="N16" s="116">
        <f>IF(ISNUMBER(SEARCH('Карта учёта'!$B$22,Расходка[[#This Row],[Наименование расходного материала]])),MAX($N$1:N15)+1,0)</f>
        <v>0</v>
      </c>
      <c r="O16" s="116">
        <f>IF(ISNUMBER(SEARCH('Карта учёта'!$B$23,Расходка[[#This Row],[Наименование расходного материала]])),MAX($O$1:O15)+1,0)</f>
        <v>0</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
      </c>
      <c r="Y16" s="115" t="str">
        <f>IFERROR(INDEX(Расходка[Наименование расходного материала],MATCH(Расходка[[#This Row],[№]],Поиск_расходки[Индекс8],0)),"")</f>
        <v/>
      </c>
      <c r="Z16" s="115" t="str">
        <f>IFERROR(INDEX(Расходка[Наименование расходного материала],MATCH(Расходка[[#This Row],[№]],Поиск_расходки[Индекс9],0)),"")</f>
        <v/>
      </c>
      <c r="AA16" s="115" t="str">
        <f>IFERROR(INDEX(Расходка[Наименование расходного материала],MATCH(Расходка[[#This Row],[№]],Поиск_расходки[Индекс10],0)),"")</f>
        <v/>
      </c>
      <c r="AB16" s="115" t="str">
        <f>IFERROR(INDEX(Расходка[Наименование расходного материала],MATCH(Расходка[[#This Row],[№]],Поиск_расходки[Индекс11],0)),"")</f>
        <v/>
      </c>
      <c r="AC16" s="115" t="str">
        <f>IFERROR(INDEX(Расходка[Наименование расходного материала],MATCH(Расходка[[#This Row],[№]],Поиск_расходки[Индекс12],0)),"")</f>
        <v>Dolphin</v>
      </c>
      <c r="AD16" s="115" t="str">
        <f>IFERROR(INDEX(Расходка[Наименование расходного материала],MATCH(Расходка[[#This Row],[№]],Поиск_расходки[Индекс13],0)),"")</f>
        <v>Dolphin</v>
      </c>
      <c r="AF16" s="4" t="s">
        <v>5</v>
      </c>
      <c r="AG16" s="4" t="s">
        <v>421</v>
      </c>
      <c r="AI16" t="s">
        <v>306</v>
      </c>
    </row>
    <row r="17" spans="1:35" x14ac:dyDescent="0.25">
      <c r="A17">
        <v>16</v>
      </c>
      <c r="B17" t="s">
        <v>306</v>
      </c>
      <c r="C17" t="s">
        <v>380</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учёта'!$B$17,Расходка[[#This Row],[Наименование расходного материала]])),MAX($I$1:I16)+1,0)</f>
        <v>0</v>
      </c>
      <c r="J17" s="116">
        <f>IF(ISNUMBER(SEARCH('Карта учёта'!$B$18,Расходка[[#This Row],[Наименование расходного материала]])),MAX($J$1:J16)+1,0)</f>
        <v>0</v>
      </c>
      <c r="K17" s="116">
        <f>IF(ISNUMBER(SEARCH('Карта учёта'!$B$19,Расходка[[#This Row],[Наименование расходного материала]])),MAX($K$1:K16)+1,0)</f>
        <v>0</v>
      </c>
      <c r="L17" s="116">
        <f>IF(ISNUMBER(SEARCH('Карта учёта'!$B$20,Расходка[[#This Row],[Наименование расходного материала]])),MAX($L$1:L16)+1,0)</f>
        <v>0</v>
      </c>
      <c r="M17" s="116">
        <f>IF(ISNUMBER(SEARCH('Карта учёта'!$B$21,Расходка[[#This Row],[Наименование расходного материала]])),MAX($M$1:M16)+1,0)</f>
        <v>0</v>
      </c>
      <c r="N17" s="116">
        <f>IF(ISNUMBER(SEARCH('Карта учёта'!$B$22,Расходка[[#This Row],[Наименование расходного материала]])),MAX($N$1:N16)+1,0)</f>
        <v>0</v>
      </c>
      <c r="O17" s="116">
        <f>IF(ISNUMBER(SEARCH('Карта учёта'!$B$23,Расходка[[#This Row],[Наименование расходного материала]])),MAX($O$1:O16)+1,0)</f>
        <v>0</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
      </c>
      <c r="Y17" s="115" t="str">
        <f>IFERROR(INDEX(Расходка[Наименование расходного материала],MATCH(Расходка[[#This Row],[№]],Поиск_расходки[Индекс8],0)),"")</f>
        <v/>
      </c>
      <c r="Z17" s="115" t="str">
        <f>IFERROR(INDEX(Расходка[Наименование расходного материала],MATCH(Расходка[[#This Row],[№]],Поиск_расходки[Индекс9],0)),"")</f>
        <v/>
      </c>
      <c r="AA17" s="115" t="str">
        <f>IFERROR(INDEX(Расходка[Наименование расходного материала],MATCH(Расходка[[#This Row],[№]],Поиск_расходки[Индекс10],0)),"")</f>
        <v/>
      </c>
      <c r="AB17" s="115" t="str">
        <f>IFERROR(INDEX(Расходка[Наименование расходного материала],MATCH(Расходка[[#This Row],[№]],Поиск_расходки[Индекс11],0)),"")</f>
        <v/>
      </c>
      <c r="AC17" s="115" t="str">
        <f>IFERROR(INDEX(Расходка[Наименование расходного материала],MATCH(Расходка[[#This Row],[№]],Поиск_расходки[Индекс12],0)),"")</f>
        <v>Lepu Medical</v>
      </c>
      <c r="AD17" s="115" t="str">
        <f>IFERROR(INDEX(Расходка[Наименование расходного материала],MATCH(Расходка[[#This Row],[№]],Поиск_расходки[Индекс13],0)),"")</f>
        <v>Lepu Medical</v>
      </c>
      <c r="AF17" s="4" t="s">
        <v>5</v>
      </c>
      <c r="AG17" s="4" t="s">
        <v>422</v>
      </c>
      <c r="AI17" t="s">
        <v>206</v>
      </c>
    </row>
    <row r="18" spans="1:35" x14ac:dyDescent="0.25">
      <c r="A18">
        <v>17</v>
      </c>
      <c r="B18" t="s">
        <v>306</v>
      </c>
      <c r="C18" t="s">
        <v>370</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учёта'!$B$17,Расходка[[#This Row],[Наименование расходного материала]])),MAX($I$1:I17)+1,0)</f>
        <v>0</v>
      </c>
      <c r="J18" s="116">
        <f>IF(ISNUMBER(SEARCH('Карта учёта'!$B$18,Расходка[[#This Row],[Наименование расходного материала]])),MAX($J$1:J17)+1,0)</f>
        <v>0</v>
      </c>
      <c r="K18" s="116">
        <f>IF(ISNUMBER(SEARCH('Карта учёта'!$B$19,Расходка[[#This Row],[Наименование расходного материала]])),MAX($K$1:K17)+1,0)</f>
        <v>0</v>
      </c>
      <c r="L18" s="116">
        <f>IF(ISNUMBER(SEARCH('Карта учёта'!$B$20,Расходка[[#This Row],[Наименование расходного материала]])),MAX($L$1:L17)+1,0)</f>
        <v>0</v>
      </c>
      <c r="M18" s="116">
        <f>IF(ISNUMBER(SEARCH('Карта учёта'!$B$21,Расходка[[#This Row],[Наименование расходного материала]])),MAX($M$1:M17)+1,0)</f>
        <v>0</v>
      </c>
      <c r="N18" s="116">
        <f>IF(ISNUMBER(SEARCH('Карта учёта'!$B$22,Расходка[[#This Row],[Наименование расходного материала]])),MAX($N$1:N17)+1,0)</f>
        <v>0</v>
      </c>
      <c r="O18" s="116">
        <f>IF(ISNUMBER(SEARCH('Карта учёта'!$B$23,Расходка[[#This Row],[Наименование расходного материала]])),MAX($O$1:O17)+1,0)</f>
        <v>0</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
      </c>
      <c r="Y18" s="115" t="str">
        <f>IFERROR(INDEX(Расходка[Наименование расходного материала],MATCH(Расходка[[#This Row],[№]],Поиск_расходки[Индекс8],0)),"")</f>
        <v/>
      </c>
      <c r="Z18" s="115" t="str">
        <f>IFERROR(INDEX(Расходка[Наименование расходного материала],MATCH(Расходка[[#This Row],[№]],Поиск_расходки[Индекс9],0)),"")</f>
        <v/>
      </c>
      <c r="AA18" s="115" t="str">
        <f>IFERROR(INDEX(Расходка[Наименование расходного материала],MATCH(Расходка[[#This Row],[№]],Поиск_расходки[Индекс10],0)),"")</f>
        <v/>
      </c>
      <c r="AB18" s="115" t="str">
        <f>IFERROR(INDEX(Расходка[Наименование расходного материала],MATCH(Расходка[[#This Row],[№]],Поиск_расходки[Индекс11],0)),"")</f>
        <v/>
      </c>
      <c r="AC18" s="115" t="str">
        <f>IFERROR(INDEX(Расходка[Наименование расходного материала],MATCH(Расходка[[#This Row],[№]],Поиск_расходки[Индекс12],0)),"")</f>
        <v>Perouse Medical FLAMINGO</v>
      </c>
      <c r="AD18" s="115" t="str">
        <f>IFERROR(INDEX(Расходка[Наименование расходного материала],MATCH(Расходка[[#This Row],[№]],Поиск_расходки[Индекс13],0)),"")</f>
        <v>Perouse Medical FLAMINGO</v>
      </c>
      <c r="AF18" s="4" t="s">
        <v>5</v>
      </c>
      <c r="AG18" s="4" t="s">
        <v>423</v>
      </c>
      <c r="AI18" t="s">
        <v>95</v>
      </c>
    </row>
    <row r="19" spans="1:35" x14ac:dyDescent="0.25">
      <c r="A19">
        <v>18</v>
      </c>
      <c r="B19" t="s">
        <v>306</v>
      </c>
      <c r="C19" t="s">
        <v>511</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учёта'!$B$17,Расходка[[#This Row],[Наименование расходного материала]])),MAX($I$1:I18)+1,0)</f>
        <v>0</v>
      </c>
      <c r="J19" s="116">
        <f>IF(ISNUMBER(SEARCH('Карта учёта'!$B$18,Расходка[[#This Row],[Наименование расходного материала]])),MAX($J$1:J18)+1,0)</f>
        <v>0</v>
      </c>
      <c r="K19" s="116">
        <f>IF(ISNUMBER(SEARCH('Карта учёта'!$B$19,Расходка[[#This Row],[Наименование расходного материала]])),MAX($K$1:K18)+1,0)</f>
        <v>0</v>
      </c>
      <c r="L19" s="116">
        <f>IF(ISNUMBER(SEARCH('Карта учёта'!$B$20,Расходка[[#This Row],[Наименование расходного материала]])),MAX($L$1:L18)+1,0)</f>
        <v>0</v>
      </c>
      <c r="M19" s="116">
        <f>IF(ISNUMBER(SEARCH('Карта учёта'!$B$21,Расходка[[#This Row],[Наименование расходного материала]])),MAX($M$1:M18)+1,0)</f>
        <v>0</v>
      </c>
      <c r="N19" s="116">
        <f>IF(ISNUMBER(SEARCH('Карта учёта'!$B$22,Расходка[[#This Row],[Наименование расходного материала]])),MAX($N$1:N18)+1,0)</f>
        <v>0</v>
      </c>
      <c r="O19" s="116">
        <f>IF(ISNUMBER(SEARCH('Карта учёта'!$B$23,Расходка[[#This Row],[Наименование расходного материала]])),MAX($O$1:O18)+1,0)</f>
        <v>0</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
      </c>
      <c r="Y19" s="115" t="str">
        <f>IFERROR(INDEX(Расходка[Наименование расходного материала],MATCH(Расходка[[#This Row],[№]],Поиск_расходки[Индекс8],0)),"")</f>
        <v/>
      </c>
      <c r="Z19" s="115" t="str">
        <f>IFERROR(INDEX(Расходка[Наименование расходного материала],MATCH(Расходка[[#This Row],[№]],Поиск_расходки[Индекс9],0)),"")</f>
        <v/>
      </c>
      <c r="AA19" s="115" t="str">
        <f>IFERROR(INDEX(Расходка[Наименование расходного материала],MATCH(Расходка[[#This Row],[№]],Поиск_расходки[Индекс10],0)),"")</f>
        <v/>
      </c>
      <c r="AB19" s="115" t="str">
        <f>IFERROR(INDEX(Расходка[Наименование расходного материала],MATCH(Расходка[[#This Row],[№]],Поиск_расходки[Индекс11],0)),"")</f>
        <v/>
      </c>
      <c r="AC19" s="115" t="str">
        <f>IFERROR(INDEX(Расходка[Наименование расходного материала],MATCH(Расходка[[#This Row],[№]],Поиск_расходки[Индекс12],0)),"")</f>
        <v>Demax</v>
      </c>
      <c r="AD19" s="115" t="str">
        <f>IFERROR(INDEX(Расходка[Наименование расходного материала],MATCH(Расходка[[#This Row],[№]],Поиск_расходки[Индекс13],0)),"")</f>
        <v>Demax</v>
      </c>
      <c r="AF19" s="4" t="s">
        <v>5</v>
      </c>
      <c r="AG19" s="4" t="s">
        <v>424</v>
      </c>
      <c r="AI19" t="s">
        <v>301</v>
      </c>
    </row>
    <row r="20" spans="1:35" x14ac:dyDescent="0.25">
      <c r="A20">
        <v>19</v>
      </c>
      <c r="B20" t="s">
        <v>206</v>
      </c>
      <c r="C20" s="1" t="s">
        <v>339</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учёта'!$B$17,Расходка[[#This Row],[Наименование расходного материала]])),MAX($I$1:I19)+1,0)</f>
        <v>0</v>
      </c>
      <c r="J20" s="116">
        <f>IF(ISNUMBER(SEARCH('Карта учёта'!$B$18,Расходка[[#This Row],[Наименование расходного материала]])),MAX($J$1:J19)+1,0)</f>
        <v>0</v>
      </c>
      <c r="K20" s="116">
        <f>IF(ISNUMBER(SEARCH('Карта учёта'!$B$19,Расходка[[#This Row],[Наименование расходного материала]])),MAX($K$1:K19)+1,0)</f>
        <v>0</v>
      </c>
      <c r="L20" s="116">
        <f>IF(ISNUMBER(SEARCH('Карта учёта'!$B$20,Расходка[[#This Row],[Наименование расходного материала]])),MAX($L$1:L19)+1,0)</f>
        <v>0</v>
      </c>
      <c r="M20" s="116">
        <f>IF(ISNUMBER(SEARCH('Карта учёта'!$B$21,Расходка[[#This Row],[Наименование расходного материала]])),MAX($M$1:M19)+1,0)</f>
        <v>0</v>
      </c>
      <c r="N20" s="116">
        <f>IF(ISNUMBER(SEARCH('Карта учёта'!$B$22,Расходка[[#This Row],[Наименование расходного материала]])),MAX($N$1:N19)+1,0)</f>
        <v>0</v>
      </c>
      <c r="O20" s="116">
        <f>IF(ISNUMBER(SEARCH('Карта учёта'!$B$23,Расходка[[#This Row],[Наименование расходного материала]])),MAX($O$1:O19)+1,0)</f>
        <v>0</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
      </c>
      <c r="Y20" s="115" t="str">
        <f>IFERROR(INDEX(Расходка[Наименование расходного материала],MATCH(Расходка[[#This Row],[№]],Поиск_расходки[Индекс8],0)),"")</f>
        <v/>
      </c>
      <c r="Z20" s="115" t="str">
        <f>IFERROR(INDEX(Расходка[Наименование расходного материала],MATCH(Расходка[[#This Row],[№]],Поиск_расходки[Индекс9],0)),"")</f>
        <v/>
      </c>
      <c r="AA20" s="115" t="str">
        <f>IFERROR(INDEX(Расходка[Наименование расходного материала],MATCH(Расходка[[#This Row],[№]],Поиск_расходки[Индекс10],0)),"")</f>
        <v/>
      </c>
      <c r="AB20" s="115" t="str">
        <f>IFERROR(INDEX(Расходка[Наименование расходного материала],MATCH(Расходка[[#This Row],[№]],Поиск_расходки[Индекс11],0)),"")</f>
        <v/>
      </c>
      <c r="AC20" s="115" t="str">
        <f>IFERROR(INDEX(Расходка[Наименование расходного материала],MATCH(Расходка[[#This Row],[№]],Поиск_расходки[Индекс12],0)),"")</f>
        <v>Oscor 7F</v>
      </c>
      <c r="AD20" s="115" t="str">
        <f>IFERROR(INDEX(Расходка[Наименование расходного материала],MATCH(Расходка[[#This Row],[№]],Поиск_расходки[Индекс13],0)),"")</f>
        <v>Oscor 7F</v>
      </c>
      <c r="AF20" s="4" t="s">
        <v>5</v>
      </c>
      <c r="AG20" s="4" t="s">
        <v>425</v>
      </c>
      <c r="AI20" t="s">
        <v>308</v>
      </c>
    </row>
    <row r="21" spans="1:35" x14ac:dyDescent="0.25">
      <c r="A21">
        <v>20</v>
      </c>
      <c r="B21" t="s">
        <v>306</v>
      </c>
      <c r="C21" s="1" t="s">
        <v>514</v>
      </c>
      <c r="E21" s="116">
        <f>IF(ISNUMBER(SEARCH('Карта учёта'!$B$13,Расходка[[#This Row],[Наименование расходного материала]])),MAX($E$1:E20)+1,0)</f>
        <v>1</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учёта'!$B$17,Расходка[[#This Row],[Наименование расходного материала]])),MAX($I$1:I20)+1,0)</f>
        <v>0</v>
      </c>
      <c r="J21" s="116">
        <f>IF(ISNUMBER(SEARCH('Карта учёта'!$B$18,Расходка[[#This Row],[Наименование расходного материала]])),MAX($J$1:J20)+1,0)</f>
        <v>0</v>
      </c>
      <c r="K21" s="116">
        <f>IF(ISNUMBER(SEARCH('Карта учёта'!$B$19,Расходка[[#This Row],[Наименование расходного материала]])),MAX($K$1:K20)+1,0)</f>
        <v>0</v>
      </c>
      <c r="L21" s="116">
        <f>IF(ISNUMBER(SEARCH('Карта учёта'!$B$20,Расходка[[#This Row],[Наименование расходного материала]])),MAX($L$1:L20)+1,0)</f>
        <v>0</v>
      </c>
      <c r="M21" s="116">
        <f>IF(ISNUMBER(SEARCH('Карта учёта'!$B$21,Расходка[[#This Row],[Наименование расходного материала]])),MAX($M$1:M20)+1,0)</f>
        <v>0</v>
      </c>
      <c r="N21" s="116">
        <f>IF(ISNUMBER(SEARCH('Карта учёта'!$B$22,Расходка[[#This Row],[Наименование расходного материала]])),MAX($N$1:N20)+1,0)</f>
        <v>0</v>
      </c>
      <c r="O21" s="116">
        <f>IF(ISNUMBER(SEARCH('Карта учёта'!$B$23,Расходка[[#This Row],[Наименование расходного материала]])),MAX($O$1:O20)+1,0)</f>
        <v>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
      </c>
      <c r="Y21" s="115" t="str">
        <f>IFERROR(INDEX(Расходка[Наименование расходного материала],MATCH(Расходка[[#This Row],[№]],Поиск_расходки[Индекс8],0)),"")</f>
        <v/>
      </c>
      <c r="Z21" s="115" t="str">
        <f>IFERROR(INDEX(Расходка[Наименование расходного материала],MATCH(Расходка[[#This Row],[№]],Поиск_расходки[Индекс9],0)),"")</f>
        <v/>
      </c>
      <c r="AA21" s="115" t="str">
        <f>IFERROR(INDEX(Расходка[Наименование расходного материала],MATCH(Расходка[[#This Row],[№]],Поиск_расходки[Индекс10],0)),"")</f>
        <v/>
      </c>
      <c r="AB21" s="115" t="str">
        <f>IFERROR(INDEX(Расходка[Наименование расходного материала],MATCH(Расходка[[#This Row],[№]],Поиск_расходки[Индекс11],0)),"")</f>
        <v/>
      </c>
      <c r="AC21" s="115" t="str">
        <f>IFERROR(INDEX(Расходка[Наименование расходного материала],MATCH(Расходка[[#This Row],[№]],Поиск_расходки[Индекс12],0)),"")</f>
        <v>"МИМ". Тюмень</v>
      </c>
      <c r="AD21" s="115" t="str">
        <f>IFERROR(INDEX(Расходка[Наименование расходного материала],MATCH(Расходка[[#This Row],[№]],Поиск_расходки[Индекс13],0)),"")</f>
        <v>"МИМ". Тюмень</v>
      </c>
      <c r="AF21" s="4" t="s">
        <v>5</v>
      </c>
      <c r="AG21" s="4" t="s">
        <v>426</v>
      </c>
    </row>
    <row r="22" spans="1:35" x14ac:dyDescent="0.25">
      <c r="A22">
        <v>21</v>
      </c>
      <c r="B22" t="s">
        <v>3</v>
      </c>
      <c r="C22" t="s">
        <v>322</v>
      </c>
      <c r="E22" s="116">
        <f>IF(ISNUMBER(SEARCH('Карта учёта'!$B$13,Расходка[[#This Row],[Наименование расходного материала]])),MAX($E$1:E21)+1,0)</f>
        <v>0</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учёта'!$B$17,Расходка[[#This Row],[Наименование расходного материала]])),MAX($I$1:I21)+1,0)</f>
        <v>0</v>
      </c>
      <c r="J22" s="116">
        <f>IF(ISNUMBER(SEARCH('Карта учёта'!$B$18,Расходка[[#This Row],[Наименование расходного материала]])),MAX($J$1:J21)+1,0)</f>
        <v>0</v>
      </c>
      <c r="K22" s="116">
        <f>IF(ISNUMBER(SEARCH('Карта учёта'!$B$19,Расходка[[#This Row],[Наименование расходного материала]])),MAX($K$1:K21)+1,0)</f>
        <v>0</v>
      </c>
      <c r="L22" s="116">
        <f>IF(ISNUMBER(SEARCH('Карта учёта'!$B$20,Расходка[[#This Row],[Наименование расходного материала]])),MAX($L$1:L21)+1,0)</f>
        <v>0</v>
      </c>
      <c r="M22" s="116">
        <f>IF(ISNUMBER(SEARCH('Карта учёта'!$B$21,Расходка[[#This Row],[Наименование расходного материала]])),MAX($M$1:M21)+1,0)</f>
        <v>0</v>
      </c>
      <c r="N22" s="116">
        <f>IF(ISNUMBER(SEARCH('Карта учёта'!$B$22,Расходка[[#This Row],[Наименование расходного материала]])),MAX($N$1:N21)+1,0)</f>
        <v>0</v>
      </c>
      <c r="O22" s="116">
        <f>IF(ISNUMBER(SEARCH('Карта учёта'!$B$23,Расходка[[#This Row],[Наименование расходного материала]])),MAX($O$1:O21)+1,0)</f>
        <v>0</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
      </c>
      <c r="Y22" s="115" t="str">
        <f>IFERROR(INDEX(Расходка[Наименование расходного материала],MATCH(Расходка[[#This Row],[№]],Поиск_расходки[Индекс8],0)),"")</f>
        <v/>
      </c>
      <c r="Z22" s="115" t="str">
        <f>IFERROR(INDEX(Расходка[Наименование расходного материала],MATCH(Расходка[[#This Row],[№]],Поиск_расходки[Индекс9],0)),"")</f>
        <v/>
      </c>
      <c r="AA22" s="115" t="str">
        <f>IFERROR(INDEX(Расходка[Наименование расходного материала],MATCH(Расходка[[#This Row],[№]],Поиск_расходки[Индекс10],0)),"")</f>
        <v/>
      </c>
      <c r="AB22" s="115" t="str">
        <f>IFERROR(INDEX(Расходка[Наименование расходного материала],MATCH(Расходка[[#This Row],[№]],Поиск_расходки[Индекс11],0)),"")</f>
        <v/>
      </c>
      <c r="AC22" s="115" t="str">
        <f>IFERROR(INDEX(Расходка[Наименование расходного материала],MATCH(Расходка[[#This Row],[№]],Поиск_расходки[Индекс12],0)),"")</f>
        <v>Cougar LS Hydro-Track®</v>
      </c>
      <c r="AD22" s="115" t="str">
        <f>IFERROR(INDEX(Расходка[Наименование расходного материала],MATCH(Расходка[[#This Row],[№]],Поиск_расходки[Индекс13],0)),"")</f>
        <v>Cougar LS Hydro-Track®</v>
      </c>
      <c r="AF22" s="4" t="s">
        <v>5</v>
      </c>
      <c r="AG22" s="4" t="s">
        <v>427</v>
      </c>
    </row>
    <row r="23" spans="1:35" x14ac:dyDescent="0.25">
      <c r="A23">
        <v>22</v>
      </c>
      <c r="B23" t="s">
        <v>3</v>
      </c>
      <c r="C23" t="s">
        <v>343</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учёта'!$B$17,Расходка[[#This Row],[Наименование расходного материала]])),MAX($I$1:I22)+1,0)</f>
        <v>0</v>
      </c>
      <c r="J23" s="116">
        <f>IF(ISNUMBER(SEARCH('Карта учёта'!$B$18,Расходка[[#This Row],[Наименование расходного материала]])),MAX($J$1:J22)+1,0)</f>
        <v>0</v>
      </c>
      <c r="K23" s="116">
        <f>IF(ISNUMBER(SEARCH('Карта учёта'!$B$19,Расходка[[#This Row],[Наименование расходного материала]])),MAX($K$1:K22)+1,0)</f>
        <v>0</v>
      </c>
      <c r="L23" s="116">
        <f>IF(ISNUMBER(SEARCH('Карта учёта'!$B$20,Расходка[[#This Row],[Наименование расходного материала]])),MAX($L$1:L22)+1,0)</f>
        <v>0</v>
      </c>
      <c r="M23" s="116">
        <f>IF(ISNUMBER(SEARCH('Карта учёта'!$B$21,Расходка[[#This Row],[Наименование расходного материала]])),MAX($M$1:M22)+1,0)</f>
        <v>0</v>
      </c>
      <c r="N23" s="116">
        <f>IF(ISNUMBER(SEARCH('Карта учёта'!$B$22,Расходка[[#This Row],[Наименование расходного материала]])),MAX($N$1:N22)+1,0)</f>
        <v>0</v>
      </c>
      <c r="O23" s="116">
        <f>IF(ISNUMBER(SEARCH('Карта учёта'!$B$23,Расходка[[#This Row],[Наименование расходного материала]])),MAX($O$1:O22)+1,0)</f>
        <v>0</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
      </c>
      <c r="Y23" s="115" t="str">
        <f>IFERROR(INDEX(Расходка[Наименование расходного материала],MATCH(Расходка[[#This Row],[№]],Поиск_расходки[Индекс8],0)),"")</f>
        <v/>
      </c>
      <c r="Z23" s="115" t="str">
        <f>IFERROR(INDEX(Расходка[Наименование расходного материала],MATCH(Расходка[[#This Row],[№]],Поиск_расходки[Индекс9],0)),"")</f>
        <v/>
      </c>
      <c r="AA23" s="115" t="str">
        <f>IFERROR(INDEX(Расходка[Наименование расходного материала],MATCH(Расходка[[#This Row],[№]],Поиск_расходки[Индекс10],0)),"")</f>
        <v/>
      </c>
      <c r="AB23" s="115" t="str">
        <f>IFERROR(INDEX(Расходка[Наименование расходного материала],MATCH(Расходка[[#This Row],[№]],Поиск_расходки[Индекс11],0)),"")</f>
        <v/>
      </c>
      <c r="AC23" s="115" t="str">
        <f>IFERROR(INDEX(Расходка[Наименование расходного материала],MATCH(Расходка[[#This Row],[№]],Поиск_расходки[Индекс12],0)),"")</f>
        <v>Cougar XT Hydro-Track®</v>
      </c>
      <c r="AD23" s="115" t="str">
        <f>IFERROR(INDEX(Расходка[Наименование расходного материала],MATCH(Расходка[[#This Row],[№]],Поиск_расходки[Индекс13],0)),"")</f>
        <v>Cougar XT Hydro-Track®</v>
      </c>
      <c r="AF23" s="4" t="s">
        <v>5</v>
      </c>
      <c r="AG23" s="4" t="s">
        <v>428</v>
      </c>
    </row>
    <row r="24" spans="1:35" x14ac:dyDescent="0.25">
      <c r="A24">
        <v>23</v>
      </c>
      <c r="B24" t="s">
        <v>3</v>
      </c>
      <c r="C24" t="s">
        <v>315</v>
      </c>
      <c r="E24" s="116">
        <f>IF(ISNUMBER(SEARCH('Карта учёта'!$B$13,Расходка[[#This Row],[Наименование расходного материала]])),MAX($E$1:E23)+1,0)</f>
        <v>0</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0</v>
      </c>
      <c r="H24" s="116">
        <f>IF(ISNUMBER(SEARCH('Карта учёта'!$B$16,Расходка[[#This Row],[Наименование расходного материала]])),MAX($H$1:H23)+1,0)</f>
        <v>1</v>
      </c>
      <c r="I24" s="116">
        <f>IF(ISNUMBER(SEARCH('Карта учёта'!$B$17,Расходка[[#This Row],[Наименование расходного материала]])),MAX($I$1:I23)+1,0)</f>
        <v>0</v>
      </c>
      <c r="J24" s="116">
        <f>IF(ISNUMBER(SEARCH('Карта учёта'!$B$18,Расходка[[#This Row],[Наименование расходного материала]])),MAX($J$1:J23)+1,0)</f>
        <v>0</v>
      </c>
      <c r="K24" s="116">
        <f>IF(ISNUMBER(SEARCH('Карта учёта'!$B$19,Расходка[[#This Row],[Наименование расходного материала]])),MAX($K$1:K23)+1,0)</f>
        <v>0</v>
      </c>
      <c r="L24" s="116">
        <f>IF(ISNUMBER(SEARCH('Карта учёта'!$B$20,Расходка[[#This Row],[Наименование расходного материала]])),MAX($L$1:L23)+1,0)</f>
        <v>0</v>
      </c>
      <c r="M24" s="116">
        <f>IF(ISNUMBER(SEARCH('Карта учёта'!$B$21,Расходка[[#This Row],[Наименование расходного материала]])),MAX($M$1:M23)+1,0)</f>
        <v>0</v>
      </c>
      <c r="N24" s="116">
        <f>IF(ISNUMBER(SEARCH('Карта учёта'!$B$22,Расходка[[#This Row],[Наименование расходного материала]])),MAX($N$1:N23)+1,0)</f>
        <v>0</v>
      </c>
      <c r="O24" s="116">
        <f>IF(ISNUMBER(SEARCH('Карта учёта'!$B$23,Расходка[[#This Row],[Наименование расходного материала]])),MAX($O$1:O23)+1,0)</f>
        <v>0</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
      </c>
      <c r="Y24" s="115" t="str">
        <f>IFERROR(INDEX(Расходка[Наименование расходного материала],MATCH(Расходка[[#This Row],[№]],Поиск_расходки[Индекс8],0)),"")</f>
        <v/>
      </c>
      <c r="Z24" s="115" t="str">
        <f>IFERROR(INDEX(Расходка[Наименование расходного материала],MATCH(Расходка[[#This Row],[№]],Поиск_расходки[Индекс9],0)),"")</f>
        <v/>
      </c>
      <c r="AA24" s="115" t="str">
        <f>IFERROR(INDEX(Расходка[Наименование расходного материала],MATCH(Расходка[[#This Row],[№]],Поиск_расходки[Индекс10],0)),"")</f>
        <v/>
      </c>
      <c r="AB24" s="115" t="str">
        <f>IFERROR(INDEX(Расходка[Наименование расходного материала],MATCH(Расходка[[#This Row],[№]],Поиск_расходки[Индекс11],0)),"")</f>
        <v/>
      </c>
      <c r="AC24" s="115" t="str">
        <f>IFERROR(INDEX(Расходка[Наименование расходного материала],MATCH(Расходка[[#This Row],[№]],Поиск_расходки[Индекс12],0)),"")</f>
        <v>Fielder</v>
      </c>
      <c r="AD24" s="115" t="str">
        <f>IFERROR(INDEX(Расходка[Наименование расходного материала],MATCH(Расходка[[#This Row],[№]],Поиск_расходки[Индекс13],0)),"")</f>
        <v>Fielder</v>
      </c>
      <c r="AF24" s="4" t="s">
        <v>5</v>
      </c>
      <c r="AG24" s="4" t="s">
        <v>429</v>
      </c>
    </row>
    <row r="25" spans="1:35" x14ac:dyDescent="0.25">
      <c r="A25">
        <v>24</v>
      </c>
      <c r="B25" t="s">
        <v>3</v>
      </c>
      <c r="C25" t="s">
        <v>377</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0</v>
      </c>
      <c r="H25" s="116">
        <f>IF(ISNUMBER(SEARCH('Карта учёта'!$B$16,Расходка[[#This Row],[Наименование расходного материала]])),MAX($H$1:H24)+1,0)</f>
        <v>2</v>
      </c>
      <c r="I25" s="116">
        <f>IF(ISNUMBER(SEARCH('Карта учёта'!$B$17,Расходка[[#This Row],[Наименование расходного материала]])),MAX($I$1:I24)+1,0)</f>
        <v>0</v>
      </c>
      <c r="J25" s="116">
        <f>IF(ISNUMBER(SEARCH('Карта учёта'!$B$18,Расходка[[#This Row],[Наименование расходного материала]])),MAX($J$1:J24)+1,0)</f>
        <v>0</v>
      </c>
      <c r="K25" s="116">
        <f>IF(ISNUMBER(SEARCH('Карта учёта'!$B$19,Расходка[[#This Row],[Наименование расходного материала]])),MAX($K$1:K24)+1,0)</f>
        <v>0</v>
      </c>
      <c r="L25" s="116">
        <f>IF(ISNUMBER(SEARCH('Карта учёта'!$B$20,Расходка[[#This Row],[Наименование расходного материала]])),MAX($L$1:L24)+1,0)</f>
        <v>0</v>
      </c>
      <c r="M25" s="116">
        <f>IF(ISNUMBER(SEARCH('Карта учёта'!$B$21,Расходка[[#This Row],[Наименование расходного материала]])),MAX($M$1:M24)+1,0)</f>
        <v>0</v>
      </c>
      <c r="N25" s="116">
        <f>IF(ISNUMBER(SEARCH('Карта учёта'!$B$22,Расходка[[#This Row],[Наименование расходного материала]])),MAX($N$1:N24)+1,0)</f>
        <v>0</v>
      </c>
      <c r="O25" s="116">
        <f>IF(ISNUMBER(SEARCH('Карта учёта'!$B$23,Расходка[[#This Row],[Наименование расходного материала]])),MAX($O$1:O24)+1,0)</f>
        <v>0</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
      </c>
      <c r="Y25" s="115" t="str">
        <f>IFERROR(INDEX(Расходка[Наименование расходного материала],MATCH(Расходка[[#This Row],[№]],Поиск_расходки[Индекс8],0)),"")</f>
        <v/>
      </c>
      <c r="Z25" s="115" t="str">
        <f>IFERROR(INDEX(Расходка[Наименование расходного материала],MATCH(Расходка[[#This Row],[№]],Поиск_расходки[Индекс9],0)),"")</f>
        <v/>
      </c>
      <c r="AA25" s="115" t="str">
        <f>IFERROR(INDEX(Расходка[Наименование расходного материала],MATCH(Расходка[[#This Row],[№]],Поиск_расходки[Индекс10],0)),"")</f>
        <v/>
      </c>
      <c r="AB25" s="115" t="str">
        <f>IFERROR(INDEX(Расходка[Наименование расходного материала],MATCH(Расходка[[#This Row],[№]],Поиск_расходки[Индекс11],0)),"")</f>
        <v/>
      </c>
      <c r="AC25" s="115" t="str">
        <f>IFERROR(INDEX(Расходка[Наименование расходного материала],MATCH(Расходка[[#This Row],[№]],Поиск_расходки[Индекс12],0)),"")</f>
        <v>Fielder XT-A</v>
      </c>
      <c r="AD25" s="115" t="str">
        <f>IFERROR(INDEX(Расходка[Наименование расходного материала],MATCH(Расходка[[#This Row],[№]],Поиск_расходки[Индекс13],0)),"")</f>
        <v>Fielder XT-A</v>
      </c>
      <c r="AF25" s="4" t="s">
        <v>5</v>
      </c>
      <c r="AG25" s="4" t="s">
        <v>430</v>
      </c>
    </row>
    <row r="26" spans="1:35" x14ac:dyDescent="0.25">
      <c r="A26">
        <v>25</v>
      </c>
      <c r="B26" t="s">
        <v>3</v>
      </c>
      <c r="C26" t="s">
        <v>378</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0</v>
      </c>
      <c r="H26" s="116">
        <f>IF(ISNUMBER(SEARCH('Карта учёта'!$B$16,Расходка[[#This Row],[Наименование расходного материала]])),MAX($H$1:H25)+1,0)</f>
        <v>3</v>
      </c>
      <c r="I26" s="116">
        <f>IF(ISNUMBER(SEARCH('Карта учёта'!$B$17,Расходка[[#This Row],[Наименование расходного материала]])),MAX($I$1:I25)+1,0)</f>
        <v>0</v>
      </c>
      <c r="J26" s="116">
        <f>IF(ISNUMBER(SEARCH('Карта учёта'!$B$18,Расходка[[#This Row],[Наименование расходного материала]])),MAX($J$1:J25)+1,0)</f>
        <v>0</v>
      </c>
      <c r="K26" s="116">
        <f>IF(ISNUMBER(SEARCH('Карта учёта'!$B$19,Расходка[[#This Row],[Наименование расходного материала]])),MAX($K$1:K25)+1,0)</f>
        <v>0</v>
      </c>
      <c r="L26" s="116">
        <f>IF(ISNUMBER(SEARCH('Карта учёта'!$B$20,Расходка[[#This Row],[Наименование расходного материала]])),MAX($L$1:L25)+1,0)</f>
        <v>0</v>
      </c>
      <c r="M26" s="116">
        <f>IF(ISNUMBER(SEARCH('Карта учёта'!$B$21,Расходка[[#This Row],[Наименование расходного материала]])),MAX($M$1:M25)+1,0)</f>
        <v>0</v>
      </c>
      <c r="N26" s="116">
        <f>IF(ISNUMBER(SEARCH('Карта учёта'!$B$22,Расходка[[#This Row],[Наименование расходного материала]])),MAX($N$1:N25)+1,0)</f>
        <v>0</v>
      </c>
      <c r="O26" s="116">
        <f>IF(ISNUMBER(SEARCH('Карта учёта'!$B$23,Расходка[[#This Row],[Наименование расходного материала]])),MAX($O$1:O25)+1,0)</f>
        <v>0</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
      </c>
      <c r="Y26" s="115" t="str">
        <f>IFERROR(INDEX(Расходка[Наименование расходного материала],MATCH(Расходка[[#This Row],[№]],Поиск_расходки[Индекс8],0)),"")</f>
        <v/>
      </c>
      <c r="Z26" s="115" t="str">
        <f>IFERROR(INDEX(Расходка[Наименование расходного материала],MATCH(Расходка[[#This Row],[№]],Поиск_расходки[Индекс9],0)),"")</f>
        <v/>
      </c>
      <c r="AA26" s="115" t="str">
        <f>IFERROR(INDEX(Расходка[Наименование расходного материала],MATCH(Расходка[[#This Row],[№]],Поиск_расходки[Индекс10],0)),"")</f>
        <v/>
      </c>
      <c r="AB26" s="115" t="str">
        <f>IFERROR(INDEX(Расходка[Наименование расходного материала],MATCH(Расходка[[#This Row],[№]],Поиск_расходки[Индекс11],0)),"")</f>
        <v/>
      </c>
      <c r="AC26" s="115" t="str">
        <f>IFERROR(INDEX(Расходка[Наименование расходного материала],MATCH(Расходка[[#This Row],[№]],Поиск_расходки[Индекс12],0)),"")</f>
        <v>Fielder XT-R</v>
      </c>
      <c r="AD26" s="115" t="str">
        <f>IFERROR(INDEX(Расходка[Наименование расходного материала],MATCH(Расходка[[#This Row],[№]],Поиск_расходки[Индекс13],0)),"")</f>
        <v>Fielder XT-R</v>
      </c>
      <c r="AF26" s="4" t="s">
        <v>5</v>
      </c>
      <c r="AG26" s="4" t="s">
        <v>431</v>
      </c>
    </row>
    <row r="27" spans="1:35" x14ac:dyDescent="0.25">
      <c r="A27">
        <v>26</v>
      </c>
      <c r="B27" t="s">
        <v>3</v>
      </c>
      <c r="C27" s="1" t="s">
        <v>360</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0</v>
      </c>
      <c r="H27" s="116">
        <f>IF(ISNUMBER(SEARCH('Карта учёта'!$B$16,Расходка[[#This Row],[Наименование расходного материала]])),MAX($H$1:H26)+1,0)</f>
        <v>0</v>
      </c>
      <c r="I27" s="116">
        <f>IF(ISNUMBER(SEARCH('Карта учёта'!$B$17,Расходка[[#This Row],[Наименование расходного материала]])),MAX($I$1:I26)+1,0)</f>
        <v>0</v>
      </c>
      <c r="J27" s="116">
        <f>IF(ISNUMBER(SEARCH('Карта учёта'!$B$18,Расходка[[#This Row],[Наименование расходного материала]])),MAX($J$1:J26)+1,0)</f>
        <v>0</v>
      </c>
      <c r="K27" s="116">
        <f>IF(ISNUMBER(SEARCH('Карта учёта'!$B$19,Расходка[[#This Row],[Наименование расходного материала]])),MAX($K$1:K26)+1,0)</f>
        <v>0</v>
      </c>
      <c r="L27" s="116">
        <f>IF(ISNUMBER(SEARCH('Карта учёта'!$B$20,Расходка[[#This Row],[Наименование расходного материала]])),MAX($L$1:L26)+1,0)</f>
        <v>0</v>
      </c>
      <c r="M27" s="116">
        <f>IF(ISNUMBER(SEARCH('Карта учёта'!$B$21,Расходка[[#This Row],[Наименование расходного материала]])),MAX($M$1:M26)+1,0)</f>
        <v>0</v>
      </c>
      <c r="N27" s="116">
        <f>IF(ISNUMBER(SEARCH('Карта учёта'!$B$22,Расходка[[#This Row],[Наименование расходного материала]])),MAX($N$1:N26)+1,0)</f>
        <v>0</v>
      </c>
      <c r="O27" s="116">
        <f>IF(ISNUMBER(SEARCH('Карта учёта'!$B$23,Расходка[[#This Row],[Наименование расходного материала]])),MAX($O$1:O26)+1,0)</f>
        <v>0</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
      </c>
      <c r="Y27" s="115" t="str">
        <f>IFERROR(INDEX(Расходка[Наименование расходного материала],MATCH(Расходка[[#This Row],[№]],Поиск_расходки[Индекс8],0)),"")</f>
        <v/>
      </c>
      <c r="Z27" s="115" t="str">
        <f>IFERROR(INDEX(Расходка[Наименование расходного материала],MATCH(Расходка[[#This Row],[№]],Поиск_расходки[Индекс9],0)),"")</f>
        <v/>
      </c>
      <c r="AA27" s="115" t="str">
        <f>IFERROR(INDEX(Расходка[Наименование расходного материала],MATCH(Расходка[[#This Row],[№]],Поиск_расходки[Индекс10],0)),"")</f>
        <v/>
      </c>
      <c r="AB27" s="115" t="str">
        <f>IFERROR(INDEX(Расходка[Наименование расходного материала],MATCH(Расходка[[#This Row],[№]],Поиск_расходки[Индекс11],0)),"")</f>
        <v/>
      </c>
      <c r="AC27" s="115" t="str">
        <f>IFERROR(INDEX(Расходка[Наименование расходного материала],MATCH(Расходка[[#This Row],[№]],Поиск_расходки[Индекс12],0)),"")</f>
        <v>Gaia Second</v>
      </c>
      <c r="AD27" s="115" t="str">
        <f>IFERROR(INDEX(Расходка[Наименование расходного материала],MATCH(Расходка[[#This Row],[№]],Поиск_расходки[Индекс13],0)),"")</f>
        <v>Gaia Second</v>
      </c>
      <c r="AF27" s="4" t="s">
        <v>5</v>
      </c>
      <c r="AG27" s="4" t="s">
        <v>432</v>
      </c>
    </row>
    <row r="28" spans="1:35" x14ac:dyDescent="0.25">
      <c r="A28">
        <v>27</v>
      </c>
      <c r="B28" t="s">
        <v>3</v>
      </c>
      <c r="C28" s="1" t="s">
        <v>373</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учёта'!$B$17,Расходка[[#This Row],[Наименование расходного материала]])),MAX($I$1:I27)+1,0)</f>
        <v>0</v>
      </c>
      <c r="J28" s="116">
        <f>IF(ISNUMBER(SEARCH('Карта учёта'!$B$18,Расходка[[#This Row],[Наименование расходного материала]])),MAX($J$1:J27)+1,0)</f>
        <v>0</v>
      </c>
      <c r="K28" s="116">
        <f>IF(ISNUMBER(SEARCH('Карта учёта'!$B$19,Расходка[[#This Row],[Наименование расходного материала]])),MAX($K$1:K27)+1,0)</f>
        <v>0</v>
      </c>
      <c r="L28" s="116">
        <f>IF(ISNUMBER(SEARCH('Карта учёта'!$B$20,Расходка[[#This Row],[Наименование расходного материала]])),MAX($L$1:L27)+1,0)</f>
        <v>0</v>
      </c>
      <c r="M28" s="116">
        <f>IF(ISNUMBER(SEARCH('Карта учёта'!$B$21,Расходка[[#This Row],[Наименование расходного материала]])),MAX($M$1:M27)+1,0)</f>
        <v>0</v>
      </c>
      <c r="N28" s="116">
        <f>IF(ISNUMBER(SEARCH('Карта учёта'!$B$22,Расходка[[#This Row],[Наименование расходного материала]])),MAX($N$1:N27)+1,0)</f>
        <v>0</v>
      </c>
      <c r="O28" s="116">
        <f>IF(ISNUMBER(SEARCH('Карта учёта'!$B$23,Расходка[[#This Row],[Наименование расходного материала]])),MAX($O$1:O27)+1,0)</f>
        <v>0</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
      </c>
      <c r="Y28" s="115" t="str">
        <f>IFERROR(INDEX(Расходка[Наименование расходного материала],MATCH(Расходка[[#This Row],[№]],Поиск_расходки[Индекс8],0)),"")</f>
        <v/>
      </c>
      <c r="Z28" s="115" t="str">
        <f>IFERROR(INDEX(Расходка[Наименование расходного материала],MATCH(Расходка[[#This Row],[№]],Поиск_расходки[Индекс9],0)),"")</f>
        <v/>
      </c>
      <c r="AA28" s="115" t="str">
        <f>IFERROR(INDEX(Расходка[Наименование расходного материала],MATCH(Расходка[[#This Row],[№]],Поиск_расходки[Индекс10],0)),"")</f>
        <v/>
      </c>
      <c r="AB28" s="115" t="str">
        <f>IFERROR(INDEX(Расходка[Наименование расходного материала],MATCH(Расходка[[#This Row],[№]],Поиск_расходки[Индекс11],0)),"")</f>
        <v/>
      </c>
      <c r="AC28" s="115" t="str">
        <f>IFERROR(INDEX(Расходка[Наименование расходного материала],MATCH(Расходка[[#This Row],[№]],Поиск_расходки[Индекс12],0)),"")</f>
        <v>Gaia Third</v>
      </c>
      <c r="AD28" s="115" t="str">
        <f>IFERROR(INDEX(Расходка[Наименование расходного материала],MATCH(Расходка[[#This Row],[№]],Поиск_расходки[Индекс13],0)),"")</f>
        <v>Gaia Third</v>
      </c>
      <c r="AF28" s="4" t="s">
        <v>5</v>
      </c>
      <c r="AG28" s="4" t="s">
        <v>433</v>
      </c>
    </row>
    <row r="29" spans="1:35" x14ac:dyDescent="0.25">
      <c r="A29">
        <v>28</v>
      </c>
      <c r="B29" t="s">
        <v>3</v>
      </c>
      <c r="C29" s="1" t="s">
        <v>323</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учёта'!$B$17,Расходка[[#This Row],[Наименование расходного материала]])),MAX($I$1:I28)+1,0)</f>
        <v>0</v>
      </c>
      <c r="J29" s="116">
        <f>IF(ISNUMBER(SEARCH('Карта учёта'!$B$18,Расходка[[#This Row],[Наименование расходного материала]])),MAX($J$1:J28)+1,0)</f>
        <v>0</v>
      </c>
      <c r="K29" s="116">
        <f>IF(ISNUMBER(SEARCH('Карта учёта'!$B$19,Расходка[[#This Row],[Наименование расходного материала]])),MAX($K$1:K28)+1,0)</f>
        <v>0</v>
      </c>
      <c r="L29" s="116">
        <f>IF(ISNUMBER(SEARCH('Карта учёта'!$B$20,Расходка[[#This Row],[Наименование расходного материала]])),MAX($L$1:L28)+1,0)</f>
        <v>0</v>
      </c>
      <c r="M29" s="116">
        <f>IF(ISNUMBER(SEARCH('Карта учёта'!$B$21,Расходка[[#This Row],[Наименование расходного материала]])),MAX($M$1:M28)+1,0)</f>
        <v>0</v>
      </c>
      <c r="N29" s="116">
        <f>IF(ISNUMBER(SEARCH('Карта учёта'!$B$22,Расходка[[#This Row],[Наименование расходного материала]])),MAX($N$1:N28)+1,0)</f>
        <v>0</v>
      </c>
      <c r="O29" s="116">
        <f>IF(ISNUMBER(SEARCH('Карта учёта'!$B$23,Расходка[[#This Row],[Наименование расходного материала]])),MAX($O$1:O28)+1,0)</f>
        <v>0</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
      </c>
      <c r="Y29" s="115" t="str">
        <f>IFERROR(INDEX(Расходка[Наименование расходного материала],MATCH(Расходка[[#This Row],[№]],Поиск_расходки[Индекс8],0)),"")</f>
        <v/>
      </c>
      <c r="Z29" s="115" t="str">
        <f>IFERROR(INDEX(Расходка[Наименование расходного материала],MATCH(Расходка[[#This Row],[№]],Поиск_расходки[Индекс9],0)),"")</f>
        <v/>
      </c>
      <c r="AA29" s="115" t="str">
        <f>IFERROR(INDEX(Расходка[Наименование расходного материала],MATCH(Расходка[[#This Row],[№]],Поиск_расходки[Индекс10],0)),"")</f>
        <v/>
      </c>
      <c r="AB29" s="115" t="str">
        <f>IFERROR(INDEX(Расходка[Наименование расходного материала],MATCH(Расходка[[#This Row],[№]],Поиск_расходки[Индекс11],0)),"")</f>
        <v/>
      </c>
      <c r="AC29" s="115" t="str">
        <f>IFERROR(INDEX(Расходка[Наименование расходного материала],MATCH(Расходка[[#This Row],[№]],Поиск_расходки[Индекс12],0)),"")</f>
        <v>Intuition</v>
      </c>
      <c r="AD29" s="115" t="str">
        <f>IFERROR(INDEX(Расходка[Наименование расходного материала],MATCH(Расходка[[#This Row],[№]],Поиск_расходки[Индекс13],0)),"")</f>
        <v>Intuition</v>
      </c>
      <c r="AF29" s="4" t="s">
        <v>5</v>
      </c>
      <c r="AG29" s="4" t="s">
        <v>434</v>
      </c>
    </row>
    <row r="30" spans="1:35" x14ac:dyDescent="0.25">
      <c r="A30">
        <v>29</v>
      </c>
      <c r="B30" t="s">
        <v>3</v>
      </c>
      <c r="C30" t="s">
        <v>319</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учёта'!$B$17,Расходка[[#This Row],[Наименование расходного материала]])),MAX($I$1:I29)+1,0)</f>
        <v>0</v>
      </c>
      <c r="J30" s="116">
        <f>IF(ISNUMBER(SEARCH('Карта учёта'!$B$18,Расходка[[#This Row],[Наименование расходного материала]])),MAX($J$1:J29)+1,0)</f>
        <v>0</v>
      </c>
      <c r="K30" s="116">
        <f>IF(ISNUMBER(SEARCH('Карта учёта'!$B$19,Расходка[[#This Row],[Наименование расходного материала]])),MAX($K$1:K29)+1,0)</f>
        <v>0</v>
      </c>
      <c r="L30" s="116">
        <f>IF(ISNUMBER(SEARCH('Карта учёта'!$B$20,Расходка[[#This Row],[Наименование расходного материала]])),MAX($L$1:L29)+1,0)</f>
        <v>0</v>
      </c>
      <c r="M30" s="116">
        <f>IF(ISNUMBER(SEARCH('Карта учёта'!$B$21,Расходка[[#This Row],[Наименование расходного материала]])),MAX($M$1:M29)+1,0)</f>
        <v>0</v>
      </c>
      <c r="N30" s="116">
        <f>IF(ISNUMBER(SEARCH('Карта учёта'!$B$22,Расходка[[#This Row],[Наименование расходного материала]])),MAX($N$1:N29)+1,0)</f>
        <v>0</v>
      </c>
      <c r="O30" s="116">
        <f>IF(ISNUMBER(SEARCH('Карта учёта'!$B$23,Расходка[[#This Row],[Наименование расходного материала]])),MAX($O$1:O29)+1,0)</f>
        <v>0</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
      </c>
      <c r="Y30" s="115" t="str">
        <f>IFERROR(INDEX(Расходка[Наименование расходного материала],MATCH(Расходка[[#This Row],[№]],Поиск_расходки[Индекс8],0)),"")</f>
        <v/>
      </c>
      <c r="Z30" s="115" t="str">
        <f>IFERROR(INDEX(Расходка[Наименование расходного материала],MATCH(Расходка[[#This Row],[№]],Поиск_расходки[Индекс9],0)),"")</f>
        <v/>
      </c>
      <c r="AA30" s="115" t="str">
        <f>IFERROR(INDEX(Расходка[Наименование расходного материала],MATCH(Расходка[[#This Row],[№]],Поиск_расходки[Индекс10],0)),"")</f>
        <v/>
      </c>
      <c r="AB30" s="115" t="str">
        <f>IFERROR(INDEX(Расходка[Наименование расходного материала],MATCH(Расходка[[#This Row],[№]],Поиск_расходки[Индекс11],0)),"")</f>
        <v/>
      </c>
      <c r="AC30" s="115" t="str">
        <f>IFERROR(INDEX(Расходка[Наименование расходного материала],MATCH(Расходка[[#This Row],[№]],Поиск_расходки[Индекс12],0)),"")</f>
        <v>ProVia 3 Hydro-Track®</v>
      </c>
      <c r="AD30" s="115" t="str">
        <f>IFERROR(INDEX(Расходка[Наименование расходного материала],MATCH(Расходка[[#This Row],[№]],Поиск_расходки[Индекс13],0)),"")</f>
        <v>ProVia 3 Hydro-Track®</v>
      </c>
      <c r="AF30" s="4" t="s">
        <v>5</v>
      </c>
      <c r="AG30" s="4" t="s">
        <v>496</v>
      </c>
    </row>
    <row r="31" spans="1:35" x14ac:dyDescent="0.25">
      <c r="A31">
        <v>30</v>
      </c>
      <c r="B31" t="s">
        <v>3</v>
      </c>
      <c r="C31" t="s">
        <v>320</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учёта'!$B$17,Расходка[[#This Row],[Наименование расходного материала]])),MAX($I$1:I30)+1,0)</f>
        <v>0</v>
      </c>
      <c r="J31" s="116">
        <f>IF(ISNUMBER(SEARCH('Карта учёта'!$B$18,Расходка[[#This Row],[Наименование расходного материала]])),MAX($J$1:J30)+1,0)</f>
        <v>0</v>
      </c>
      <c r="K31" s="116">
        <f>IF(ISNUMBER(SEARCH('Карта учёта'!$B$19,Расходка[[#This Row],[Наименование расходного материала]])),MAX($K$1:K30)+1,0)</f>
        <v>0</v>
      </c>
      <c r="L31" s="116">
        <f>IF(ISNUMBER(SEARCH('Карта учёта'!$B$20,Расходка[[#This Row],[Наименование расходного материала]])),MAX($L$1:L30)+1,0)</f>
        <v>0</v>
      </c>
      <c r="M31" s="116">
        <f>IF(ISNUMBER(SEARCH('Карта учёта'!$B$21,Расходка[[#This Row],[Наименование расходного материала]])),MAX($M$1:M30)+1,0)</f>
        <v>0</v>
      </c>
      <c r="N31" s="116">
        <f>IF(ISNUMBER(SEARCH('Карта учёта'!$B$22,Расходка[[#This Row],[Наименование расходного материала]])),MAX($N$1:N30)+1,0)</f>
        <v>0</v>
      </c>
      <c r="O31" s="116">
        <f>IF(ISNUMBER(SEARCH('Карта учёта'!$B$23,Расходка[[#This Row],[Наименование расходного материала]])),MAX($O$1:O30)+1,0)</f>
        <v>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
      </c>
      <c r="Y31" s="115" t="str">
        <f>IFERROR(INDEX(Расходка[Наименование расходного материала],MATCH(Расходка[[#This Row],[№]],Поиск_расходки[Индекс8],0)),"")</f>
        <v/>
      </c>
      <c r="Z31" s="115" t="str">
        <f>IFERROR(INDEX(Расходка[Наименование расходного материала],MATCH(Расходка[[#This Row],[№]],Поиск_расходки[Индекс9],0)),"")</f>
        <v/>
      </c>
      <c r="AA31" s="115" t="str">
        <f>IFERROR(INDEX(Расходка[Наименование расходного материала],MATCH(Расходка[[#This Row],[№]],Поиск_расходки[Индекс10],0)),"")</f>
        <v/>
      </c>
      <c r="AB31" s="115" t="str">
        <f>IFERROR(INDEX(Расходка[Наименование расходного материала],MATCH(Расходка[[#This Row],[№]],Поиск_расходки[Индекс11],0)),"")</f>
        <v/>
      </c>
      <c r="AC31" s="115" t="str">
        <f>IFERROR(INDEX(Расходка[Наименование расходного материала],MATCH(Расходка[[#This Row],[№]],Поиск_расходки[Индекс12],0)),"")</f>
        <v>ProVia 6 Hydro-Track®</v>
      </c>
      <c r="AD31" s="115" t="str">
        <f>IFERROR(INDEX(Расходка[Наименование расходного материала],MATCH(Расходка[[#This Row],[№]],Поиск_расходки[Индекс13],0)),"")</f>
        <v>ProVia 6 Hydro-Track®</v>
      </c>
      <c r="AF31" s="4" t="s">
        <v>5</v>
      </c>
      <c r="AG31" s="4" t="s">
        <v>435</v>
      </c>
    </row>
    <row r="32" spans="1:35" x14ac:dyDescent="0.25">
      <c r="A32">
        <v>31</v>
      </c>
      <c r="B32" t="s">
        <v>3</v>
      </c>
      <c r="C32" t="s">
        <v>321</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учёта'!$B$17,Расходка[[#This Row],[Наименование расходного материала]])),MAX($I$1:I31)+1,0)</f>
        <v>0</v>
      </c>
      <c r="J32" s="116">
        <f>IF(ISNUMBER(SEARCH('Карта учёта'!$B$18,Расходка[[#This Row],[Наименование расходного материала]])),MAX($J$1:J31)+1,0)</f>
        <v>0</v>
      </c>
      <c r="K32" s="116">
        <f>IF(ISNUMBER(SEARCH('Карта учёта'!$B$19,Расходка[[#This Row],[Наименование расходного материала]])),MAX($K$1:K31)+1,0)</f>
        <v>0</v>
      </c>
      <c r="L32" s="116">
        <f>IF(ISNUMBER(SEARCH('Карта учёта'!$B$20,Расходка[[#This Row],[Наименование расходного материала]])),MAX($L$1:L31)+1,0)</f>
        <v>0</v>
      </c>
      <c r="M32" s="116">
        <f>IF(ISNUMBER(SEARCH('Карта учёта'!$B$21,Расходка[[#This Row],[Наименование расходного материала]])),MAX($M$1:M31)+1,0)</f>
        <v>0</v>
      </c>
      <c r="N32" s="116">
        <f>IF(ISNUMBER(SEARCH('Карта учёта'!$B$22,Расходка[[#This Row],[Наименование расходного материала]])),MAX($N$1:N31)+1,0)</f>
        <v>0</v>
      </c>
      <c r="O32" s="116">
        <f>IF(ISNUMBER(SEARCH('Карта учёта'!$B$23,Расходка[[#This Row],[Наименование расходного материала]])),MAX($O$1:O31)+1,0)</f>
        <v>0</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
      </c>
      <c r="Y32" s="115" t="str">
        <f>IFERROR(INDEX(Расходка[Наименование расходного материала],MATCH(Расходка[[#This Row],[№]],Поиск_расходки[Индекс8],0)),"")</f>
        <v/>
      </c>
      <c r="Z32" s="115" t="str">
        <f>IFERROR(INDEX(Расходка[Наименование расходного материала],MATCH(Расходка[[#This Row],[№]],Поиск_расходки[Индекс9],0)),"")</f>
        <v/>
      </c>
      <c r="AA32" s="115" t="str">
        <f>IFERROR(INDEX(Расходка[Наименование расходного материала],MATCH(Расходка[[#This Row],[№]],Поиск_расходки[Индекс10],0)),"")</f>
        <v/>
      </c>
      <c r="AB32" s="115" t="str">
        <f>IFERROR(INDEX(Расходка[Наименование расходного материала],MATCH(Расходка[[#This Row],[№]],Поиск_расходки[Индекс11],0)),"")</f>
        <v/>
      </c>
      <c r="AC32" s="115" t="str">
        <f>IFERROR(INDEX(Расходка[Наименование расходного материала],MATCH(Расходка[[#This Row],[№]],Поиск_расходки[Индекс12],0)),"")</f>
        <v>ProVia 9 Hydro-Track®</v>
      </c>
      <c r="AD32" s="115" t="str">
        <f>IFERROR(INDEX(Расходка[Наименование расходного материала],MATCH(Расходка[[#This Row],[№]],Поиск_расходки[Индекс13],0)),"")</f>
        <v>ProVia 9 Hydro-Track®</v>
      </c>
      <c r="AF32" s="4" t="s">
        <v>5</v>
      </c>
      <c r="AG32" s="4" t="s">
        <v>436</v>
      </c>
    </row>
    <row r="33" spans="1:33" x14ac:dyDescent="0.25">
      <c r="A33">
        <v>32</v>
      </c>
      <c r="B33" t="s">
        <v>3</v>
      </c>
      <c r="C33" t="s">
        <v>317</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учёта'!$B$17,Расходка[[#This Row],[Наименование расходного материала]])),MAX($I$1:I32)+1,0)</f>
        <v>0</v>
      </c>
      <c r="J33" s="116">
        <f>IF(ISNUMBER(SEARCH('Карта учёта'!$B$18,Расходка[[#This Row],[Наименование расходного материала]])),MAX($J$1:J32)+1,0)</f>
        <v>0</v>
      </c>
      <c r="K33" s="116">
        <f>IF(ISNUMBER(SEARCH('Карта учёта'!$B$19,Расходка[[#This Row],[Наименование расходного материала]])),MAX($K$1:K32)+1,0)</f>
        <v>0</v>
      </c>
      <c r="L33" s="116">
        <f>IF(ISNUMBER(SEARCH('Карта учёта'!$B$20,Расходка[[#This Row],[Наименование расходного материала]])),MAX($L$1:L32)+1,0)</f>
        <v>0</v>
      </c>
      <c r="M33" s="116">
        <f>IF(ISNUMBER(SEARCH('Карта учёта'!$B$21,Расходка[[#This Row],[Наименование расходного материала]])),MAX($M$1:M32)+1,0)</f>
        <v>0</v>
      </c>
      <c r="N33" s="116">
        <f>IF(ISNUMBER(SEARCH('Карта учёта'!$B$22,Расходка[[#This Row],[Наименование расходного материала]])),MAX($N$1:N32)+1,0)</f>
        <v>0</v>
      </c>
      <c r="O33" s="116">
        <f>IF(ISNUMBER(SEARCH('Карта учёта'!$B$23,Расходка[[#This Row],[Наименование расходного материала]])),MAX($O$1:O32)+1,0)</f>
        <v>0</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
      </c>
      <c r="Y33" s="115" t="str">
        <f>IFERROR(INDEX(Расходка[Наименование расходного материала],MATCH(Расходка[[#This Row],[№]],Поиск_расходки[Индекс8],0)),"")</f>
        <v/>
      </c>
      <c r="Z33" s="115" t="str">
        <f>IFERROR(INDEX(Расходка[Наименование расходного материала],MATCH(Расходка[[#This Row],[№]],Поиск_расходки[Индекс9],0)),"")</f>
        <v/>
      </c>
      <c r="AA33" s="115" t="str">
        <f>IFERROR(INDEX(Расходка[Наименование расходного материала],MATCH(Расходка[[#This Row],[№]],Поиск_расходки[Индекс10],0)),"")</f>
        <v/>
      </c>
      <c r="AB33" s="115" t="str">
        <f>IFERROR(INDEX(Расходка[Наименование расходного материала],MATCH(Расходка[[#This Row],[№]],Поиск_расходки[Индекс11],0)),"")</f>
        <v/>
      </c>
      <c r="AC33" s="115" t="str">
        <f>IFERROR(INDEX(Расходка[Наименование расходного материала],MATCH(Расходка[[#This Row],[№]],Поиск_расходки[Индекс12],0)),"")</f>
        <v>Rinato</v>
      </c>
      <c r="AD33" s="115" t="str">
        <f>IFERROR(INDEX(Расходка[Наименование расходного материала],MATCH(Расходка[[#This Row],[№]],Поиск_расходки[Индекс13],0)),"")</f>
        <v>Rinato</v>
      </c>
      <c r="AF33" s="4" t="s">
        <v>5</v>
      </c>
      <c r="AG33" s="4" t="s">
        <v>437</v>
      </c>
    </row>
    <row r="34" spans="1:33" x14ac:dyDescent="0.25">
      <c r="A34">
        <v>33</v>
      </c>
      <c r="B34" t="s">
        <v>3</v>
      </c>
      <c r="C34" s="1" t="s">
        <v>354</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учёта'!$B$17,Расходка[[#This Row],[Наименование расходного материала]])),MAX($I$1:I33)+1,0)</f>
        <v>0</v>
      </c>
      <c r="J34" s="116">
        <f>IF(ISNUMBER(SEARCH('Карта учёта'!$B$18,Расходка[[#This Row],[Наименование расходного материала]])),MAX($J$1:J33)+1,0)</f>
        <v>0</v>
      </c>
      <c r="K34" s="116">
        <f>IF(ISNUMBER(SEARCH('Карта учёта'!$B$19,Расходка[[#This Row],[Наименование расходного материала]])),MAX($K$1:K33)+1,0)</f>
        <v>0</v>
      </c>
      <c r="L34" s="116">
        <f>IF(ISNUMBER(SEARCH('Карта учёта'!$B$20,Расходка[[#This Row],[Наименование расходного материала]])),MAX($L$1:L33)+1,0)</f>
        <v>0</v>
      </c>
      <c r="M34" s="116">
        <f>IF(ISNUMBER(SEARCH('Карта учёта'!$B$21,Расходка[[#This Row],[Наименование расходного материала]])),MAX($M$1:M33)+1,0)</f>
        <v>0</v>
      </c>
      <c r="N34" s="116">
        <f>IF(ISNUMBER(SEARCH('Карта учёта'!$B$22,Расходка[[#This Row],[Наименование расходного материала]])),MAX($N$1:N33)+1,0)</f>
        <v>0</v>
      </c>
      <c r="O34" s="116">
        <f>IF(ISNUMBER(SEARCH('Карта учёта'!$B$23,Расходка[[#This Row],[Наименование расходного материала]])),MAX($O$1:O33)+1,0)</f>
        <v>0</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
      </c>
      <c r="Y34" s="115" t="str">
        <f>IFERROR(INDEX(Расходка[Наименование расходного материала],MATCH(Расходка[[#This Row],[№]],Поиск_расходки[Индекс8],0)),"")</f>
        <v/>
      </c>
      <c r="Z34" s="115" t="str">
        <f>IFERROR(INDEX(Расходка[Наименование расходного материала],MATCH(Расходка[[#This Row],[№]],Поиск_расходки[Индекс9],0)),"")</f>
        <v/>
      </c>
      <c r="AA34" s="115" t="str">
        <f>IFERROR(INDEX(Расходка[Наименование расходного материала],MATCH(Расходка[[#This Row],[№]],Поиск_расходки[Индекс10],0)),"")</f>
        <v/>
      </c>
      <c r="AB34" s="115" t="str">
        <f>IFERROR(INDEX(Расходка[Наименование расходного материала],MATCH(Расходка[[#This Row],[№]],Поиск_расходки[Индекс11],0)),"")</f>
        <v/>
      </c>
      <c r="AC34" s="115" t="str">
        <f>IFERROR(INDEX(Расходка[Наименование расходного материала],MATCH(Расходка[[#This Row],[№]],Поиск_расходки[Индекс12],0)),"")</f>
        <v>Runthrough NS (Floppy)</v>
      </c>
      <c r="AD34" s="115" t="str">
        <f>IFERROR(INDEX(Расходка[Наименование расходного материала],MATCH(Расходка[[#This Row],[№]],Поиск_расходки[Индекс13],0)),"")</f>
        <v>Runthrough NS (Floppy)</v>
      </c>
      <c r="AF34" s="4" t="s">
        <v>5</v>
      </c>
      <c r="AG34" s="4" t="s">
        <v>438</v>
      </c>
    </row>
    <row r="35" spans="1:33" x14ac:dyDescent="0.25">
      <c r="A35">
        <v>34</v>
      </c>
      <c r="B35" t="s">
        <v>3</v>
      </c>
      <c r="C35" s="1" t="s">
        <v>362</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учёта'!$B$17,Расходка[[#This Row],[Наименование расходного материала]])),MAX($I$1:I34)+1,0)</f>
        <v>0</v>
      </c>
      <c r="J35" s="116">
        <f>IF(ISNUMBER(SEARCH('Карта учёта'!$B$18,Расходка[[#This Row],[Наименование расходного материала]])),MAX($J$1:J34)+1,0)</f>
        <v>0</v>
      </c>
      <c r="K35" s="116">
        <f>IF(ISNUMBER(SEARCH('Карта учёта'!$B$19,Расходка[[#This Row],[Наименование расходного материала]])),MAX($K$1:K34)+1,0)</f>
        <v>0</v>
      </c>
      <c r="L35" s="116">
        <f>IF(ISNUMBER(SEARCH('Карта учёта'!$B$20,Расходка[[#This Row],[Наименование расходного материала]])),MAX($L$1:L34)+1,0)</f>
        <v>0</v>
      </c>
      <c r="M35" s="116">
        <f>IF(ISNUMBER(SEARCH('Карта учёта'!$B$21,Расходка[[#This Row],[Наименование расходного материала]])),MAX($M$1:M34)+1,0)</f>
        <v>0</v>
      </c>
      <c r="N35" s="116">
        <f>IF(ISNUMBER(SEARCH('Карта учёта'!$B$22,Расходка[[#This Row],[Наименование расходного материала]])),MAX($N$1:N34)+1,0)</f>
        <v>0</v>
      </c>
      <c r="O35" s="116">
        <f>IF(ISNUMBER(SEARCH('Карта учёта'!$B$23,Расходка[[#This Row],[Наименование расходного материала]])),MAX($O$1:O34)+1,0)</f>
        <v>0</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
      </c>
      <c r="Y35" s="115" t="str">
        <f>IFERROR(INDEX(Расходка[Наименование расходного материала],MATCH(Расходка[[#This Row],[№]],Поиск_расходки[Индекс8],0)),"")</f>
        <v/>
      </c>
      <c r="Z35" s="115" t="str">
        <f>IFERROR(INDEX(Расходка[Наименование расходного материала],MATCH(Расходка[[#This Row],[№]],Поиск_расходки[Индекс9],0)),"")</f>
        <v/>
      </c>
      <c r="AA35" s="115" t="str">
        <f>IFERROR(INDEX(Расходка[Наименование расходного материала],MATCH(Расходка[[#This Row],[№]],Поиск_расходки[Индекс10],0)),"")</f>
        <v/>
      </c>
      <c r="AB35" s="115" t="str">
        <f>IFERROR(INDEX(Расходка[Наименование расходного материала],MATCH(Расходка[[#This Row],[№]],Поиск_расходки[Индекс11],0)),"")</f>
        <v/>
      </c>
      <c r="AC35" s="115" t="str">
        <f>IFERROR(INDEX(Расходка[Наименование расходного материала],MATCH(Расходка[[#This Row],[№]],Поиск_расходки[Индекс12],0)),"")</f>
        <v>Runthrough NS Hypercoat</v>
      </c>
      <c r="AD35" s="115" t="str">
        <f>IFERROR(INDEX(Расходка[Наименование расходного материала],MATCH(Расходка[[#This Row],[№]],Поиск_расходки[Индекс13],0)),"")</f>
        <v>Runthrough NS Hypercoat</v>
      </c>
      <c r="AF35" s="4" t="s">
        <v>5</v>
      </c>
      <c r="AG35" s="4" t="s">
        <v>497</v>
      </c>
    </row>
    <row r="36" spans="1:33" x14ac:dyDescent="0.25">
      <c r="A36">
        <v>35</v>
      </c>
      <c r="B36" t="s">
        <v>3</v>
      </c>
      <c r="C36" s="1" t="s">
        <v>361</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учёта'!$B$17,Расходка[[#This Row],[Наименование расходного материала]])),MAX($I$1:I35)+1,0)</f>
        <v>0</v>
      </c>
      <c r="J36" s="116">
        <f>IF(ISNUMBER(SEARCH('Карта учёта'!$B$18,Расходка[[#This Row],[Наименование расходного материала]])),MAX($J$1:J35)+1,0)</f>
        <v>0</v>
      </c>
      <c r="K36" s="116">
        <f>IF(ISNUMBER(SEARCH('Карта учёта'!$B$19,Расходка[[#This Row],[Наименование расходного материала]])),MAX($K$1:K35)+1,0)</f>
        <v>0</v>
      </c>
      <c r="L36" s="116">
        <f>IF(ISNUMBER(SEARCH('Карта учёта'!$B$20,Расходка[[#This Row],[Наименование расходного материала]])),MAX($L$1:L35)+1,0)</f>
        <v>0</v>
      </c>
      <c r="M36" s="116">
        <f>IF(ISNUMBER(SEARCH('Карта учёта'!$B$21,Расходка[[#This Row],[Наименование расходного материала]])),MAX($M$1:M35)+1,0)</f>
        <v>0</v>
      </c>
      <c r="N36" s="116">
        <f>IF(ISNUMBER(SEARCH('Карта учёта'!$B$22,Расходка[[#This Row],[Наименование расходного материала]])),MAX($N$1:N35)+1,0)</f>
        <v>0</v>
      </c>
      <c r="O36" s="116">
        <f>IF(ISNUMBER(SEARCH('Карта учёта'!$B$23,Расходка[[#This Row],[Наименование расходного материала]])),MAX($O$1:O35)+1,0)</f>
        <v>0</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
      </c>
      <c r="Y36" s="115" t="str">
        <f>IFERROR(INDEX(Расходка[Наименование расходного материала],MATCH(Расходка[[#This Row],[№]],Поиск_расходки[Индекс8],0)),"")</f>
        <v/>
      </c>
      <c r="Z36" s="115" t="str">
        <f>IFERROR(INDEX(Расходка[Наименование расходного материала],MATCH(Расходка[[#This Row],[№]],Поиск_расходки[Индекс9],0)),"")</f>
        <v/>
      </c>
      <c r="AA36" s="115" t="str">
        <f>IFERROR(INDEX(Расходка[Наименование расходного материала],MATCH(Расходка[[#This Row],[№]],Поиск_расходки[Индекс10],0)),"")</f>
        <v/>
      </c>
      <c r="AB36" s="115" t="str">
        <f>IFERROR(INDEX(Расходка[Наименование расходного материала],MATCH(Расходка[[#This Row],[№]],Поиск_расходки[Индекс11],0)),"")</f>
        <v/>
      </c>
      <c r="AC36" s="115" t="str">
        <f>IFERROR(INDEX(Расходка[Наименование расходного материала],MATCH(Расходка[[#This Row],[№]],Поиск_расходки[Индекс12],0)),"")</f>
        <v>Runthrough NS Intermediate</v>
      </c>
      <c r="AD36" s="115" t="str">
        <f>IFERROR(INDEX(Расходка[Наименование расходного материала],MATCH(Расходка[[#This Row],[№]],Поиск_расходки[Индекс13],0)),"")</f>
        <v>Runthrough NS Intermediate</v>
      </c>
      <c r="AF36" s="4" t="s">
        <v>5</v>
      </c>
      <c r="AG36" s="4" t="s">
        <v>439</v>
      </c>
    </row>
    <row r="37" spans="1:33" x14ac:dyDescent="0.25">
      <c r="A37">
        <v>36</v>
      </c>
      <c r="B37" t="s">
        <v>3</v>
      </c>
      <c r="C37" t="s">
        <v>316</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учёта'!$B$17,Расходка[[#This Row],[Наименование расходного материала]])),MAX($I$1:I36)+1,0)</f>
        <v>0</v>
      </c>
      <c r="J37" s="116">
        <f>IF(ISNUMBER(SEARCH('Карта учёта'!$B$18,Расходка[[#This Row],[Наименование расходного материала]])),MAX($J$1:J36)+1,0)</f>
        <v>0</v>
      </c>
      <c r="K37" s="116">
        <f>IF(ISNUMBER(SEARCH('Карта учёта'!$B$19,Расходка[[#This Row],[Наименование расходного материала]])),MAX($K$1:K36)+1,0)</f>
        <v>0</v>
      </c>
      <c r="L37" s="116">
        <f>IF(ISNUMBER(SEARCH('Карта учёта'!$B$20,Расходка[[#This Row],[Наименование расходного материала]])),MAX($L$1:L36)+1,0)</f>
        <v>0</v>
      </c>
      <c r="M37" s="116">
        <f>IF(ISNUMBER(SEARCH('Карта учёта'!$B$21,Расходка[[#This Row],[Наименование расходного материала]])),MAX($M$1:M36)+1,0)</f>
        <v>0</v>
      </c>
      <c r="N37" s="116">
        <f>IF(ISNUMBER(SEARCH('Карта учёта'!$B$22,Расходка[[#This Row],[Наименование расходного материала]])),MAX($N$1:N36)+1,0)</f>
        <v>0</v>
      </c>
      <c r="O37" s="116">
        <f>IF(ISNUMBER(SEARCH('Карта учёта'!$B$23,Расходка[[#This Row],[Наименование расходного материала]])),MAX($O$1:O36)+1,0)</f>
        <v>0</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
      </c>
      <c r="Y37" s="115" t="str">
        <f>IFERROR(INDEX(Расходка[Наименование расходного материала],MATCH(Расходка[[#This Row],[№]],Поиск_расходки[Индекс8],0)),"")</f>
        <v/>
      </c>
      <c r="Z37" s="115" t="str">
        <f>IFERROR(INDEX(Расходка[Наименование расходного материала],MATCH(Расходка[[#This Row],[№]],Поиск_расходки[Индекс9],0)),"")</f>
        <v/>
      </c>
      <c r="AA37" s="115" t="str">
        <f>IFERROR(INDEX(Расходка[Наименование расходного материала],MATCH(Расходка[[#This Row],[№]],Поиск_расходки[Индекс10],0)),"")</f>
        <v/>
      </c>
      <c r="AB37" s="115" t="str">
        <f>IFERROR(INDEX(Расходка[Наименование расходного материала],MATCH(Расходка[[#This Row],[№]],Поиск_расходки[Индекс11],0)),"")</f>
        <v/>
      </c>
      <c r="AC37" s="115" t="str">
        <f>IFERROR(INDEX(Расходка[Наименование расходного материала],MATCH(Расходка[[#This Row],[№]],Поиск_расходки[Индекс12],0)),"")</f>
        <v>Sion</v>
      </c>
      <c r="AD37" s="115" t="str">
        <f>IFERROR(INDEX(Расходка[Наименование расходного материала],MATCH(Расходка[[#This Row],[№]],Поиск_расходки[Индекс13],0)),"")</f>
        <v>Sion</v>
      </c>
      <c r="AF37" s="4" t="s">
        <v>6</v>
      </c>
      <c r="AG37" s="4" t="s">
        <v>412</v>
      </c>
    </row>
    <row r="38" spans="1:33" x14ac:dyDescent="0.25">
      <c r="A38">
        <v>37</v>
      </c>
      <c r="B38" t="s">
        <v>3</v>
      </c>
      <c r="C38" t="s">
        <v>382</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учёта'!$B$17,Расходка[[#This Row],[Наименование расходного материала]])),MAX($I$1:I37)+1,0)</f>
        <v>0</v>
      </c>
      <c r="J38" s="116">
        <f>IF(ISNUMBER(SEARCH('Карта учёта'!$B$18,Расходка[[#This Row],[Наименование расходного материала]])),MAX($J$1:J37)+1,0)</f>
        <v>0</v>
      </c>
      <c r="K38" s="116">
        <f>IF(ISNUMBER(SEARCH('Карта учёта'!$B$19,Расходка[[#This Row],[Наименование расходного материала]])),MAX($K$1:K37)+1,0)</f>
        <v>0</v>
      </c>
      <c r="L38" s="116">
        <f>IF(ISNUMBER(SEARCH('Карта учёта'!$B$20,Расходка[[#This Row],[Наименование расходного материала]])),MAX($L$1:L37)+1,0)</f>
        <v>0</v>
      </c>
      <c r="M38" s="116">
        <f>IF(ISNUMBER(SEARCH('Карта учёта'!$B$21,Расходка[[#This Row],[Наименование расходного материала]])),MAX($M$1:M37)+1,0)</f>
        <v>0</v>
      </c>
      <c r="N38" s="116">
        <f>IF(ISNUMBER(SEARCH('Карта учёта'!$B$22,Расходка[[#This Row],[Наименование расходного материала]])),MAX($N$1:N37)+1,0)</f>
        <v>0</v>
      </c>
      <c r="O38" s="116">
        <f>IF(ISNUMBER(SEARCH('Карта учёта'!$B$23,Расходка[[#This Row],[Наименование расходного материала]])),MAX($O$1:O37)+1,0)</f>
        <v>0</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
      </c>
      <c r="Y38" s="115" t="str">
        <f>IFERROR(INDEX(Расходка[Наименование расходного материала],MATCH(Расходка[[#This Row],[№]],Поиск_расходки[Индекс8],0)),"")</f>
        <v/>
      </c>
      <c r="Z38" s="115" t="str">
        <f>IFERROR(INDEX(Расходка[Наименование расходного материала],MATCH(Расходка[[#This Row],[№]],Поиск_расходки[Индекс9],0)),"")</f>
        <v/>
      </c>
      <c r="AA38" s="115" t="str">
        <f>IFERROR(INDEX(Расходка[Наименование расходного материала],MATCH(Расходка[[#This Row],[№]],Поиск_расходки[Индекс10],0)),"")</f>
        <v/>
      </c>
      <c r="AB38" s="115" t="str">
        <f>IFERROR(INDEX(Расходка[Наименование расходного материала],MATCH(Расходка[[#This Row],[№]],Поиск_расходки[Индекс11],0)),"")</f>
        <v/>
      </c>
      <c r="AC38" s="115" t="str">
        <f>IFERROR(INDEX(Расходка[Наименование расходного материала],MATCH(Расходка[[#This Row],[№]],Поиск_расходки[Индекс12],0)),"")</f>
        <v>Sion Black</v>
      </c>
      <c r="AD38" s="115" t="str">
        <f>IFERROR(INDEX(Расходка[Наименование расходного материала],MATCH(Расходка[[#This Row],[№]],Поиск_расходки[Индекс13],0)),"")</f>
        <v>Sion Black</v>
      </c>
      <c r="AF38" s="4" t="s">
        <v>6</v>
      </c>
      <c r="AG38" s="4" t="s">
        <v>499</v>
      </c>
    </row>
    <row r="39" spans="1:33" x14ac:dyDescent="0.25">
      <c r="A39">
        <v>38</v>
      </c>
      <c r="B39" t="s">
        <v>3</v>
      </c>
      <c r="C39" s="1" t="s">
        <v>376</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учёта'!$B$17,Расходка[[#This Row],[Наименование расходного материала]])),MAX($I$1:I38)+1,0)</f>
        <v>0</v>
      </c>
      <c r="J39" s="116">
        <f>IF(ISNUMBER(SEARCH('Карта учёта'!$B$18,Расходка[[#This Row],[Наименование расходного материала]])),MAX($J$1:J38)+1,0)</f>
        <v>0</v>
      </c>
      <c r="K39" s="116">
        <f>IF(ISNUMBER(SEARCH('Карта учёта'!$B$19,Расходка[[#This Row],[Наименование расходного материала]])),MAX($K$1:K38)+1,0)</f>
        <v>0</v>
      </c>
      <c r="L39" s="116">
        <f>IF(ISNUMBER(SEARCH('Карта учёта'!$B$20,Расходка[[#This Row],[Наименование расходного материала]])),MAX($L$1:L38)+1,0)</f>
        <v>0</v>
      </c>
      <c r="M39" s="116">
        <f>IF(ISNUMBER(SEARCH('Карта учёта'!$B$21,Расходка[[#This Row],[Наименование расходного материала]])),MAX($M$1:M38)+1,0)</f>
        <v>0</v>
      </c>
      <c r="N39" s="116">
        <f>IF(ISNUMBER(SEARCH('Карта учёта'!$B$22,Расходка[[#This Row],[Наименование расходного материала]])),MAX($N$1:N38)+1,0)</f>
        <v>0</v>
      </c>
      <c r="O39" s="116">
        <f>IF(ISNUMBER(SEARCH('Карта учёта'!$B$23,Расходка[[#This Row],[Наименование расходного материала]])),MAX($O$1:O38)+1,0)</f>
        <v>0</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
      </c>
      <c r="Y39" s="115" t="str">
        <f>IFERROR(INDEX(Расходка[Наименование расходного материала],MATCH(Расходка[[#This Row],[№]],Поиск_расходки[Индекс8],0)),"")</f>
        <v/>
      </c>
      <c r="Z39" s="115" t="str">
        <f>IFERROR(INDEX(Расходка[Наименование расходного материала],MATCH(Расходка[[#This Row],[№]],Поиск_расходки[Индекс9],0)),"")</f>
        <v/>
      </c>
      <c r="AA39" s="115" t="str">
        <f>IFERROR(INDEX(Расходка[Наименование расходного материала],MATCH(Расходка[[#This Row],[№]],Поиск_расходки[Индекс10],0)),"")</f>
        <v/>
      </c>
      <c r="AB39" s="115" t="str">
        <f>IFERROR(INDEX(Расходка[Наименование расходного материала],MATCH(Расходка[[#This Row],[№]],Поиск_расходки[Индекс11],0)),"")</f>
        <v/>
      </c>
      <c r="AC39" s="115" t="str">
        <f>IFERROR(INDEX(Расходка[Наименование расходного материала],MATCH(Расходка[[#This Row],[№]],Поиск_расходки[Индекс12],0)),"")</f>
        <v>Sion Blue</v>
      </c>
      <c r="AD39" s="115" t="str">
        <f>IFERROR(INDEX(Расходка[Наименование расходного материала],MATCH(Расходка[[#This Row],[№]],Поиск_расходки[Индекс13],0)),"")</f>
        <v>Sion Blue</v>
      </c>
      <c r="AF39" s="4" t="s">
        <v>6</v>
      </c>
      <c r="AG39" s="4" t="s">
        <v>440</v>
      </c>
    </row>
    <row r="40" spans="1:33" x14ac:dyDescent="0.25">
      <c r="A40">
        <v>39</v>
      </c>
      <c r="B40" t="s">
        <v>3</v>
      </c>
      <c r="C40" t="s">
        <v>318</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учёта'!$B$17,Расходка[[#This Row],[Наименование расходного материала]])),MAX($I$1:I39)+1,0)</f>
        <v>0</v>
      </c>
      <c r="J40" s="116">
        <f>IF(ISNUMBER(SEARCH('Карта учёта'!$B$18,Расходка[[#This Row],[Наименование расходного материала]])),MAX($J$1:J39)+1,0)</f>
        <v>0</v>
      </c>
      <c r="K40" s="116">
        <f>IF(ISNUMBER(SEARCH('Карта учёта'!$B$19,Расходка[[#This Row],[Наименование расходного материала]])),MAX($K$1:K39)+1,0)</f>
        <v>0</v>
      </c>
      <c r="L40" s="116">
        <f>IF(ISNUMBER(SEARCH('Карта учёта'!$B$20,Расходка[[#This Row],[Наименование расходного материала]])),MAX($L$1:L39)+1,0)</f>
        <v>0</v>
      </c>
      <c r="M40" s="116">
        <f>IF(ISNUMBER(SEARCH('Карта учёта'!$B$21,Расходка[[#This Row],[Наименование расходного материала]])),MAX($M$1:M39)+1,0)</f>
        <v>0</v>
      </c>
      <c r="N40" s="116">
        <f>IF(ISNUMBER(SEARCH('Карта учёта'!$B$22,Расходка[[#This Row],[Наименование расходного материала]])),MAX($N$1:N39)+1,0)</f>
        <v>0</v>
      </c>
      <c r="O40" s="116">
        <f>IF(ISNUMBER(SEARCH('Карта учёта'!$B$23,Расходка[[#This Row],[Наименование расходного материала]])),MAX($O$1:O39)+1,0)</f>
        <v>0</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
      </c>
      <c r="Y40" s="115" t="str">
        <f>IFERROR(INDEX(Расходка[Наименование расходного материала],MATCH(Расходка[[#This Row],[№]],Поиск_расходки[Индекс8],0)),"")</f>
        <v/>
      </c>
      <c r="Z40" s="115" t="str">
        <f>IFERROR(INDEX(Расходка[Наименование расходного материала],MATCH(Расходка[[#This Row],[№]],Поиск_расходки[Индекс9],0)),"")</f>
        <v/>
      </c>
      <c r="AA40" s="115" t="str">
        <f>IFERROR(INDEX(Расходка[Наименование расходного материала],MATCH(Расходка[[#This Row],[№]],Поиск_расходки[Индекс10],0)),"")</f>
        <v/>
      </c>
      <c r="AB40" s="115" t="str">
        <f>IFERROR(INDEX(Расходка[Наименование расходного материала],MATCH(Расходка[[#This Row],[№]],Поиск_расходки[Индекс11],0)),"")</f>
        <v/>
      </c>
      <c r="AC40" s="115" t="str">
        <f>IFERROR(INDEX(Расходка[Наименование расходного материала],MATCH(Расходка[[#This Row],[№]],Поиск_расходки[Индекс12],0)),"")</f>
        <v>Thunder</v>
      </c>
      <c r="AD40" s="115" t="str">
        <f>IFERROR(INDEX(Расходка[Наименование расходного материала],MATCH(Расходка[[#This Row],[№]],Поиск_расходки[Индекс13],0)),"")</f>
        <v>Thunder</v>
      </c>
      <c r="AF40" s="4" t="s">
        <v>6</v>
      </c>
      <c r="AG40" s="4" t="s">
        <v>441</v>
      </c>
    </row>
    <row r="41" spans="1:33" x14ac:dyDescent="0.25">
      <c r="A41">
        <v>40</v>
      </c>
      <c r="B41" t="s">
        <v>3</v>
      </c>
      <c r="C41" t="s">
        <v>363</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учёта'!$B$17,Расходка[[#This Row],[Наименование расходного материала]])),MAX($I$1:I40)+1,0)</f>
        <v>0</v>
      </c>
      <c r="J41" s="116">
        <f>IF(ISNUMBER(SEARCH('Карта учёта'!$B$18,Расходка[[#This Row],[Наименование расходного материала]])),MAX($J$1:J40)+1,0)</f>
        <v>0</v>
      </c>
      <c r="K41" s="116">
        <f>IF(ISNUMBER(SEARCH('Карта учёта'!$B$19,Расходка[[#This Row],[Наименование расходного материала]])),MAX($K$1:K40)+1,0)</f>
        <v>0</v>
      </c>
      <c r="L41" s="116">
        <f>IF(ISNUMBER(SEARCH('Карта учёта'!$B$20,Расходка[[#This Row],[Наименование расходного материала]])),MAX($L$1:L40)+1,0)</f>
        <v>0</v>
      </c>
      <c r="M41" s="116">
        <f>IF(ISNUMBER(SEARCH('Карта учёта'!$B$21,Расходка[[#This Row],[Наименование расходного материала]])),MAX($M$1:M40)+1,0)</f>
        <v>0</v>
      </c>
      <c r="N41" s="116">
        <f>IF(ISNUMBER(SEARCH('Карта учёта'!$B$22,Расходка[[#This Row],[Наименование расходного материала]])),MAX($N$1:N40)+1,0)</f>
        <v>0</v>
      </c>
      <c r="O41" s="116">
        <f>IF(ISNUMBER(SEARCH('Карта учёта'!$B$23,Расходка[[#This Row],[Наименование расходного материала]])),MAX($O$1:O40)+1,0)</f>
        <v>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
      </c>
      <c r="Y41" s="115" t="str">
        <f>IFERROR(INDEX(Расходка[Наименование расходного материала],MATCH(Расходка[[#This Row],[№]],Поиск_расходки[Индекс8],0)),"")</f>
        <v/>
      </c>
      <c r="Z41" s="115" t="str">
        <f>IFERROR(INDEX(Расходка[Наименование расходного материала],MATCH(Расходка[[#This Row],[№]],Поиск_расходки[Индекс9],0)),"")</f>
        <v/>
      </c>
      <c r="AA41" s="115" t="str">
        <f>IFERROR(INDEX(Расходка[Наименование расходного материала],MATCH(Расходка[[#This Row],[№]],Поиск_расходки[Индекс10],0)),"")</f>
        <v/>
      </c>
      <c r="AB41" s="115" t="str">
        <f>IFERROR(INDEX(Расходка[Наименование расходного материала],MATCH(Расходка[[#This Row],[№]],Поиск_расходки[Индекс11],0)),"")</f>
        <v/>
      </c>
      <c r="AC41" s="115" t="str">
        <f>IFERROR(INDEX(Расходка[Наименование расходного материала],MATCH(Расходка[[#This Row],[№]],Поиск_расходки[Индекс12],0)),"")</f>
        <v>Whisper MS</v>
      </c>
      <c r="AD41" s="115" t="str">
        <f>IFERROR(INDEX(Расходка[Наименование расходного материала],MATCH(Расходка[[#This Row],[№]],Поиск_расходки[Индекс13],0)),"")</f>
        <v>Whisper MS</v>
      </c>
      <c r="AF41" s="4" t="s">
        <v>6</v>
      </c>
      <c r="AG41" s="4" t="s">
        <v>442</v>
      </c>
    </row>
    <row r="42" spans="1:33" x14ac:dyDescent="0.25">
      <c r="A42">
        <v>41</v>
      </c>
      <c r="B42" t="s">
        <v>3</v>
      </c>
      <c r="C42" t="s">
        <v>364</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учёта'!$B$17,Расходка[[#This Row],[Наименование расходного материала]])),MAX($I$1:I41)+1,0)</f>
        <v>0</v>
      </c>
      <c r="J42" s="116">
        <f>IF(ISNUMBER(SEARCH('Карта учёта'!$B$18,Расходка[[#This Row],[Наименование расходного материала]])),MAX($J$1:J41)+1,0)</f>
        <v>0</v>
      </c>
      <c r="K42" s="116">
        <f>IF(ISNUMBER(SEARCH('Карта учёта'!$B$19,Расходка[[#This Row],[Наименование расходного материала]])),MAX($K$1:K41)+1,0)</f>
        <v>0</v>
      </c>
      <c r="L42" s="116">
        <f>IF(ISNUMBER(SEARCH('Карта учёта'!$B$20,Расходка[[#This Row],[Наименование расходного материала]])),MAX($L$1:L41)+1,0)</f>
        <v>0</v>
      </c>
      <c r="M42" s="116">
        <f>IF(ISNUMBER(SEARCH('Карта учёта'!$B$21,Расходка[[#This Row],[Наименование расходного материала]])),MAX($M$1:M41)+1,0)</f>
        <v>0</v>
      </c>
      <c r="N42" s="116">
        <f>IF(ISNUMBER(SEARCH('Карта учёта'!$B$22,Расходка[[#This Row],[Наименование расходного материала]])),MAX($N$1:N41)+1,0)</f>
        <v>0</v>
      </c>
      <c r="O42" s="116">
        <f>IF(ISNUMBER(SEARCH('Карта учёта'!$B$23,Расходка[[#This Row],[Наименование расходного материала]])),MAX($O$1:O41)+1,0)</f>
        <v>0</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
      </c>
      <c r="Y42" s="115" t="str">
        <f>IFERROR(INDEX(Расходка[Наименование расходного материала],MATCH(Расходка[[#This Row],[№]],Поиск_расходки[Индекс8],0)),"")</f>
        <v/>
      </c>
      <c r="Z42" s="115" t="str">
        <f>IFERROR(INDEX(Расходка[Наименование расходного материала],MATCH(Расходка[[#This Row],[№]],Поиск_расходки[Индекс9],0)),"")</f>
        <v/>
      </c>
      <c r="AA42" s="115" t="str">
        <f>IFERROR(INDEX(Расходка[Наименование расходного материала],MATCH(Расходка[[#This Row],[№]],Поиск_расходки[Индекс10],0)),"")</f>
        <v/>
      </c>
      <c r="AB42" s="115" t="str">
        <f>IFERROR(INDEX(Расходка[Наименование расходного материала],MATCH(Расходка[[#This Row],[№]],Поиск_расходки[Индекс11],0)),"")</f>
        <v/>
      </c>
      <c r="AC42" s="115" t="str">
        <f>IFERROR(INDEX(Расходка[Наименование расходного материала],MATCH(Расходка[[#This Row],[№]],Поиск_расходки[Индекс12],0)),"")</f>
        <v>Winn 200T</v>
      </c>
      <c r="AD42" s="115" t="str">
        <f>IFERROR(INDEX(Расходка[Наименование расходного материала],MATCH(Расходка[[#This Row],[№]],Поиск_расходки[Индекс13],0)),"")</f>
        <v>Winn 200T</v>
      </c>
      <c r="AF42" s="4" t="s">
        <v>6</v>
      </c>
      <c r="AG42" s="4" t="s">
        <v>443</v>
      </c>
    </row>
    <row r="43" spans="1:33" x14ac:dyDescent="0.25">
      <c r="A43">
        <v>42</v>
      </c>
      <c r="B43" t="s">
        <v>3</v>
      </c>
      <c r="C43" t="s">
        <v>347</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учёта'!$B$17,Расходка[[#This Row],[Наименование расходного материала]])),MAX($I$1:I42)+1,0)</f>
        <v>0</v>
      </c>
      <c r="J43" s="116">
        <f>IF(ISNUMBER(SEARCH('Карта учёта'!$B$18,Расходка[[#This Row],[Наименование расходного материала]])),MAX($J$1:J42)+1,0)</f>
        <v>0</v>
      </c>
      <c r="K43" s="116">
        <f>IF(ISNUMBER(SEARCH('Карта учёта'!$B$19,Расходка[[#This Row],[Наименование расходного материала]])),MAX($K$1:K42)+1,0)</f>
        <v>0</v>
      </c>
      <c r="L43" s="116">
        <f>IF(ISNUMBER(SEARCH('Карта учёта'!$B$20,Расходка[[#This Row],[Наименование расходного материала]])),MAX($L$1:L42)+1,0)</f>
        <v>0</v>
      </c>
      <c r="M43" s="116">
        <f>IF(ISNUMBER(SEARCH('Карта учёта'!$B$21,Расходка[[#This Row],[Наименование расходного материала]])),MAX($M$1:M42)+1,0)</f>
        <v>0</v>
      </c>
      <c r="N43" s="116">
        <f>IF(ISNUMBER(SEARCH('Карта учёта'!$B$22,Расходка[[#This Row],[Наименование расходного материала]])),MAX($N$1:N42)+1,0)</f>
        <v>0</v>
      </c>
      <c r="O43" s="116">
        <f>IF(ISNUMBER(SEARCH('Карта учёта'!$B$23,Расходка[[#This Row],[Наименование расходного материала]])),MAX($O$1:O42)+1,0)</f>
        <v>0</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
      </c>
      <c r="Y43" s="115" t="str">
        <f>IFERROR(INDEX(Расходка[Наименование расходного материала],MATCH(Расходка[[#This Row],[№]],Поиск_расходки[Индекс8],0)),"")</f>
        <v/>
      </c>
      <c r="Z43" s="115" t="str">
        <f>IFERROR(INDEX(Расходка[Наименование расходного материала],MATCH(Расходка[[#This Row],[№]],Поиск_расходки[Индекс9],0)),"")</f>
        <v/>
      </c>
      <c r="AA43" s="115" t="str">
        <f>IFERROR(INDEX(Расходка[Наименование расходного материала],MATCH(Расходка[[#This Row],[№]],Поиск_расходки[Индекс10],0)),"")</f>
        <v/>
      </c>
      <c r="AB43" s="115" t="str">
        <f>IFERROR(INDEX(Расходка[Наименование расходного материала],MATCH(Расходка[[#This Row],[№]],Поиск_расходки[Индекс11],0)),"")</f>
        <v/>
      </c>
      <c r="AC43" s="115" t="str">
        <f>IFERROR(INDEX(Расходка[Наименование расходного материала],MATCH(Расходка[[#This Row],[№]],Поиск_расходки[Индекс12],0)),"")</f>
        <v>Проводник коронарный  1g, Angioline</v>
      </c>
      <c r="AD43" s="115" t="str">
        <f>IFERROR(INDEX(Расходка[Наименование расходного материала],MATCH(Расходка[[#This Row],[№]],Поиск_расходки[Индекс13],0)),"")</f>
        <v>Проводник коронарный  1g, Angioline</v>
      </c>
      <c r="AF43" s="4" t="s">
        <v>6</v>
      </c>
      <c r="AG43" s="4" t="s">
        <v>416</v>
      </c>
    </row>
    <row r="44" spans="1:33" x14ac:dyDescent="0.25">
      <c r="A44">
        <v>43</v>
      </c>
      <c r="B44" t="s">
        <v>3</v>
      </c>
      <c r="C44" t="s">
        <v>96</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учёта'!$B$17,Расходка[[#This Row],[Наименование расходного материала]])),MAX($I$1:I43)+1,0)</f>
        <v>0</v>
      </c>
      <c r="J44" s="116">
        <f>IF(ISNUMBER(SEARCH('Карта учёта'!$B$18,Расходка[[#This Row],[Наименование расходного материала]])),MAX($J$1:J43)+1,0)</f>
        <v>0</v>
      </c>
      <c r="K44" s="116">
        <f>IF(ISNUMBER(SEARCH('Карта учёта'!$B$19,Расходка[[#This Row],[Наименование расходного материала]])),MAX($K$1:K43)+1,0)</f>
        <v>0</v>
      </c>
      <c r="L44" s="116">
        <f>IF(ISNUMBER(SEARCH('Карта учёта'!$B$20,Расходка[[#This Row],[Наименование расходного материала]])),MAX($L$1:L43)+1,0)</f>
        <v>0</v>
      </c>
      <c r="M44" s="116">
        <f>IF(ISNUMBER(SEARCH('Карта учёта'!$B$21,Расходка[[#This Row],[Наименование расходного материала]])),MAX($M$1:M43)+1,0)</f>
        <v>0</v>
      </c>
      <c r="N44" s="116">
        <f>IF(ISNUMBER(SEARCH('Карта учёта'!$B$22,Расходка[[#This Row],[Наименование расходного материала]])),MAX($N$1:N43)+1,0)</f>
        <v>0</v>
      </c>
      <c r="O44" s="116">
        <f>IF(ISNUMBER(SEARCH('Карта учёта'!$B$23,Расходка[[#This Row],[Наименование расходного материала]])),MAX($O$1:O43)+1,0)</f>
        <v>0</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
      </c>
      <c r="Y44" s="115" t="str">
        <f>IFERROR(INDEX(Расходка[Наименование расходного материала],MATCH(Расходка[[#This Row],[№]],Поиск_расходки[Индекс8],0)),"")</f>
        <v/>
      </c>
      <c r="Z44" s="115" t="str">
        <f>IFERROR(INDEX(Расходка[Наименование расходного материала],MATCH(Расходка[[#This Row],[№]],Поиск_расходки[Индекс9],0)),"")</f>
        <v/>
      </c>
      <c r="AA44" s="115" t="str">
        <f>IFERROR(INDEX(Расходка[Наименование расходного материала],MATCH(Расходка[[#This Row],[№]],Поиск_расходки[Индекс10],0)),"")</f>
        <v/>
      </c>
      <c r="AB44" s="115" t="str">
        <f>IFERROR(INDEX(Расходка[Наименование расходного материала],MATCH(Расходка[[#This Row],[№]],Поиск_расходки[Индекс11],0)),"")</f>
        <v/>
      </c>
      <c r="AC44" s="115" t="str">
        <f>IFERROR(INDEX(Расходка[Наименование расходного материала],MATCH(Расходка[[#This Row],[№]],Поиск_расходки[Индекс12],0)),"")</f>
        <v>Проводник коронарный  3g, Angioline</v>
      </c>
      <c r="AD44" s="115" t="str">
        <f>IFERROR(INDEX(Расходка[Наименование расходного материала],MATCH(Расходка[[#This Row],[№]],Поиск_расходки[Индекс13],0)),"")</f>
        <v>Проводник коронарный  3g, Angioline</v>
      </c>
      <c r="AF44" s="4" t="s">
        <v>6</v>
      </c>
      <c r="AG44" s="4" t="s">
        <v>444</v>
      </c>
    </row>
    <row r="45" spans="1:33" x14ac:dyDescent="0.25">
      <c r="A45">
        <v>44</v>
      </c>
      <c r="B45" t="s">
        <v>6</v>
      </c>
      <c r="C45" s="1" t="s">
        <v>278</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учёта'!$B$17,Расходка[[#This Row],[Наименование расходного материала]])),MAX($I$1:I44)+1,0)</f>
        <v>0</v>
      </c>
      <c r="J45" s="116">
        <f>IF(ISNUMBER(SEARCH('Карта учёта'!$B$18,Расходка[[#This Row],[Наименование расходного материала]])),MAX($J$1:J44)+1,0)</f>
        <v>0</v>
      </c>
      <c r="K45" s="116">
        <f>IF(ISNUMBER(SEARCH('Карта учёта'!$B$19,Расходка[[#This Row],[Наименование расходного материала]])),MAX($K$1:K44)+1,0)</f>
        <v>0</v>
      </c>
      <c r="L45" s="116">
        <f>IF(ISNUMBER(SEARCH('Карта учёта'!$B$20,Расходка[[#This Row],[Наименование расходного материала]])),MAX($L$1:L44)+1,0)</f>
        <v>0</v>
      </c>
      <c r="M45" s="116">
        <f>IF(ISNUMBER(SEARCH('Карта учёта'!$B$21,Расходка[[#This Row],[Наименование расходного материала]])),MAX($M$1:M44)+1,0)</f>
        <v>0</v>
      </c>
      <c r="N45" s="116">
        <f>IF(ISNUMBER(SEARCH('Карта учёта'!$B$22,Расходка[[#This Row],[Наименование расходного материала]])),MAX($N$1:N44)+1,0)</f>
        <v>0</v>
      </c>
      <c r="O45" s="116">
        <f>IF(ISNUMBER(SEARCH('Карта учёта'!$B$23,Расходка[[#This Row],[Наименование расходного материала]])),MAX($O$1:O44)+1,0)</f>
        <v>0</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
      </c>
      <c r="Y45" s="115" t="str">
        <f>IFERROR(INDEX(Расходка[Наименование расходного материала],MATCH(Расходка[[#This Row],[№]],Поиск_расходки[Индекс8],0)),"")</f>
        <v/>
      </c>
      <c r="Z45" s="115" t="str">
        <f>IFERROR(INDEX(Расходка[Наименование расходного материала],MATCH(Расходка[[#This Row],[№]],Поиск_расходки[Индекс9],0)),"")</f>
        <v/>
      </c>
      <c r="AA45" s="115" t="str">
        <f>IFERROR(INDEX(Расходка[Наименование расходного материала],MATCH(Расходка[[#This Row],[№]],Поиск_расходки[Индекс10],0)),"")</f>
        <v/>
      </c>
      <c r="AB45" s="115" t="str">
        <f>IFERROR(INDEX(Расходка[Наименование расходного материала],MATCH(Расходка[[#This Row],[№]],Поиск_расходки[Индекс11],0)),"")</f>
        <v/>
      </c>
      <c r="AC45" s="115" t="str">
        <f>IFERROR(INDEX(Расходка[Наименование расходного материала],MATCH(Расходка[[#This Row],[№]],Поиск_расходки[Индекс12],0)),"")</f>
        <v>BMS, Integtity</v>
      </c>
      <c r="AD45" s="115" t="str">
        <f>IFERROR(INDEX(Расходка[Наименование расходного материала],MATCH(Расходка[[#This Row],[№]],Поиск_расходки[Индекс13],0)),"")</f>
        <v>BMS, Integtity</v>
      </c>
      <c r="AF45" s="4" t="s">
        <v>6</v>
      </c>
      <c r="AG45" s="4" t="s">
        <v>445</v>
      </c>
    </row>
    <row r="46" spans="1:33" x14ac:dyDescent="0.25">
      <c r="A46">
        <v>45</v>
      </c>
      <c r="B46" t="s">
        <v>6</v>
      </c>
      <c r="C46" s="158" t="s">
        <v>346</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учёта'!$B$17,Расходка[[#This Row],[Наименование расходного материала]])),MAX($I$1:I45)+1,0)</f>
        <v>0</v>
      </c>
      <c r="J46" s="116">
        <f>IF(ISNUMBER(SEARCH('Карта учёта'!$B$18,Расходка[[#This Row],[Наименование расходного материала]])),MAX($J$1:J45)+1,0)</f>
        <v>0</v>
      </c>
      <c r="K46" s="116">
        <f>IF(ISNUMBER(SEARCH('Карта учёта'!$B$19,Расходка[[#This Row],[Наименование расходного материала]])),MAX($K$1:K45)+1,0)</f>
        <v>0</v>
      </c>
      <c r="L46" s="116">
        <f>IF(ISNUMBER(SEARCH('Карта учёта'!$B$20,Расходка[[#This Row],[Наименование расходного материала]])),MAX($L$1:L45)+1,0)</f>
        <v>0</v>
      </c>
      <c r="M46" s="116">
        <f>IF(ISNUMBER(SEARCH('Карта учёта'!$B$21,Расходка[[#This Row],[Наименование расходного материала]])),MAX($M$1:M45)+1,0)</f>
        <v>0</v>
      </c>
      <c r="N46" s="116">
        <f>IF(ISNUMBER(SEARCH('Карта учёта'!$B$22,Расходка[[#This Row],[Наименование расходного материала]])),MAX($N$1:N45)+1,0)</f>
        <v>0</v>
      </c>
      <c r="O46" s="116">
        <f>IF(ISNUMBER(SEARCH('Карта учёта'!$B$23,Расходка[[#This Row],[Наименование расходного материала]])),MAX($O$1:O45)+1,0)</f>
        <v>0</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
      </c>
      <c r="Y46" s="115" t="str">
        <f>IFERROR(INDEX(Расходка[Наименование расходного материала],MATCH(Расходка[[#This Row],[№]],Поиск_расходки[Индекс8],0)),"")</f>
        <v/>
      </c>
      <c r="Z46" s="115" t="str">
        <f>IFERROR(INDEX(Расходка[Наименование расходного материала],MATCH(Расходка[[#This Row],[№]],Поиск_расходки[Индекс9],0)),"")</f>
        <v/>
      </c>
      <c r="AA46" s="115" t="str">
        <f>IFERROR(INDEX(Расходка[Наименование расходного материала],MATCH(Расходка[[#This Row],[№]],Поиск_расходки[Индекс10],0)),"")</f>
        <v/>
      </c>
      <c r="AB46" s="115" t="str">
        <f>IFERROR(INDEX(Расходка[Наименование расходного материала],MATCH(Расходка[[#This Row],[№]],Поиск_расходки[Индекс11],0)),"")</f>
        <v/>
      </c>
      <c r="AC46" s="115" t="str">
        <f>IFERROR(INDEX(Расходка[Наименование расходного материала],MATCH(Расходка[[#This Row],[№]],Поиск_расходки[Индекс12],0)),"")</f>
        <v>DES, Calipso</v>
      </c>
      <c r="AD46" s="115" t="str">
        <f>IFERROR(INDEX(Расходка[Наименование расходного материала],MATCH(Расходка[[#This Row],[№]],Поиск_расходки[Индекс13],0)),"")</f>
        <v>DES, Calipso</v>
      </c>
      <c r="AF46" s="4" t="s">
        <v>6</v>
      </c>
      <c r="AG46" s="4" t="s">
        <v>446</v>
      </c>
    </row>
    <row r="47" spans="1:33" x14ac:dyDescent="0.25">
      <c r="A47">
        <v>46</v>
      </c>
      <c r="B47" t="s">
        <v>6</v>
      </c>
      <c r="C47" s="158" t="s">
        <v>345</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учёта'!$B$17,Расходка[[#This Row],[Наименование расходного материала]])),MAX($I$1:I46)+1,0)</f>
        <v>0</v>
      </c>
      <c r="J47" s="116">
        <f>IF(ISNUMBER(SEARCH('Карта учёта'!$B$18,Расходка[[#This Row],[Наименование расходного материала]])),MAX($J$1:J46)+1,0)</f>
        <v>0</v>
      </c>
      <c r="K47" s="116">
        <f>IF(ISNUMBER(SEARCH('Карта учёта'!$B$19,Расходка[[#This Row],[Наименование расходного материала]])),MAX($K$1:K46)+1,0)</f>
        <v>0</v>
      </c>
      <c r="L47" s="116">
        <f>IF(ISNUMBER(SEARCH('Карта учёта'!$B$20,Расходка[[#This Row],[Наименование расходного материала]])),MAX($L$1:L46)+1,0)</f>
        <v>0</v>
      </c>
      <c r="M47" s="116">
        <f>IF(ISNUMBER(SEARCH('Карта учёта'!$B$21,Расходка[[#This Row],[Наименование расходного материала]])),MAX($M$1:M46)+1,0)</f>
        <v>0</v>
      </c>
      <c r="N47" s="116">
        <f>IF(ISNUMBER(SEARCH('Карта учёта'!$B$22,Расходка[[#This Row],[Наименование расходного материала]])),MAX($N$1:N46)+1,0)</f>
        <v>0</v>
      </c>
      <c r="O47" s="116">
        <f>IF(ISNUMBER(SEARCH('Карта учёта'!$B$23,Расходка[[#This Row],[Наименование расходного материала]])),MAX($O$1:O46)+1,0)</f>
        <v>0</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
      </c>
      <c r="Y47" s="115" t="str">
        <f>IFERROR(INDEX(Расходка[Наименование расходного материала],MATCH(Расходка[[#This Row],[№]],Поиск_расходки[Индекс8],0)),"")</f>
        <v/>
      </c>
      <c r="Z47" s="115" t="str">
        <f>IFERROR(INDEX(Расходка[Наименование расходного материала],MATCH(Расходка[[#This Row],[№]],Поиск_расходки[Индекс9],0)),"")</f>
        <v/>
      </c>
      <c r="AA47" s="115" t="str">
        <f>IFERROR(INDEX(Расходка[Наименование расходного материала],MATCH(Расходка[[#This Row],[№]],Поиск_расходки[Индекс10],0)),"")</f>
        <v/>
      </c>
      <c r="AB47" s="115" t="str">
        <f>IFERROR(INDEX(Расходка[Наименование расходного материала],MATCH(Расходка[[#This Row],[№]],Поиск_расходки[Индекс11],0)),"")</f>
        <v/>
      </c>
      <c r="AC47" s="115" t="str">
        <f>IFERROR(INDEX(Расходка[Наименование расходного материала],MATCH(Расходка[[#This Row],[№]],Поиск_расходки[Индекс12],0)),"")</f>
        <v>DES, NanoMed</v>
      </c>
      <c r="AD47" s="115" t="str">
        <f>IFERROR(INDEX(Расходка[Наименование расходного материала],MATCH(Расходка[[#This Row],[№]],Поиск_расходки[Индекс13],0)),"")</f>
        <v>DES, NanoMed</v>
      </c>
      <c r="AF47" s="4" t="s">
        <v>6</v>
      </c>
      <c r="AG47" s="4" t="s">
        <v>447</v>
      </c>
    </row>
    <row r="48" spans="1:33" x14ac:dyDescent="0.25">
      <c r="A48">
        <v>47</v>
      </c>
      <c r="B48" t="s">
        <v>6</v>
      </c>
      <c r="C48" s="131" t="s">
        <v>324</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учёта'!$B$17,Расходка[[#This Row],[Наименование расходного материала]])),MAX($I$1:I47)+1,0)</f>
        <v>0</v>
      </c>
      <c r="J48" s="116">
        <f>IF(ISNUMBER(SEARCH('Карта учёта'!$B$18,Расходка[[#This Row],[Наименование расходного материала]])),MAX($J$1:J47)+1,0)</f>
        <v>0</v>
      </c>
      <c r="K48" s="116">
        <f>IF(ISNUMBER(SEARCH('Карта учёта'!$B$19,Расходка[[#This Row],[Наименование расходного материала]])),MAX($K$1:K47)+1,0)</f>
        <v>0</v>
      </c>
      <c r="L48" s="116">
        <f>IF(ISNUMBER(SEARCH('Карта учёта'!$B$20,Расходка[[#This Row],[Наименование расходного материала]])),MAX($L$1:L47)+1,0)</f>
        <v>0</v>
      </c>
      <c r="M48" s="116">
        <f>IF(ISNUMBER(SEARCH('Карта учёта'!$B$21,Расходка[[#This Row],[Наименование расходного материала]])),MAX($M$1:M47)+1,0)</f>
        <v>1</v>
      </c>
      <c r="N48" s="116">
        <f>IF(ISNUMBER(SEARCH('Карта учёта'!$B$22,Расходка[[#This Row],[Наименование расходного материала]])),MAX($N$1:N47)+1,0)</f>
        <v>1</v>
      </c>
      <c r="O48" s="116">
        <f>IF(ISNUMBER(SEARCH('Карта учёта'!$B$23,Расходка[[#This Row],[Наименование расходного материала]])),MAX($O$1:O47)+1,0)</f>
        <v>0</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
      </c>
      <c r="Y48" s="115" t="str">
        <f>IFERROR(INDEX(Расходка[Наименование расходного материала],MATCH(Расходка[[#This Row],[№]],Поиск_расходки[Индекс8],0)),"")</f>
        <v/>
      </c>
      <c r="Z48" s="115" t="str">
        <f>IFERROR(INDEX(Расходка[Наименование расходного материала],MATCH(Расходка[[#This Row],[№]],Поиск_расходки[Индекс9],0)),"")</f>
        <v/>
      </c>
      <c r="AA48" s="115" t="str">
        <f>IFERROR(INDEX(Расходка[Наименование расходного материала],MATCH(Расходка[[#This Row],[№]],Поиск_расходки[Индекс10],0)),"")</f>
        <v/>
      </c>
      <c r="AB48" s="115" t="str">
        <f>IFERROR(INDEX(Расходка[Наименование расходного материала],MATCH(Расходка[[#This Row],[№]],Поиск_расходки[Индекс11],0)),"")</f>
        <v/>
      </c>
      <c r="AC48" s="115" t="str">
        <f>IFERROR(INDEX(Расходка[Наименование расходного материала],MATCH(Расходка[[#This Row],[№]],Поиск_расходки[Индекс12],0)),"")</f>
        <v>DES, Resolute Integtity</v>
      </c>
      <c r="AD48" s="115" t="str">
        <f>IFERROR(INDEX(Расходка[Наименование расходного материала],MATCH(Расходка[[#This Row],[№]],Поиск_расходки[Индекс13],0)),"")</f>
        <v>DES, Resolute Integtity</v>
      </c>
      <c r="AF48" s="4" t="s">
        <v>6</v>
      </c>
      <c r="AG48" s="4" t="s">
        <v>448</v>
      </c>
    </row>
    <row r="49" spans="1:33" x14ac:dyDescent="0.25">
      <c r="A49">
        <v>48</v>
      </c>
      <c r="B49" t="s">
        <v>6</v>
      </c>
      <c r="C49" t="s">
        <v>358</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учёта'!$B$17,Расходка[[#This Row],[Наименование расходного материала]])),MAX($I$1:I48)+1,0)</f>
        <v>0</v>
      </c>
      <c r="J49" s="116">
        <f>IF(ISNUMBER(SEARCH('Карта учёта'!$B$18,Расходка[[#This Row],[Наименование расходного материала]])),MAX($J$1:J48)+1,0)</f>
        <v>0</v>
      </c>
      <c r="K49" s="116">
        <f>IF(ISNUMBER(SEARCH('Карта учёта'!$B$19,Расходка[[#This Row],[Наименование расходного материала]])),MAX($K$1:K48)+1,0)</f>
        <v>0</v>
      </c>
      <c r="L49" s="116">
        <f>IF(ISNUMBER(SEARCH('Карта учёта'!$B$20,Расходка[[#This Row],[Наименование расходного материала]])),MAX($L$1:L48)+1,0)</f>
        <v>0</v>
      </c>
      <c r="M49" s="116">
        <f>IF(ISNUMBER(SEARCH('Карта учёта'!$B$21,Расходка[[#This Row],[Наименование расходного материала]])),MAX($M$1:M48)+1,0)</f>
        <v>0</v>
      </c>
      <c r="N49" s="116">
        <f>IF(ISNUMBER(SEARCH('Карта учёта'!$B$22,Расходка[[#This Row],[Наименование расходного материала]])),MAX($N$1:N48)+1,0)</f>
        <v>0</v>
      </c>
      <c r="O49" s="116">
        <f>IF(ISNUMBER(SEARCH('Карта учёта'!$B$23,Расходка[[#This Row],[Наименование расходного материала]])),MAX($O$1:O48)+1,0)</f>
        <v>0</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
      </c>
      <c r="Y49" s="115" t="str">
        <f>IFERROR(INDEX(Расходка[Наименование расходного материала],MATCH(Расходка[[#This Row],[№]],Поиск_расходки[Индекс8],0)),"")</f>
        <v/>
      </c>
      <c r="Z49" s="115" t="str">
        <f>IFERROR(INDEX(Расходка[Наименование расходного материала],MATCH(Расходка[[#This Row],[№]],Поиск_расходки[Индекс9],0)),"")</f>
        <v/>
      </c>
      <c r="AA49" s="115" t="str">
        <f>IFERROR(INDEX(Расходка[Наименование расходного материала],MATCH(Расходка[[#This Row],[№]],Поиск_расходки[Индекс10],0)),"")</f>
        <v/>
      </c>
      <c r="AB49" s="115" t="str">
        <f>IFERROR(INDEX(Расходка[Наименование расходного материала],MATCH(Расходка[[#This Row],[№]],Поиск_расходки[Индекс11],0)),"")</f>
        <v/>
      </c>
      <c r="AC49" s="115" t="str">
        <f>IFERROR(INDEX(Расходка[Наименование расходного материала],MATCH(Расходка[[#This Row],[№]],Поиск_расходки[Индекс12],0)),"")</f>
        <v>DES, Yukon Chrome PC</v>
      </c>
      <c r="AD49" s="115" t="str">
        <f>IFERROR(INDEX(Расходка[Наименование расходного материала],MATCH(Расходка[[#This Row],[№]],Поиск_расходки[Индекс13],0)),"")</f>
        <v>DES, Yukon Chrome PC</v>
      </c>
      <c r="AF49" s="4" t="s">
        <v>6</v>
      </c>
      <c r="AG49" s="4" t="s">
        <v>449</v>
      </c>
    </row>
    <row r="50" spans="1:33" x14ac:dyDescent="0.25">
      <c r="A50">
        <v>49</v>
      </c>
      <c r="B50" t="s">
        <v>6</v>
      </c>
      <c r="C50" s="162" t="s">
        <v>390</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учёта'!$B$17,Расходка[[#This Row],[Наименование расходного материала]])),MAX($I$1:I49)+1,0)</f>
        <v>0</v>
      </c>
      <c r="J50" s="116">
        <f>IF(ISNUMBER(SEARCH('Карта учёта'!$B$18,Расходка[[#This Row],[Наименование расходного материала]])),MAX($J$1:J49)+1,0)</f>
        <v>0</v>
      </c>
      <c r="K50" s="116">
        <f>IF(ISNUMBER(SEARCH('Карта учёта'!$B$19,Расходка[[#This Row],[Наименование расходного материала]])),MAX($K$1:K49)+1,0)</f>
        <v>0</v>
      </c>
      <c r="L50" s="116">
        <f>IF(ISNUMBER(SEARCH('Карта учёта'!$B$20,Расходка[[#This Row],[Наименование расходного материала]])),MAX($L$1:L49)+1,0)</f>
        <v>0</v>
      </c>
      <c r="M50" s="116">
        <f>IF(ISNUMBER(SEARCH('Карта учёта'!$B$21,Расходка[[#This Row],[Наименование расходного материала]])),MAX($M$1:M49)+1,0)</f>
        <v>0</v>
      </c>
      <c r="N50" s="116">
        <f>IF(ISNUMBER(SEARCH('Карта учёта'!$B$22,Расходка[[#This Row],[Наименование расходного материала]])),MAX($N$1:N49)+1,0)</f>
        <v>0</v>
      </c>
      <c r="O50" s="116">
        <f>IF(ISNUMBER(SEARCH('Карта учёта'!$B$23,Расходка[[#This Row],[Наименование расходного материала]])),MAX($O$1:O49)+1,0)</f>
        <v>0</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
      </c>
      <c r="Y50" s="115" t="str">
        <f>IFERROR(INDEX(Расходка[Наименование расходного материала],MATCH(Расходка[[#This Row],[№]],Поиск_расходки[Индекс8],0)),"")</f>
        <v/>
      </c>
      <c r="Z50" s="115" t="str">
        <f>IFERROR(INDEX(Расходка[Наименование расходного материала],MATCH(Расходка[[#This Row],[№]],Поиск_расходки[Индекс9],0)),"")</f>
        <v/>
      </c>
      <c r="AA50" s="115" t="str">
        <f>IFERROR(INDEX(Расходка[Наименование расходного материала],MATCH(Расходка[[#This Row],[№]],Поиск_расходки[Индекс10],0)),"")</f>
        <v/>
      </c>
      <c r="AB50" s="115" t="str">
        <f>IFERROR(INDEX(Расходка[Наименование расходного материала],MATCH(Расходка[[#This Row],[№]],Поиск_расходки[Индекс11],0)),"")</f>
        <v/>
      </c>
      <c r="AC50" s="115" t="str">
        <f>IFERROR(INDEX(Расходка[Наименование расходного материала],MATCH(Расходка[[#This Row],[№]],Поиск_расходки[Индекс12],0)),"")</f>
        <v>DES, Firehawk</v>
      </c>
      <c r="AD50" s="115" t="str">
        <f>IFERROR(INDEX(Расходка[Наименование расходного материала],MATCH(Расходка[[#This Row],[№]],Поиск_расходки[Индекс13],0)),"")</f>
        <v>DES, Firehawk</v>
      </c>
      <c r="AF50" s="4" t="s">
        <v>6</v>
      </c>
      <c r="AG50" s="4" t="s">
        <v>450</v>
      </c>
    </row>
    <row r="51" spans="1:33" x14ac:dyDescent="0.25">
      <c r="A51">
        <v>50</v>
      </c>
      <c r="B51" t="s">
        <v>6</v>
      </c>
      <c r="C51" t="s">
        <v>389</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учёта'!$B$17,Расходка[[#This Row],[Наименование расходного материала]])),MAX($I$1:I50)+1,0)</f>
        <v>0</v>
      </c>
      <c r="J51" s="116">
        <f>IF(ISNUMBER(SEARCH('Карта учёта'!$B$18,Расходка[[#This Row],[Наименование расходного материала]])),MAX($J$1:J50)+1,0)</f>
        <v>0</v>
      </c>
      <c r="K51" s="116">
        <f>IF(ISNUMBER(SEARCH('Карта учёта'!$B$19,Расходка[[#This Row],[Наименование расходного материала]])),MAX($K$1:K50)+1,0)</f>
        <v>0</v>
      </c>
      <c r="L51" s="116">
        <f>IF(ISNUMBER(SEARCH('Карта учёта'!$B$20,Расходка[[#This Row],[Наименование расходного материала]])),MAX($L$1:L50)+1,0)</f>
        <v>0</v>
      </c>
      <c r="M51" s="116">
        <f>IF(ISNUMBER(SEARCH('Карта учёта'!$B$21,Расходка[[#This Row],[Наименование расходного материала]])),MAX($M$1:M50)+1,0)</f>
        <v>0</v>
      </c>
      <c r="N51" s="116">
        <f>IF(ISNUMBER(SEARCH('Карта учёта'!$B$22,Расходка[[#This Row],[Наименование расходного материала]])),MAX($N$1:N50)+1,0)</f>
        <v>0</v>
      </c>
      <c r="O51" s="116">
        <f>IF(ISNUMBER(SEARCH('Карта учёта'!$B$23,Расходка[[#This Row],[Наименование расходного материала]])),MAX($O$1:O50)+1,0)</f>
        <v>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
      </c>
      <c r="Y51" s="115" t="str">
        <f>IFERROR(INDEX(Расходка[Наименование расходного материала],MATCH(Расходка[[#This Row],[№]],Поиск_расходки[Индекс8],0)),"")</f>
        <v/>
      </c>
      <c r="Z51" s="115" t="str">
        <f>IFERROR(INDEX(Расходка[Наименование расходного материала],MATCH(Расходка[[#This Row],[№]],Поиск_расходки[Индекс9],0)),"")</f>
        <v/>
      </c>
      <c r="AA51" s="115" t="str">
        <f>IFERROR(INDEX(Расходка[Наименование расходного материала],MATCH(Расходка[[#This Row],[№]],Поиск_расходки[Индекс10],0)),"")</f>
        <v/>
      </c>
      <c r="AB51" s="115" t="str">
        <f>IFERROR(INDEX(Расходка[Наименование расходного материала],MATCH(Расходка[[#This Row],[№]],Поиск_расходки[Индекс11],0)),"")</f>
        <v/>
      </c>
      <c r="AC51" s="115" t="str">
        <f>IFERROR(INDEX(Расходка[Наименование расходного материала],MATCH(Расходка[[#This Row],[№]],Поиск_расходки[Индекс12],0)),"")</f>
        <v>DES, Resolute Onyx</v>
      </c>
      <c r="AD51" s="115" t="str">
        <f>IFERROR(INDEX(Расходка[Наименование расходного материала],MATCH(Расходка[[#This Row],[№]],Поиск_расходки[Индекс13],0)),"")</f>
        <v>DES, Resolute Onyx</v>
      </c>
      <c r="AF51" s="4" t="s">
        <v>6</v>
      </c>
      <c r="AG51" s="4" t="s">
        <v>451</v>
      </c>
    </row>
    <row r="52" spans="1:33" x14ac:dyDescent="0.25">
      <c r="A52">
        <v>51</v>
      </c>
      <c r="B52" t="s">
        <v>95</v>
      </c>
      <c r="C52" s="1" t="s">
        <v>325</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учёта'!$B$17,Расходка[[#This Row],[Наименование расходного материала]])),MAX($I$1:I51)+1,0)</f>
        <v>0</v>
      </c>
      <c r="J52" s="116">
        <f>IF(ISNUMBER(SEARCH('Карта учёта'!$B$18,Расходка[[#This Row],[Наименование расходного материала]])),MAX($J$1:J51)+1,0)</f>
        <v>0</v>
      </c>
      <c r="K52" s="116">
        <f>IF(ISNUMBER(SEARCH('Карта учёта'!$B$19,Расходка[[#This Row],[Наименование расходного материала]])),MAX($K$1:K51)+1,0)</f>
        <v>0</v>
      </c>
      <c r="L52" s="116">
        <f>IF(ISNUMBER(SEARCH('Карта учёта'!$B$20,Расходка[[#This Row],[Наименование расходного материала]])),MAX($L$1:L51)+1,0)</f>
        <v>0</v>
      </c>
      <c r="M52" s="116">
        <f>IF(ISNUMBER(SEARCH('Карта учёта'!$B$21,Расходка[[#This Row],[Наименование расходного материала]])),MAX($M$1:M51)+1,0)</f>
        <v>0</v>
      </c>
      <c r="N52" s="116">
        <f>IF(ISNUMBER(SEARCH('Карта учёта'!$B$22,Расходка[[#This Row],[Наименование расходного материала]])),MAX($N$1:N51)+1,0)</f>
        <v>0</v>
      </c>
      <c r="O52" s="116">
        <f>IF(ISNUMBER(SEARCH('Карта учёта'!$B$23,Расходка[[#This Row],[Наименование расходного материала]])),MAX($O$1:O51)+1,0)</f>
        <v>0</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
      </c>
      <c r="Y52" s="115" t="str">
        <f>IFERROR(INDEX(Расходка[Наименование расходного материала],MATCH(Расходка[[#This Row],[№]],Поиск_расходки[Индекс8],0)),"")</f>
        <v/>
      </c>
      <c r="Z52" s="115" t="str">
        <f>IFERROR(INDEX(Расходка[Наименование расходного материала],MATCH(Расходка[[#This Row],[№]],Поиск_расходки[Индекс9],0)),"")</f>
        <v/>
      </c>
      <c r="AA52" s="115" t="str">
        <f>IFERROR(INDEX(Расходка[Наименование расходного материала],MATCH(Расходка[[#This Row],[№]],Поиск_расходки[Индекс10],0)),"")</f>
        <v/>
      </c>
      <c r="AB52" s="115" t="str">
        <f>IFERROR(INDEX(Расходка[Наименование расходного материала],MATCH(Расходка[[#This Row],[№]],Поиск_расходки[Индекс11],0)),"")</f>
        <v/>
      </c>
      <c r="AC52" s="115" t="str">
        <f>IFERROR(INDEX(Расходка[Наименование расходного материала],MATCH(Расходка[[#This Row],[№]],Поиск_расходки[Индекс12],0)),"")</f>
        <v>Guidezilla™ II 6F</v>
      </c>
      <c r="AD52" s="115" t="str">
        <f>IFERROR(INDEX(Расходка[Наименование расходного материала],MATCH(Расходка[[#This Row],[№]],Поиск_расходки[Индекс13],0)),"")</f>
        <v>Guidezilla™ II 6F</v>
      </c>
      <c r="AF52" s="4" t="s">
        <v>6</v>
      </c>
      <c r="AG52" s="4" t="s">
        <v>452</v>
      </c>
    </row>
    <row r="53" spans="1:33" x14ac:dyDescent="0.25">
      <c r="A53">
        <v>52</v>
      </c>
      <c r="B53" t="s">
        <v>95</v>
      </c>
      <c r="C53" s="1" t="s">
        <v>344</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учёта'!$B$17,Расходка[[#This Row],[Наименование расходного материала]])),MAX($I$1:I52)+1,0)</f>
        <v>0</v>
      </c>
      <c r="J53" s="116">
        <f>IF(ISNUMBER(SEARCH('Карта учёта'!$B$18,Расходка[[#This Row],[Наименование расходного материала]])),MAX($J$1:J52)+1,0)</f>
        <v>0</v>
      </c>
      <c r="K53" s="116">
        <f>IF(ISNUMBER(SEARCH('Карта учёта'!$B$19,Расходка[[#This Row],[Наименование расходного материала]])),MAX($K$1:K52)+1,0)</f>
        <v>0</v>
      </c>
      <c r="L53" s="116">
        <f>IF(ISNUMBER(SEARCH('Карта учёта'!$B$20,Расходка[[#This Row],[Наименование расходного материала]])),MAX($L$1:L52)+1,0)</f>
        <v>0</v>
      </c>
      <c r="M53" s="116">
        <f>IF(ISNUMBER(SEARCH('Карта учёта'!$B$21,Расходка[[#This Row],[Наименование расходного материала]])),MAX($M$1:M52)+1,0)</f>
        <v>0</v>
      </c>
      <c r="N53" s="116">
        <f>IF(ISNUMBER(SEARCH('Карта учёта'!$B$22,Расходка[[#This Row],[Наименование расходного материала]])),MAX($N$1:N52)+1,0)</f>
        <v>0</v>
      </c>
      <c r="O53" s="116">
        <f>IF(ISNUMBER(SEARCH('Карта учёта'!$B$23,Расходка[[#This Row],[Наименование расходного материала]])),MAX($O$1:O52)+1,0)</f>
        <v>0</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
      </c>
      <c r="Y53" s="115" t="str">
        <f>IFERROR(INDEX(Расходка[Наименование расходного материала],MATCH(Расходка[[#This Row],[№]],Поиск_расходки[Индекс8],0)),"")</f>
        <v/>
      </c>
      <c r="Z53" s="115" t="str">
        <f>IFERROR(INDEX(Расходка[Наименование расходного материала],MATCH(Расходка[[#This Row],[№]],Поиск_расходки[Индекс9],0)),"")</f>
        <v/>
      </c>
      <c r="AA53" s="115" t="str">
        <f>IFERROR(INDEX(Расходка[Наименование расходного материала],MATCH(Расходка[[#This Row],[№]],Поиск_расходки[Индекс10],0)),"")</f>
        <v/>
      </c>
      <c r="AB53" s="115" t="str">
        <f>IFERROR(INDEX(Расходка[Наименование расходного материала],MATCH(Расходка[[#This Row],[№]],Поиск_расходки[Индекс11],0)),"")</f>
        <v/>
      </c>
      <c r="AC53" s="115" t="str">
        <f>IFERROR(INDEX(Расходка[Наименование расходного материала],MATCH(Расходка[[#This Row],[№]],Поиск_расходки[Индекс12],0)),"")</f>
        <v>Telescope ™ II 6F</v>
      </c>
      <c r="AD53" s="115" t="str">
        <f>IFERROR(INDEX(Расходка[Наименование расходного материала],MATCH(Расходка[[#This Row],[№]],Поиск_расходки[Индекс13],0)),"")</f>
        <v>Telescope ™ II 6F</v>
      </c>
      <c r="AF53" s="4" t="s">
        <v>6</v>
      </c>
      <c r="AG53" s="4" t="s">
        <v>453</v>
      </c>
    </row>
    <row r="54" spans="1:33" x14ac:dyDescent="0.25">
      <c r="A54">
        <v>53</v>
      </c>
      <c r="B54" t="s">
        <v>4</v>
      </c>
      <c r="C54" t="s">
        <v>351</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учёта'!$B$17,Расходка[[#This Row],[Наименование расходного материала]])),MAX($I$1:I53)+1,0)</f>
        <v>0</v>
      </c>
      <c r="J54" s="116">
        <f>IF(ISNUMBER(SEARCH('Карта учёта'!$B$18,Расходка[[#This Row],[Наименование расходного материала]])),MAX($J$1:J53)+1,0)</f>
        <v>0</v>
      </c>
      <c r="K54" s="116">
        <f>IF(ISNUMBER(SEARCH('Карта учёта'!$B$19,Расходка[[#This Row],[Наименование расходного материала]])),MAX($K$1:K53)+1,0)</f>
        <v>0</v>
      </c>
      <c r="L54" s="116">
        <f>IF(ISNUMBER(SEARCH('Карта учёта'!$B$20,Расходка[[#This Row],[Наименование расходного материала]])),MAX($L$1:L53)+1,0)</f>
        <v>0</v>
      </c>
      <c r="M54" s="116">
        <f>IF(ISNUMBER(SEARCH('Карта учёта'!$B$21,Расходка[[#This Row],[Наименование расходного материала]])),MAX($M$1:M53)+1,0)</f>
        <v>0</v>
      </c>
      <c r="N54" s="116">
        <f>IF(ISNUMBER(SEARCH('Карта учёта'!$B$22,Расходка[[#This Row],[Наименование расходного материала]])),MAX($N$1:N53)+1,0)</f>
        <v>0</v>
      </c>
      <c r="O54" s="116">
        <f>IF(ISNUMBER(SEARCH('Карта учёта'!$B$23,Расходка[[#This Row],[Наименование расходного материала]])),MAX($O$1:O53)+1,0)</f>
        <v>0</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
      </c>
      <c r="Y54" s="115" t="str">
        <f>IFERROR(INDEX(Расходка[Наименование расходного материала],MATCH(Расходка[[#This Row],[№]],Поиск_расходки[Индекс8],0)),"")</f>
        <v/>
      </c>
      <c r="Z54" s="115" t="str">
        <f>IFERROR(INDEX(Расходка[Наименование расходного материала],MATCH(Расходка[[#This Row],[№]],Поиск_расходки[Индекс9],0)),"")</f>
        <v/>
      </c>
      <c r="AA54" s="115" t="str">
        <f>IFERROR(INDEX(Расходка[Наименование расходного материала],MATCH(Расходка[[#This Row],[№]],Поиск_расходки[Индекс10],0)),"")</f>
        <v/>
      </c>
      <c r="AB54" s="115" t="str">
        <f>IFERROR(INDEX(Расходка[Наименование расходного материала],MATCH(Расходка[[#This Row],[№]],Поиск_расходки[Индекс11],0)),"")</f>
        <v/>
      </c>
      <c r="AC54" s="115" t="str">
        <f>IFERROR(INDEX(Расходка[Наименование расходного материала],MATCH(Расходка[[#This Row],[№]],Поиск_расходки[Индекс12],0)),"")</f>
        <v>Launcher 6F AL 1</v>
      </c>
      <c r="AD54" s="115" t="str">
        <f>IFERROR(INDEX(Расходка[Наименование расходного материала],MATCH(Расходка[[#This Row],[№]],Поиск_расходки[Индекс13],0)),"")</f>
        <v>Launcher 6F AL 1</v>
      </c>
      <c r="AF54" s="4" t="s">
        <v>6</v>
      </c>
      <c r="AG54" s="4" t="s">
        <v>454</v>
      </c>
    </row>
    <row r="55" spans="1:33" x14ac:dyDescent="0.25">
      <c r="A55">
        <v>54</v>
      </c>
      <c r="B55" t="s">
        <v>4</v>
      </c>
      <c r="C55" t="s">
        <v>352</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учёта'!$B$17,Расходка[[#This Row],[Наименование расходного материала]])),MAX($I$1:I54)+1,0)</f>
        <v>0</v>
      </c>
      <c r="J55" s="116">
        <f>IF(ISNUMBER(SEARCH('Карта учёта'!$B$18,Расходка[[#This Row],[Наименование расходного материала]])),MAX($J$1:J54)+1,0)</f>
        <v>0</v>
      </c>
      <c r="K55" s="116">
        <f>IF(ISNUMBER(SEARCH('Карта учёта'!$B$19,Расходка[[#This Row],[Наименование расходного материала]])),MAX($K$1:K54)+1,0)</f>
        <v>0</v>
      </c>
      <c r="L55" s="116">
        <f>IF(ISNUMBER(SEARCH('Карта учёта'!$B$20,Расходка[[#This Row],[Наименование расходного материала]])),MAX($L$1:L54)+1,0)</f>
        <v>0</v>
      </c>
      <c r="M55" s="116">
        <f>IF(ISNUMBER(SEARCH('Карта учёта'!$B$21,Расходка[[#This Row],[Наименование расходного материала]])),MAX($M$1:M54)+1,0)</f>
        <v>0</v>
      </c>
      <c r="N55" s="116">
        <f>IF(ISNUMBER(SEARCH('Карта учёта'!$B$22,Расходка[[#This Row],[Наименование расходного материала]])),MAX($N$1:N54)+1,0)</f>
        <v>0</v>
      </c>
      <c r="O55" s="116">
        <f>IF(ISNUMBER(SEARCH('Карта учёта'!$B$23,Расходка[[#This Row],[Наименование расходного материала]])),MAX($O$1:O54)+1,0)</f>
        <v>0</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
      </c>
      <c r="Y55" s="115" t="str">
        <f>IFERROR(INDEX(Расходка[Наименование расходного материала],MATCH(Расходка[[#This Row],[№]],Поиск_расходки[Индекс8],0)),"")</f>
        <v/>
      </c>
      <c r="Z55" s="115" t="str">
        <f>IFERROR(INDEX(Расходка[Наименование расходного материала],MATCH(Расходка[[#This Row],[№]],Поиск_расходки[Индекс9],0)),"")</f>
        <v/>
      </c>
      <c r="AA55" s="115" t="str">
        <f>IFERROR(INDEX(Расходка[Наименование расходного материала],MATCH(Расходка[[#This Row],[№]],Поиск_расходки[Индекс10],0)),"")</f>
        <v/>
      </c>
      <c r="AB55" s="115" t="str">
        <f>IFERROR(INDEX(Расходка[Наименование расходного материала],MATCH(Расходка[[#This Row],[№]],Поиск_расходки[Индекс11],0)),"")</f>
        <v/>
      </c>
      <c r="AC55" s="115" t="str">
        <f>IFERROR(INDEX(Расходка[Наименование расходного материала],MATCH(Расходка[[#This Row],[№]],Поиск_расходки[Индекс12],0)),"")</f>
        <v>Launcher 6F AL 2</v>
      </c>
      <c r="AD55" s="115" t="str">
        <f>IFERROR(INDEX(Расходка[Наименование расходного материала],MATCH(Расходка[[#This Row],[№]],Поиск_расходки[Индекс13],0)),"")</f>
        <v>Launcher 6F AL 2</v>
      </c>
      <c r="AF55" s="4" t="s">
        <v>6</v>
      </c>
      <c r="AG55" s="4" t="s">
        <v>455</v>
      </c>
    </row>
    <row r="56" spans="1:33" x14ac:dyDescent="0.25">
      <c r="A56">
        <v>55</v>
      </c>
      <c r="B56" t="s">
        <v>4</v>
      </c>
      <c r="C56" t="s">
        <v>326</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1</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учёта'!$B$17,Расходка[[#This Row],[Наименование расходного материала]])),MAX($I$1:I55)+1,0)</f>
        <v>0</v>
      </c>
      <c r="J56" s="116">
        <f>IF(ISNUMBER(SEARCH('Карта учёта'!$B$18,Расходка[[#This Row],[Наименование расходного материала]])),MAX($J$1:J55)+1,0)</f>
        <v>0</v>
      </c>
      <c r="K56" s="116">
        <f>IF(ISNUMBER(SEARCH('Карта учёта'!$B$19,Расходка[[#This Row],[Наименование расходного материала]])),MAX($K$1:K55)+1,0)</f>
        <v>0</v>
      </c>
      <c r="L56" s="116">
        <f>IF(ISNUMBER(SEARCH('Карта учёта'!$B$20,Расходка[[#This Row],[Наименование расходного материала]])),MAX($L$1:L55)+1,0)</f>
        <v>0</v>
      </c>
      <c r="M56" s="116">
        <f>IF(ISNUMBER(SEARCH('Карта учёта'!$B$21,Расходка[[#This Row],[Наименование расходного материала]])),MAX($M$1:M55)+1,0)</f>
        <v>0</v>
      </c>
      <c r="N56" s="116">
        <f>IF(ISNUMBER(SEARCH('Карта учёта'!$B$22,Расходка[[#This Row],[Наименование расходного материала]])),MAX($N$1:N55)+1,0)</f>
        <v>0</v>
      </c>
      <c r="O56" s="116">
        <f>IF(ISNUMBER(SEARCH('Карта учёта'!$B$23,Расходка[[#This Row],[Наименование расходного материала]])),MAX($O$1:O55)+1,0)</f>
        <v>0</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
      </c>
      <c r="Y56" s="115" t="str">
        <f>IFERROR(INDEX(Расходка[Наименование расходного материала],MATCH(Расходка[[#This Row],[№]],Поиск_расходки[Индекс8],0)),"")</f>
        <v/>
      </c>
      <c r="Z56" s="115" t="str">
        <f>IFERROR(INDEX(Расходка[Наименование расходного материала],MATCH(Расходка[[#This Row],[№]],Поиск_расходки[Индекс9],0)),"")</f>
        <v/>
      </c>
      <c r="AA56" s="115" t="str">
        <f>IFERROR(INDEX(Расходка[Наименование расходного материала],MATCH(Расходка[[#This Row],[№]],Поиск_расходки[Индекс10],0)),"")</f>
        <v/>
      </c>
      <c r="AB56" s="115" t="str">
        <f>IFERROR(INDEX(Расходка[Наименование расходного материала],MATCH(Расходка[[#This Row],[№]],Поиск_расходки[Индекс11],0)),"")</f>
        <v/>
      </c>
      <c r="AC56" s="115" t="str">
        <f>IFERROR(INDEX(Расходка[Наименование расходного материала],MATCH(Расходка[[#This Row],[№]],Поиск_расходки[Индекс12],0)),"")</f>
        <v>Launcher 6F EBU 3.5</v>
      </c>
      <c r="AD56" s="115" t="str">
        <f>IFERROR(INDEX(Расходка[Наименование расходного материала],MATCH(Расходка[[#This Row],[№]],Поиск_расходки[Индекс13],0)),"")</f>
        <v>Launcher 6F EBU 3.5</v>
      </c>
      <c r="AF56" s="4" t="s">
        <v>6</v>
      </c>
      <c r="AG56" s="4" t="s">
        <v>456</v>
      </c>
    </row>
    <row r="57" spans="1:33" x14ac:dyDescent="0.25">
      <c r="A57">
        <v>56</v>
      </c>
      <c r="B57" t="s">
        <v>4</v>
      </c>
      <c r="C57" t="s">
        <v>327</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учёта'!$B$17,Расходка[[#This Row],[Наименование расходного материала]])),MAX($I$1:I56)+1,0)</f>
        <v>0</v>
      </c>
      <c r="J57" s="116">
        <f>IF(ISNUMBER(SEARCH('Карта учёта'!$B$18,Расходка[[#This Row],[Наименование расходного материала]])),MAX($J$1:J56)+1,0)</f>
        <v>0</v>
      </c>
      <c r="K57" s="116">
        <f>IF(ISNUMBER(SEARCH('Карта учёта'!$B$19,Расходка[[#This Row],[Наименование расходного материала]])),MAX($K$1:K56)+1,0)</f>
        <v>0</v>
      </c>
      <c r="L57" s="116">
        <f>IF(ISNUMBER(SEARCH('Карта учёта'!$B$20,Расходка[[#This Row],[Наименование расходного материала]])),MAX($L$1:L56)+1,0)</f>
        <v>0</v>
      </c>
      <c r="M57" s="116">
        <f>IF(ISNUMBER(SEARCH('Карта учёта'!$B$21,Расходка[[#This Row],[Наименование расходного материала]])),MAX($M$1:M56)+1,0)</f>
        <v>0</v>
      </c>
      <c r="N57" s="116">
        <f>IF(ISNUMBER(SEARCH('Карта учёта'!$B$22,Расходка[[#This Row],[Наименование расходного материала]])),MAX($N$1:N56)+1,0)</f>
        <v>0</v>
      </c>
      <c r="O57" s="116">
        <f>IF(ISNUMBER(SEARCH('Карта учёта'!$B$23,Расходка[[#This Row],[Наименование расходного материала]])),MAX($O$1:O56)+1,0)</f>
        <v>0</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
      </c>
      <c r="Y57" s="115" t="str">
        <f>IFERROR(INDEX(Расходка[Наименование расходного материала],MATCH(Расходка[[#This Row],[№]],Поиск_расходки[Индекс8],0)),"")</f>
        <v/>
      </c>
      <c r="Z57" s="115" t="str">
        <f>IFERROR(INDEX(Расходка[Наименование расходного материала],MATCH(Расходка[[#This Row],[№]],Поиск_расходки[Индекс9],0)),"")</f>
        <v/>
      </c>
      <c r="AA57" s="115" t="str">
        <f>IFERROR(INDEX(Расходка[Наименование расходного материала],MATCH(Расходка[[#This Row],[№]],Поиск_расходки[Индекс10],0)),"")</f>
        <v/>
      </c>
      <c r="AB57" s="115" t="str">
        <f>IFERROR(INDEX(Расходка[Наименование расходного материала],MATCH(Расходка[[#This Row],[№]],Поиск_расходки[Индекс11],0)),"")</f>
        <v/>
      </c>
      <c r="AC57" s="115" t="str">
        <f>IFERROR(INDEX(Расходка[Наименование расходного материала],MATCH(Расходка[[#This Row],[№]],Поиск_расходки[Индекс12],0)),"")</f>
        <v>Launcher 6F EBU 4.0</v>
      </c>
      <c r="AD57" s="115" t="str">
        <f>IFERROR(INDEX(Расходка[Наименование расходного материала],MATCH(Расходка[[#This Row],[№]],Поиск_расходки[Индекс13],0)),"")</f>
        <v>Launcher 6F EBU 4.0</v>
      </c>
      <c r="AF57" s="4" t="s">
        <v>6</v>
      </c>
      <c r="AG57" s="4" t="s">
        <v>457</v>
      </c>
    </row>
    <row r="58" spans="1:33" x14ac:dyDescent="0.25">
      <c r="A58">
        <v>57</v>
      </c>
      <c r="B58" t="s">
        <v>4</v>
      </c>
      <c r="C58" t="s">
        <v>328</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1</v>
      </c>
      <c r="H58" s="116">
        <f>IF(ISNUMBER(SEARCH('Карта учёта'!$B$16,Расходка[[#This Row],[Наименование расходного материала]])),MAX($H$1:H57)+1,0)</f>
        <v>0</v>
      </c>
      <c r="I58" s="116">
        <f>IF(ISNUMBER(SEARCH('Карта учёта'!$B$17,Расходка[[#This Row],[Наименование расходного материала]])),MAX($I$1:I57)+1,0)</f>
        <v>0</v>
      </c>
      <c r="J58" s="116">
        <f>IF(ISNUMBER(SEARCH('Карта учёта'!$B$18,Расходка[[#This Row],[Наименование расходного материала]])),MAX($J$1:J57)+1,0)</f>
        <v>0</v>
      </c>
      <c r="K58" s="116">
        <f>IF(ISNUMBER(SEARCH('Карта учёта'!$B$19,Расходка[[#This Row],[Наименование расходного материала]])),MAX($K$1:K57)+1,0)</f>
        <v>0</v>
      </c>
      <c r="L58" s="116">
        <f>IF(ISNUMBER(SEARCH('Карта учёта'!$B$20,Расходка[[#This Row],[Наименование расходного материала]])),MAX($L$1:L57)+1,0)</f>
        <v>0</v>
      </c>
      <c r="M58" s="116">
        <f>IF(ISNUMBER(SEARCH('Карта учёта'!$B$21,Расходка[[#This Row],[Наименование расходного материала]])),MAX($M$1:M57)+1,0)</f>
        <v>0</v>
      </c>
      <c r="N58" s="116">
        <f>IF(ISNUMBER(SEARCH('Карта учёта'!$B$22,Расходка[[#This Row],[Наименование расходного материала]])),MAX($N$1:N57)+1,0)</f>
        <v>0</v>
      </c>
      <c r="O58" s="116">
        <f>IF(ISNUMBER(SEARCH('Карта учёта'!$B$23,Расходка[[#This Row],[Наименование расходного материала]])),MAX($O$1:O57)+1,0)</f>
        <v>0</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
      </c>
      <c r="Y58" s="115" t="str">
        <f>IFERROR(INDEX(Расходка[Наименование расходного материала],MATCH(Расходка[[#This Row],[№]],Поиск_расходки[Индекс8],0)),"")</f>
        <v/>
      </c>
      <c r="Z58" s="115" t="str">
        <f>IFERROR(INDEX(Расходка[Наименование расходного материала],MATCH(Расходка[[#This Row],[№]],Поиск_расходки[Индекс9],0)),"")</f>
        <v/>
      </c>
      <c r="AA58" s="115" t="str">
        <f>IFERROR(INDEX(Расходка[Наименование расходного материала],MATCH(Расходка[[#This Row],[№]],Поиск_расходки[Индекс10],0)),"")</f>
        <v/>
      </c>
      <c r="AB58" s="115" t="str">
        <f>IFERROR(INDEX(Расходка[Наименование расходного материала],MATCH(Расходка[[#This Row],[№]],Поиск_расходки[Индекс11],0)),"")</f>
        <v/>
      </c>
      <c r="AC58" s="115" t="str">
        <f>IFERROR(INDEX(Расходка[Наименование расходного материала],MATCH(Расходка[[#This Row],[№]],Поиск_расходки[Индекс12],0)),"")</f>
        <v>Launcher 6F JL 3.5</v>
      </c>
      <c r="AD58" s="115" t="str">
        <f>IFERROR(INDEX(Расходка[Наименование расходного материала],MATCH(Расходка[[#This Row],[№]],Поиск_расходки[Индекс13],0)),"")</f>
        <v>Launcher 6F JL 3.5</v>
      </c>
      <c r="AF58" s="4" t="s">
        <v>6</v>
      </c>
      <c r="AG58" s="4" t="s">
        <v>458</v>
      </c>
    </row>
    <row r="59" spans="1:33" x14ac:dyDescent="0.25">
      <c r="A59">
        <v>58</v>
      </c>
      <c r="B59" t="s">
        <v>4</v>
      </c>
      <c r="C59" t="s">
        <v>329</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учёта'!$B$17,Расходка[[#This Row],[Наименование расходного материала]])),MAX($I$1:I58)+1,0)</f>
        <v>0</v>
      </c>
      <c r="J59" s="116">
        <f>IF(ISNUMBER(SEARCH('Карта учёта'!$B$18,Расходка[[#This Row],[Наименование расходного материала]])),MAX($J$1:J58)+1,0)</f>
        <v>0</v>
      </c>
      <c r="K59" s="116">
        <f>IF(ISNUMBER(SEARCH('Карта учёта'!$B$19,Расходка[[#This Row],[Наименование расходного материала]])),MAX($K$1:K58)+1,0)</f>
        <v>0</v>
      </c>
      <c r="L59" s="116">
        <f>IF(ISNUMBER(SEARCH('Карта учёта'!$B$20,Расходка[[#This Row],[Наименование расходного материала]])),MAX($L$1:L58)+1,0)</f>
        <v>0</v>
      </c>
      <c r="M59" s="116">
        <f>IF(ISNUMBER(SEARCH('Карта учёта'!$B$21,Расходка[[#This Row],[Наименование расходного материала]])),MAX($M$1:M58)+1,0)</f>
        <v>0</v>
      </c>
      <c r="N59" s="116">
        <f>IF(ISNUMBER(SEARCH('Карта учёта'!$B$22,Расходка[[#This Row],[Наименование расходного материала]])),MAX($N$1:N58)+1,0)</f>
        <v>0</v>
      </c>
      <c r="O59" s="116">
        <f>IF(ISNUMBER(SEARCH('Карта учёта'!$B$23,Расходка[[#This Row],[Наименование расходного материала]])),MAX($O$1:O58)+1,0)</f>
        <v>0</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
      </c>
      <c r="Y59" s="115" t="str">
        <f>IFERROR(INDEX(Расходка[Наименование расходного материала],MATCH(Расходка[[#This Row],[№]],Поиск_расходки[Индекс8],0)),"")</f>
        <v/>
      </c>
      <c r="Z59" s="115" t="str">
        <f>IFERROR(INDEX(Расходка[Наименование расходного материала],MATCH(Расходка[[#This Row],[№]],Поиск_расходки[Индекс9],0)),"")</f>
        <v/>
      </c>
      <c r="AA59" s="115" t="str">
        <f>IFERROR(INDEX(Расходка[Наименование расходного материала],MATCH(Расходка[[#This Row],[№]],Поиск_расходки[Индекс10],0)),"")</f>
        <v/>
      </c>
      <c r="AB59" s="115" t="str">
        <f>IFERROR(INDEX(Расходка[Наименование расходного материала],MATCH(Расходка[[#This Row],[№]],Поиск_расходки[Индекс11],0)),"")</f>
        <v/>
      </c>
      <c r="AC59" s="115" t="str">
        <f>IFERROR(INDEX(Расходка[Наименование расходного материала],MATCH(Расходка[[#This Row],[№]],Поиск_расходки[Индекс12],0)),"")</f>
        <v>Launcher 6F JL 4.0</v>
      </c>
      <c r="AD59" s="115" t="str">
        <f>IFERROR(INDEX(Расходка[Наименование расходного материала],MATCH(Расходка[[#This Row],[№]],Поиск_расходки[Индекс13],0)),"")</f>
        <v>Launcher 6F JL 4.0</v>
      </c>
      <c r="AF59" s="4" t="s">
        <v>6</v>
      </c>
      <c r="AG59" s="4" t="s">
        <v>459</v>
      </c>
    </row>
    <row r="60" spans="1:33" x14ac:dyDescent="0.25">
      <c r="A60">
        <v>59</v>
      </c>
      <c r="B60" t="s">
        <v>4</v>
      </c>
      <c r="C60" t="s">
        <v>335</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учёта'!$B$17,Расходка[[#This Row],[Наименование расходного материала]])),MAX($I$1:I59)+1,0)</f>
        <v>0</v>
      </c>
      <c r="J60" s="116">
        <f>IF(ISNUMBER(SEARCH('Карта учёта'!$B$18,Расходка[[#This Row],[Наименование расходного материала]])),MAX($J$1:J59)+1,0)</f>
        <v>0</v>
      </c>
      <c r="K60" s="116">
        <f>IF(ISNUMBER(SEARCH('Карта учёта'!$B$19,Расходка[[#This Row],[Наименование расходного материала]])),MAX($K$1:K59)+1,0)</f>
        <v>0</v>
      </c>
      <c r="L60" s="116">
        <f>IF(ISNUMBER(SEARCH('Карта учёта'!$B$20,Расходка[[#This Row],[Наименование расходного материала]])),MAX($L$1:L59)+1,0)</f>
        <v>0</v>
      </c>
      <c r="M60" s="116">
        <f>IF(ISNUMBER(SEARCH('Карта учёта'!$B$21,Расходка[[#This Row],[Наименование расходного материала]])),MAX($M$1:M59)+1,0)</f>
        <v>0</v>
      </c>
      <c r="N60" s="116">
        <f>IF(ISNUMBER(SEARCH('Карта учёта'!$B$22,Расходка[[#This Row],[Наименование расходного материала]])),MAX($N$1:N59)+1,0)</f>
        <v>0</v>
      </c>
      <c r="O60" s="116">
        <f>IF(ISNUMBER(SEARCH('Карта учёта'!$B$23,Расходка[[#This Row],[Наименование расходного материала]])),MAX($O$1:O59)+1,0)</f>
        <v>0</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
      </c>
      <c r="Y60" s="115" t="str">
        <f>IFERROR(INDEX(Расходка[Наименование расходного материала],MATCH(Расходка[[#This Row],[№]],Поиск_расходки[Индекс8],0)),"")</f>
        <v/>
      </c>
      <c r="Z60" s="115" t="str">
        <f>IFERROR(INDEX(Расходка[Наименование расходного материала],MATCH(Расходка[[#This Row],[№]],Поиск_расходки[Индекс9],0)),"")</f>
        <v/>
      </c>
      <c r="AA60" s="115" t="str">
        <f>IFERROR(INDEX(Расходка[Наименование расходного материала],MATCH(Расходка[[#This Row],[№]],Поиск_расходки[Индекс10],0)),"")</f>
        <v/>
      </c>
      <c r="AB60" s="115" t="str">
        <f>IFERROR(INDEX(Расходка[Наименование расходного материала],MATCH(Расходка[[#This Row],[№]],Поиск_расходки[Индекс11],0)),"")</f>
        <v/>
      </c>
      <c r="AC60" s="115" t="str">
        <f>IFERROR(INDEX(Расходка[Наименование расходного материала],MATCH(Расходка[[#This Row],[№]],Поиск_расходки[Индекс12],0)),"")</f>
        <v>Launcher 6F JL 4.5</v>
      </c>
      <c r="AD60" s="115" t="str">
        <f>IFERROR(INDEX(Расходка[Наименование расходного материала],MATCH(Расходка[[#This Row],[№]],Поиск_расходки[Индекс13],0)),"")</f>
        <v>Launcher 6F JL 4.5</v>
      </c>
      <c r="AF60" s="4" t="s">
        <v>6</v>
      </c>
      <c r="AG60" s="4" t="s">
        <v>460</v>
      </c>
    </row>
    <row r="61" spans="1:33" x14ac:dyDescent="0.25">
      <c r="A61">
        <v>60</v>
      </c>
      <c r="B61" t="s">
        <v>4</v>
      </c>
      <c r="C61" t="s">
        <v>330</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учёта'!$B$17,Расходка[[#This Row],[Наименование расходного материала]])),MAX($I$1:I60)+1,0)</f>
        <v>0</v>
      </c>
      <c r="J61" s="116">
        <f>IF(ISNUMBER(SEARCH('Карта учёта'!$B$18,Расходка[[#This Row],[Наименование расходного материала]])),MAX($J$1:J60)+1,0)</f>
        <v>0</v>
      </c>
      <c r="K61" s="116">
        <f>IF(ISNUMBER(SEARCH('Карта учёта'!$B$19,Расходка[[#This Row],[Наименование расходного материала]])),MAX($K$1:K60)+1,0)</f>
        <v>0</v>
      </c>
      <c r="L61" s="116">
        <f>IF(ISNUMBER(SEARCH('Карта учёта'!$B$20,Расходка[[#This Row],[Наименование расходного материала]])),MAX($L$1:L60)+1,0)</f>
        <v>0</v>
      </c>
      <c r="M61" s="116">
        <f>IF(ISNUMBER(SEARCH('Карта учёта'!$B$21,Расходка[[#This Row],[Наименование расходного материала]])),MAX($M$1:M60)+1,0)</f>
        <v>0</v>
      </c>
      <c r="N61" s="116">
        <f>IF(ISNUMBER(SEARCH('Карта учёта'!$B$22,Расходка[[#This Row],[Наименование расходного материала]])),MAX($N$1:N60)+1,0)</f>
        <v>0</v>
      </c>
      <c r="O61" s="116">
        <f>IF(ISNUMBER(SEARCH('Карта учёта'!$B$23,Расходка[[#This Row],[Наименование расходного материала]])),MAX($O$1:O60)+1,0)</f>
        <v>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
      </c>
      <c r="Y61" s="115" t="str">
        <f>IFERROR(INDEX(Расходка[Наименование расходного материала],MATCH(Расходка[[#This Row],[№]],Поиск_расходки[Индекс8],0)),"")</f>
        <v/>
      </c>
      <c r="Z61" s="115" t="str">
        <f>IFERROR(INDEX(Расходка[Наименование расходного материала],MATCH(Расходка[[#This Row],[№]],Поиск_расходки[Индекс9],0)),"")</f>
        <v/>
      </c>
      <c r="AA61" s="115" t="str">
        <f>IFERROR(INDEX(Расходка[Наименование расходного материала],MATCH(Расходка[[#This Row],[№]],Поиск_расходки[Индекс10],0)),"")</f>
        <v/>
      </c>
      <c r="AB61" s="115" t="str">
        <f>IFERROR(INDEX(Расходка[Наименование расходного материала],MATCH(Расходка[[#This Row],[№]],Поиск_расходки[Индекс11],0)),"")</f>
        <v/>
      </c>
      <c r="AC61" s="115" t="str">
        <f>IFERROR(INDEX(Расходка[Наименование расходного материала],MATCH(Расходка[[#This Row],[№]],Поиск_расходки[Индекс12],0)),"")</f>
        <v>Launcher 6F JR 3.5</v>
      </c>
      <c r="AD61" s="115" t="str">
        <f>IFERROR(INDEX(Расходка[Наименование расходного материала],MATCH(Расходка[[#This Row],[№]],Поиск_расходки[Индекс13],0)),"")</f>
        <v>Launcher 6F JR 3.5</v>
      </c>
      <c r="AF61" s="4" t="s">
        <v>6</v>
      </c>
      <c r="AG61" s="4" t="s">
        <v>421</v>
      </c>
    </row>
    <row r="62" spans="1:33" x14ac:dyDescent="0.25">
      <c r="A62">
        <v>61</v>
      </c>
      <c r="B62" t="s">
        <v>4</v>
      </c>
      <c r="C62" t="s">
        <v>331</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учёта'!$B$17,Расходка[[#This Row],[Наименование расходного материала]])),MAX($I$1:I61)+1,0)</f>
        <v>0</v>
      </c>
      <c r="J62" s="116">
        <f>IF(ISNUMBER(SEARCH('Карта учёта'!$B$18,Расходка[[#This Row],[Наименование расходного материала]])),MAX($J$1:J61)+1,0)</f>
        <v>0</v>
      </c>
      <c r="K62" s="116">
        <f>IF(ISNUMBER(SEARCH('Карта учёта'!$B$19,Расходка[[#This Row],[Наименование расходного материала]])),MAX($K$1:K61)+1,0)</f>
        <v>0</v>
      </c>
      <c r="L62" s="116">
        <f>IF(ISNUMBER(SEARCH('Карта учёта'!$B$20,Расходка[[#This Row],[Наименование расходного материала]])),MAX($L$1:L61)+1,0)</f>
        <v>0</v>
      </c>
      <c r="M62" s="116">
        <f>IF(ISNUMBER(SEARCH('Карта учёта'!$B$21,Расходка[[#This Row],[Наименование расходного материала]])),MAX($M$1:M61)+1,0)</f>
        <v>0</v>
      </c>
      <c r="N62" s="116">
        <f>IF(ISNUMBER(SEARCH('Карта учёта'!$B$22,Расходка[[#This Row],[Наименование расходного материала]])),MAX($N$1:N61)+1,0)</f>
        <v>0</v>
      </c>
      <c r="O62" s="116">
        <f>IF(ISNUMBER(SEARCH('Карта учёта'!$B$23,Расходка[[#This Row],[Наименование расходного материала]])),MAX($O$1:O61)+1,0)</f>
        <v>0</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
      </c>
      <c r="Y62" s="115" t="str">
        <f>IFERROR(INDEX(Расходка[Наименование расходного материала],MATCH(Расходка[[#This Row],[№]],Поиск_расходки[Индекс8],0)),"")</f>
        <v/>
      </c>
      <c r="Z62" s="115" t="str">
        <f>IFERROR(INDEX(Расходка[Наименование расходного материала],MATCH(Расходка[[#This Row],[№]],Поиск_расходки[Индекс9],0)),"")</f>
        <v/>
      </c>
      <c r="AA62" s="115" t="str">
        <f>IFERROR(INDEX(Расходка[Наименование расходного материала],MATCH(Расходка[[#This Row],[№]],Поиск_расходки[Индекс10],0)),"")</f>
        <v/>
      </c>
      <c r="AB62" s="115" t="str">
        <f>IFERROR(INDEX(Расходка[Наименование расходного материала],MATCH(Расходка[[#This Row],[№]],Поиск_расходки[Индекс11],0)),"")</f>
        <v/>
      </c>
      <c r="AC62" s="115" t="str">
        <f>IFERROR(INDEX(Расходка[Наименование расходного материала],MATCH(Расходка[[#This Row],[№]],Поиск_расходки[Индекс12],0)),"")</f>
        <v>Launcher 6F JR 4.0</v>
      </c>
      <c r="AD62" s="115" t="str">
        <f>IFERROR(INDEX(Расходка[Наименование расходного материала],MATCH(Расходка[[#This Row],[№]],Поиск_расходки[Индекс13],0)),"")</f>
        <v>Launcher 6F JR 4.0</v>
      </c>
      <c r="AF62" s="4" t="s">
        <v>6</v>
      </c>
      <c r="AG62" s="4" t="s">
        <v>461</v>
      </c>
    </row>
    <row r="63" spans="1:33" x14ac:dyDescent="0.25">
      <c r="A63">
        <v>62</v>
      </c>
      <c r="B63" t="s">
        <v>4</v>
      </c>
      <c r="C63" t="s">
        <v>341</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учёта'!$B$17,Расходка[[#This Row],[Наименование расходного материала]])),MAX($I$1:I62)+1,0)</f>
        <v>0</v>
      </c>
      <c r="J63" s="116">
        <f>IF(ISNUMBER(SEARCH('Карта учёта'!$B$18,Расходка[[#This Row],[Наименование расходного материала]])),MAX($J$1:J62)+1,0)</f>
        <v>0</v>
      </c>
      <c r="K63" s="116">
        <f>IF(ISNUMBER(SEARCH('Карта учёта'!$B$19,Расходка[[#This Row],[Наименование расходного материала]])),MAX($K$1:K62)+1,0)</f>
        <v>0</v>
      </c>
      <c r="L63" s="116">
        <f>IF(ISNUMBER(SEARCH('Карта учёта'!$B$20,Расходка[[#This Row],[Наименование расходного материала]])),MAX($L$1:L62)+1,0)</f>
        <v>0</v>
      </c>
      <c r="M63" s="116">
        <f>IF(ISNUMBER(SEARCH('Карта учёта'!$B$21,Расходка[[#This Row],[Наименование расходного материала]])),MAX($M$1:M62)+1,0)</f>
        <v>0</v>
      </c>
      <c r="N63" s="116">
        <f>IF(ISNUMBER(SEARCH('Карта учёта'!$B$22,Расходка[[#This Row],[Наименование расходного материала]])),MAX($N$1:N62)+1,0)</f>
        <v>0</v>
      </c>
      <c r="O63" s="116">
        <f>IF(ISNUMBER(SEARCH('Карта учёта'!$B$23,Расходка[[#This Row],[Наименование расходного материала]])),MAX($O$1:O62)+1,0)</f>
        <v>0</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
      </c>
      <c r="Y63" s="115" t="str">
        <f>IFERROR(INDEX(Расходка[Наименование расходного материала],MATCH(Расходка[[#This Row],[№]],Поиск_расходки[Индекс8],0)),"")</f>
        <v/>
      </c>
      <c r="Z63" s="115" t="str">
        <f>IFERROR(INDEX(Расходка[Наименование расходного материала],MATCH(Расходка[[#This Row],[№]],Поиск_расходки[Индекс9],0)),"")</f>
        <v/>
      </c>
      <c r="AA63" s="115" t="str">
        <f>IFERROR(INDEX(Расходка[Наименование расходного материала],MATCH(Расходка[[#This Row],[№]],Поиск_расходки[Индекс10],0)),"")</f>
        <v/>
      </c>
      <c r="AB63" s="115" t="str">
        <f>IFERROR(INDEX(Расходка[Наименование расходного материала],MATCH(Расходка[[#This Row],[№]],Поиск_расходки[Индекс11],0)),"")</f>
        <v/>
      </c>
      <c r="AC63" s="115" t="str">
        <f>IFERROR(INDEX(Расходка[Наименование расходного материала],MATCH(Расходка[[#This Row],[№]],Поиск_расходки[Индекс12],0)),"")</f>
        <v>Launcher 7F JL 3.5</v>
      </c>
      <c r="AD63" s="115" t="str">
        <f>IFERROR(INDEX(Расходка[Наименование расходного материала],MATCH(Расходка[[#This Row],[№]],Поиск_расходки[Индекс13],0)),"")</f>
        <v>Launcher 7F JL 3.5</v>
      </c>
      <c r="AF63" s="4" t="s">
        <v>6</v>
      </c>
      <c r="AG63" s="4" t="s">
        <v>462</v>
      </c>
    </row>
    <row r="64" spans="1:33" x14ac:dyDescent="0.25">
      <c r="A64">
        <v>63</v>
      </c>
      <c r="B64" t="s">
        <v>4</v>
      </c>
      <c r="C64" t="s">
        <v>340</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учёта'!$B$17,Расходка[[#This Row],[Наименование расходного материала]])),MAX($I$1:I63)+1,0)</f>
        <v>0</v>
      </c>
      <c r="J64" s="116">
        <f>IF(ISNUMBER(SEARCH('Карта учёта'!$B$18,Расходка[[#This Row],[Наименование расходного материала]])),MAX($J$1:J63)+1,0)</f>
        <v>0</v>
      </c>
      <c r="K64" s="116">
        <f>IF(ISNUMBER(SEARCH('Карта учёта'!$B$19,Расходка[[#This Row],[Наименование расходного материала]])),MAX($K$1:K63)+1,0)</f>
        <v>0</v>
      </c>
      <c r="L64" s="116">
        <f>IF(ISNUMBER(SEARCH('Карта учёта'!$B$20,Расходка[[#This Row],[Наименование расходного материала]])),MAX($L$1:L63)+1,0)</f>
        <v>0</v>
      </c>
      <c r="M64" s="116">
        <f>IF(ISNUMBER(SEARCH('Карта учёта'!$B$21,Расходка[[#This Row],[Наименование расходного материала]])),MAX($M$1:M63)+1,0)</f>
        <v>0</v>
      </c>
      <c r="N64" s="116">
        <f>IF(ISNUMBER(SEARCH('Карта учёта'!$B$22,Расходка[[#This Row],[Наименование расходного материала]])),MAX($N$1:N63)+1,0)</f>
        <v>0</v>
      </c>
      <c r="O64" s="116">
        <f>IF(ISNUMBER(SEARCH('Карта учёта'!$B$23,Расходка[[#This Row],[Наименование расходного материала]])),MAX($O$1:O63)+1,0)</f>
        <v>0</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
      </c>
      <c r="Y64" s="115" t="str">
        <f>IFERROR(INDEX(Расходка[Наименование расходного материала],MATCH(Расходка[[#This Row],[№]],Поиск_расходки[Индекс8],0)),"")</f>
        <v/>
      </c>
      <c r="Z64" s="115" t="str">
        <f>IFERROR(INDEX(Расходка[Наименование расходного материала],MATCH(Расходка[[#This Row],[№]],Поиск_расходки[Индекс9],0)),"")</f>
        <v/>
      </c>
      <c r="AA64" s="115" t="str">
        <f>IFERROR(INDEX(Расходка[Наименование расходного материала],MATCH(Расходка[[#This Row],[№]],Поиск_расходки[Индекс10],0)),"")</f>
        <v/>
      </c>
      <c r="AB64" s="115" t="str">
        <f>IFERROR(INDEX(Расходка[Наименование расходного материала],MATCH(Расходка[[#This Row],[№]],Поиск_расходки[Индекс11],0)),"")</f>
        <v/>
      </c>
      <c r="AC64" s="115" t="str">
        <f>IFERROR(INDEX(Расходка[Наименование расходного материала],MATCH(Расходка[[#This Row],[№]],Поиск_расходки[Индекс12],0)),"")</f>
        <v>Launcher 7F JL 4.0</v>
      </c>
      <c r="AD64" s="115" t="str">
        <f>IFERROR(INDEX(Расходка[Наименование расходного материала],MATCH(Расходка[[#This Row],[№]],Поиск_расходки[Индекс13],0)),"")</f>
        <v>Launcher 7F JL 4.0</v>
      </c>
      <c r="AF64" s="4" t="s">
        <v>6</v>
      </c>
      <c r="AG64" s="4" t="s">
        <v>463</v>
      </c>
    </row>
    <row r="65" spans="1:33" x14ac:dyDescent="0.25">
      <c r="A65">
        <v>64</v>
      </c>
      <c r="B65" t="s">
        <v>301</v>
      </c>
      <c r="C65" s="1" t="s">
        <v>332</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учёта'!$B$17,Расходка[[#This Row],[Наименование расходного материала]])),MAX($I$1:I64)+1,0)</f>
        <v>0</v>
      </c>
      <c r="J65" s="116">
        <f>IF(ISNUMBER(SEARCH('Карта учёта'!$B$18,Расходка[[#This Row],[Наименование расходного материала]])),MAX($J$1:J64)+1,0)</f>
        <v>0</v>
      </c>
      <c r="K65" s="116">
        <f>IF(ISNUMBER(SEARCH('Карта учёта'!$B$19,Расходка[[#This Row],[Наименование расходного материала]])),MAX($K$1:K64)+1,0)</f>
        <v>0</v>
      </c>
      <c r="L65" s="116">
        <f>IF(ISNUMBER(SEARCH('Карта учёта'!$B$20,Расходка[[#This Row],[Наименование расходного материала]])),MAX($L$1:L64)+1,0)</f>
        <v>0</v>
      </c>
      <c r="M65" s="116">
        <f>IF(ISNUMBER(SEARCH('Карта учёта'!$B$21,Расходка[[#This Row],[Наименование расходного материала]])),MAX($M$1:M64)+1,0)</f>
        <v>0</v>
      </c>
      <c r="N65" s="116">
        <f>IF(ISNUMBER(SEARCH('Карта учёта'!$B$22,Расходка[[#This Row],[Наименование расходного материала]])),MAX($N$1:N64)+1,0)</f>
        <v>0</v>
      </c>
      <c r="O65" s="116">
        <f>IF(ISNUMBER(SEARCH('Карта учёта'!$B$23,Расходка[[#This Row],[Наименование расходного материала]])),MAX($O$1:O64)+1,0)</f>
        <v>0</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
      </c>
      <c r="Y65" s="115" t="str">
        <f>IFERROR(INDEX(Расходка[Наименование расходного материала],MATCH(Расходка[[#This Row],[№]],Поиск_расходки[Индекс8],0)),"")</f>
        <v/>
      </c>
      <c r="Z65" s="115" t="str">
        <f>IFERROR(INDEX(Расходка[Наименование расходного материала],MATCH(Расходка[[#This Row],[№]],Поиск_расходки[Индекс9],0)),"")</f>
        <v/>
      </c>
      <c r="AA65" s="115" t="str">
        <f>IFERROR(INDEX(Расходка[Наименование расходного материала],MATCH(Расходка[[#This Row],[№]],Поиск_расходки[Индекс10],0)),"")</f>
        <v/>
      </c>
      <c r="AB65" s="115" t="str">
        <f>IFERROR(INDEX(Расходка[Наименование расходного материала],MATCH(Расходка[[#This Row],[№]],Поиск_расходки[Индекс11],0)),"")</f>
        <v/>
      </c>
      <c r="AC65" s="115" t="str">
        <f>IFERROR(INDEX(Расходка[Наименование расходного материала],MATCH(Расходка[[#This Row],[№]],Поиск_расходки[Индекс12],0)),"")</f>
        <v>Angio-Seal™ VIP</v>
      </c>
      <c r="AD65" s="115" t="str">
        <f>IFERROR(INDEX(Расходка[Наименование расходного материала],MATCH(Расходка[[#This Row],[№]],Поиск_расходки[Индекс13],0)),"")</f>
        <v>Angio-Seal™ VIP</v>
      </c>
      <c r="AF65" s="4" t="s">
        <v>6</v>
      </c>
      <c r="AG65" s="4" t="s">
        <v>464</v>
      </c>
    </row>
    <row r="66" spans="1:33" x14ac:dyDescent="0.25">
      <c r="A66">
        <v>65</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учёта'!$B$17,Расходка[[#This Row],[Наименование расходного материала]])),MAX($I$1:I65)+1,0)</f>
        <v>0</v>
      </c>
      <c r="J66" s="116">
        <f>IF(ISNUMBER(SEARCH('Карта учёта'!$B$18,Расходка[[#This Row],[Наименование расходного материала]])),MAX($J$1:J65)+1,0)</f>
        <v>0</v>
      </c>
      <c r="K66" s="116">
        <f>IF(ISNUMBER(SEARCH('Карта учёта'!$B$19,Расходка[[#This Row],[Наименование расходного материала]])),MAX($K$1:K65)+1,0)</f>
        <v>0</v>
      </c>
      <c r="L66" s="116">
        <f>IF(ISNUMBER(SEARCH('Карта учёта'!$B$20,Расходка[[#This Row],[Наименование расходного материала]])),MAX($L$1:L65)+1,0)</f>
        <v>0</v>
      </c>
      <c r="M66" s="116">
        <f>IF(ISNUMBER(SEARCH('Карта учёта'!$B$21,Расходка[[#This Row],[Наименование расходного материала]])),MAX($M$1:M65)+1,0)</f>
        <v>0</v>
      </c>
      <c r="N66" s="116">
        <f>IF(ISNUMBER(SEARCH('Карта учёта'!$B$22,Расходка[[#This Row],[Наименование расходного материала]])),MAX($N$1:N65)+1,0)</f>
        <v>0</v>
      </c>
      <c r="O66" s="116">
        <f>IF(ISNUMBER(SEARCH('Карта учёта'!$B$23,Расходка[[#This Row],[Наименование расходного материала]])),MAX($O$1:O65)+1,0)</f>
        <v>0</v>
      </c>
      <c r="P66" s="116">
        <f>IF(ISNUMBER(SEARCH('Карта учёта'!$B$24,Расходка[[#This Row],[Наименование расходного материала]])),MAX($P$1:P65)+1,0)</f>
        <v>0</v>
      </c>
      <c r="Q66" s="116">
        <f>IF(ISNUMBER(SEARCH('Карта учёта'!$B$25,Расходка[[#This Row],[Наименование расходного материала]])),MAX($Q$1:Q65)+1,0)</f>
        <v>0</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
      </c>
      <c r="Y66" s="115" t="str">
        <f>IFERROR(INDEX(Расходка[Наименование расходного материала],MATCH(Расходка[[#This Row],[№]],Поиск_расходки[Индекс8],0)),"")</f>
        <v/>
      </c>
      <c r="Z66" s="115" t="str">
        <f>IFERROR(INDEX(Расходка[Наименование расходного материала],MATCH(Расходка[[#This Row],[№]],Поиск_расходки[Индекс9],0)),"")</f>
        <v/>
      </c>
      <c r="AA66" s="115" t="str">
        <f>IFERROR(INDEX(Расходка[Наименование расходного материала],MATCH(Расходка[[#This Row],[№]],Поиск_расходки[Индекс10],0)),"")</f>
        <v/>
      </c>
      <c r="AB66" s="115" t="str">
        <f>IFERROR(INDEX(Расходка[Наименование расходного материала],MATCH(Расходка[[#This Row],[№]],Поиск_расходки[Индекс11],0)),"")</f>
        <v/>
      </c>
      <c r="AC66" s="115" t="str">
        <f>IFERROR(INDEX(Расходка[Наименование расходного материала],MATCH(Расходка[[#This Row],[№]],Поиск_расходки[Индекс12],0)),"")</f>
        <v/>
      </c>
      <c r="AD66" s="115" t="str">
        <f>IFERROR(INDEX(Расходка[Наименование расходного материала],MATCH(Расходка[[#This Row],[№]],Поиск_расходки[Индекс13],0)),"")</f>
        <v/>
      </c>
      <c r="AF66" s="4" t="s">
        <v>6</v>
      </c>
      <c r="AG66" s="4" t="s">
        <v>465</v>
      </c>
    </row>
    <row r="67" spans="1:33" x14ac:dyDescent="0.25">
      <c r="E67" s="199">
        <f>IF(ISNUMBER(SEARCH('Карта учёта'!$B$13,Расходка[[#This Row],[Наименование расходного материала]])),MAX($E$1:E66)+1,0)</f>
        <v>0</v>
      </c>
      <c r="F67" s="199">
        <f>IF(ISNUMBER(SEARCH('Карта учёта'!$B$14,Расходка[[#This Row],[Наименование расходного материала]])),MAX($F$1:F66)+1,0)</f>
        <v>0</v>
      </c>
      <c r="G67" s="199">
        <f>IF(ISNUMBER(SEARCH('Карта учёта'!$B$15,Расходка[[#This Row],[Наименование расходного материала]])),MAX($G$1:G66)+1,0)</f>
        <v>0</v>
      </c>
      <c r="H67" s="199">
        <f>IF(ISNUMBER(SEARCH('Карта учёта'!$B$16,Расходка[[#This Row],[Наименование расходного материала]])),MAX($H$1:H66)+1,0)</f>
        <v>0</v>
      </c>
      <c r="I67" s="199">
        <f>IF(ISNUMBER(SEARCH('Карта учёта'!$B$17,Расходка[[#This Row],[Наименование расходного материала]])),MAX($I$1:I66)+1,0)</f>
        <v>0</v>
      </c>
      <c r="J67" s="199">
        <f>IF(ISNUMBER(SEARCH('Карта учёта'!$B$18,Расходка[[#This Row],[Наименование расходного материала]])),MAX($J$1:J66)+1,0)</f>
        <v>0</v>
      </c>
      <c r="K67" s="199">
        <f>IF(ISNUMBER(SEARCH('Карта учёта'!$B$19,Расходка[[#This Row],[Наименование расходного материала]])),MAX($K$1:K66)+1,0)</f>
        <v>0</v>
      </c>
      <c r="L67" s="199">
        <f>IF(ISNUMBER(SEARCH('Карта учёта'!$B$20,Расходка[[#This Row],[Наименование расходного материала]])),MAX($L$1:L66)+1,0)</f>
        <v>0</v>
      </c>
      <c r="M67" s="199">
        <f>IF(ISNUMBER(SEARCH('Карта учёта'!$B$21,Расходка[[#This Row],[Наименование расходного материала]])),MAX($M$1:M66)+1,0)</f>
        <v>0</v>
      </c>
      <c r="N67" s="199">
        <f>IF(ISNUMBER(SEARCH('Карта учёта'!$B$22,Расходка[[#This Row],[Наименование расходного материала]])),MAX($N$1:N66)+1,0)</f>
        <v>0</v>
      </c>
      <c r="O67" s="199">
        <f>IF(ISNUMBER(SEARCH('Карта учёта'!$B$23,Расходка[[#This Row],[Наименование расходного материала]])),MAX($O$1:O66)+1,0)</f>
        <v>0</v>
      </c>
      <c r="P67" s="199">
        <f>IF(ISNUMBER(SEARCH('Карта учёта'!$B$24,Расходка[[#This Row],[Наименование расходного материала]])),MAX($P$1:P66)+1,0)</f>
        <v>0</v>
      </c>
      <c r="Q67" s="199">
        <f>IF(ISNUMBER(SEARCH('Карта учёта'!$B$25,Расходка[[#This Row],[Наименование расходного материала]])),MAX($Q$1:Q66)+1,0)</f>
        <v>0</v>
      </c>
      <c r="R67" s="200" t="str">
        <f>IFERROR(INDEX(Расходка[Наименование расходного материала],MATCH(Расходка[[#This Row],[№]],Поиск_расходки[Индекс1],0)),"")</f>
        <v/>
      </c>
      <c r="S67" s="200" t="str">
        <f>IFERROR(INDEX(Расходка[Наименование расходного материала],MATCH(Расходка[[#This Row],[№]],Поиск_расходки[Индекс2],0)),"")</f>
        <v/>
      </c>
      <c r="T67" s="200" t="str">
        <f>IFERROR(INDEX(Расходка[Наименование расходного материала],MATCH(Расходка[[#This Row],[№]],Поиск_расходки[Индекс3],0)),"")</f>
        <v/>
      </c>
      <c r="U67" s="200" t="str">
        <f>IFERROR(INDEX(Расходка[Наименование расходного материала],MATCH(Расходка[[#This Row],[№]],Поиск_расходки[Индекс4],0)),"")</f>
        <v/>
      </c>
      <c r="V67" s="200" t="str">
        <f>IFERROR(INDEX(Расходка[Наименование расходного материала],MATCH(Расходка[[#This Row],[№]],Поиск_расходки[Индекс5],0)),"")</f>
        <v/>
      </c>
      <c r="W67" s="200" t="str">
        <f>IFERROR(INDEX(Расходка[Наименование расходного материала],MATCH(Расходка[[#This Row],[№]],Поиск_расходки[Индекс6],0)),"")</f>
        <v/>
      </c>
      <c r="X67" s="200" t="str">
        <f>IFERROR(INDEX(Расходка[Наименование расходного материала],MATCH(Расходка[[#This Row],[№]],Поиск_расходки[Индекс7],0)),"")</f>
        <v/>
      </c>
      <c r="Y67" s="200" t="str">
        <f>IFERROR(INDEX(Расходка[Наименование расходного материала],MATCH(Расходка[[#This Row],[№]],Поиск_расходки[Индекс8],0)),"")</f>
        <v/>
      </c>
      <c r="Z67" s="200" t="str">
        <f>IFERROR(INDEX(Расходка[Наименование расходного материала],MATCH(Расходка[[#This Row],[№]],Поиск_расходки[Индекс9],0)),"")</f>
        <v/>
      </c>
      <c r="AA67" s="200" t="str">
        <f>IFERROR(INDEX(Расходка[Наименование расходного материала],MATCH(Расходка[[#This Row],[№]],Поиск_расходки[Индекс10],0)),"")</f>
        <v/>
      </c>
      <c r="AB67" s="200" t="str">
        <f>IFERROR(INDEX(Расходка[Наименование расходного материала],MATCH(Расходка[[#This Row],[№]],Поиск_расходки[Индекс11],0)),"")</f>
        <v/>
      </c>
      <c r="AC67" s="200" t="str">
        <f>IFERROR(INDEX(Расходка[Наименование расходного материала],MATCH(Расходка[[#This Row],[№]],Поиск_расходки[Индекс12],0)),"")</f>
        <v/>
      </c>
      <c r="AD67" s="200" t="str">
        <f>IFERROR(INDEX(Расходка[Наименование расходного материала],MATCH(Расходка[[#This Row],[№]],Поиск_расходки[Индекс13],0)),"")</f>
        <v/>
      </c>
      <c r="AF67" s="4" t="s">
        <v>6</v>
      </c>
      <c r="AG67" s="4" t="s">
        <v>466</v>
      </c>
    </row>
    <row r="68" spans="1:33" x14ac:dyDescent="0.25">
      <c r="E68" s="199">
        <f>IF(ISNUMBER(SEARCH('Карта учёта'!$B$13,Расходка[[#This Row],[Наименование расходного материала]])),MAX($E$1:E67)+1,0)</f>
        <v>0</v>
      </c>
      <c r="F68" s="199">
        <f>IF(ISNUMBER(SEARCH('Карта учёта'!$B$14,Расходка[[#This Row],[Наименование расходного материала]])),MAX($F$1:F67)+1,0)</f>
        <v>0</v>
      </c>
      <c r="G68" s="199">
        <f>IF(ISNUMBER(SEARCH('Карта учёта'!$B$15,Расходка[[#This Row],[Наименование расходного материала]])),MAX($G$1:G67)+1,0)</f>
        <v>0</v>
      </c>
      <c r="H68" s="199">
        <f>IF(ISNUMBER(SEARCH('Карта учёта'!$B$16,Расходка[[#This Row],[Наименование расходного материала]])),MAX($H$1:H67)+1,0)</f>
        <v>0</v>
      </c>
      <c r="I68" s="199">
        <f>IF(ISNUMBER(SEARCH('Карта учёта'!$B$17,Расходка[[#This Row],[Наименование расходного материала]])),MAX($I$1:I67)+1,0)</f>
        <v>0</v>
      </c>
      <c r="J68" s="199">
        <f>IF(ISNUMBER(SEARCH('Карта учёта'!$B$18,Расходка[[#This Row],[Наименование расходного материала]])),MAX($J$1:J67)+1,0)</f>
        <v>0</v>
      </c>
      <c r="K68" s="199">
        <f>IF(ISNUMBER(SEARCH('Карта учёта'!$B$19,Расходка[[#This Row],[Наименование расходного материала]])),MAX($K$1:K67)+1,0)</f>
        <v>0</v>
      </c>
      <c r="L68" s="199">
        <f>IF(ISNUMBER(SEARCH('Карта учёта'!$B$20,Расходка[[#This Row],[Наименование расходного материала]])),MAX($L$1:L67)+1,0)</f>
        <v>0</v>
      </c>
      <c r="M68" s="199">
        <f>IF(ISNUMBER(SEARCH('Карта учёта'!$B$21,Расходка[[#This Row],[Наименование расходного материала]])),MAX($M$1:M67)+1,0)</f>
        <v>0</v>
      </c>
      <c r="N68" s="199">
        <f>IF(ISNUMBER(SEARCH('Карта учёта'!$B$22,Расходка[[#This Row],[Наименование расходного материала]])),MAX($N$1:N67)+1,0)</f>
        <v>0</v>
      </c>
      <c r="O68" s="199">
        <f>IF(ISNUMBER(SEARCH('Карта учёта'!$B$23,Расходка[[#This Row],[Наименование расходного материала]])),MAX($O$1:O67)+1,0)</f>
        <v>0</v>
      </c>
      <c r="P68" s="199">
        <f>IF(ISNUMBER(SEARCH('Карта учёта'!$B$24,Расходка[[#This Row],[Наименование расходного материала]])),MAX($P$1:P67)+1,0)</f>
        <v>0</v>
      </c>
      <c r="Q68" s="199">
        <f>IF(ISNUMBER(SEARCH('Карта учёта'!$B$25,Расходка[[#This Row],[Наименование расходного материала]])),MAX($Q$1:Q67)+1,0)</f>
        <v>0</v>
      </c>
      <c r="R68" s="200" t="str">
        <f>IFERROR(INDEX(Расходка[Наименование расходного материала],MATCH(Расходка[[#This Row],[№]],Поиск_расходки[Индекс1],0)),"")</f>
        <v/>
      </c>
      <c r="S68" s="200" t="str">
        <f>IFERROR(INDEX(Расходка[Наименование расходного материала],MATCH(Расходка[[#This Row],[№]],Поиск_расходки[Индекс2],0)),"")</f>
        <v/>
      </c>
      <c r="T68" s="200" t="str">
        <f>IFERROR(INDEX(Расходка[Наименование расходного материала],MATCH(Расходка[[#This Row],[№]],Поиск_расходки[Индекс3],0)),"")</f>
        <v/>
      </c>
      <c r="U68" s="200" t="str">
        <f>IFERROR(INDEX(Расходка[Наименование расходного материала],MATCH(Расходка[[#This Row],[№]],Поиск_расходки[Индекс4],0)),"")</f>
        <v/>
      </c>
      <c r="V68" s="200" t="str">
        <f>IFERROR(INDEX(Расходка[Наименование расходного материала],MATCH(Расходка[[#This Row],[№]],Поиск_расходки[Индекс5],0)),"")</f>
        <v/>
      </c>
      <c r="W68" s="200" t="str">
        <f>IFERROR(INDEX(Расходка[Наименование расходного материала],MATCH(Расходка[[#This Row],[№]],Поиск_расходки[Индекс6],0)),"")</f>
        <v/>
      </c>
      <c r="X68" s="200" t="str">
        <f>IFERROR(INDEX(Расходка[Наименование расходного материала],MATCH(Расходка[[#This Row],[№]],Поиск_расходки[Индекс7],0)),"")</f>
        <v/>
      </c>
      <c r="Y68" s="200" t="str">
        <f>IFERROR(INDEX(Расходка[Наименование расходного материала],MATCH(Расходка[[#This Row],[№]],Поиск_расходки[Индекс8],0)),"")</f>
        <v/>
      </c>
      <c r="Z68" s="200" t="str">
        <f>IFERROR(INDEX(Расходка[Наименование расходного материала],MATCH(Расходка[[#This Row],[№]],Поиск_расходки[Индекс9],0)),"")</f>
        <v/>
      </c>
      <c r="AA68" s="200" t="str">
        <f>IFERROR(INDEX(Расходка[Наименование расходного материала],MATCH(Расходка[[#This Row],[№]],Поиск_расходки[Индекс10],0)),"")</f>
        <v/>
      </c>
      <c r="AB68" s="200" t="str">
        <f>IFERROR(INDEX(Расходка[Наименование расходного материала],MATCH(Расходка[[#This Row],[№]],Поиск_расходки[Индекс11],0)),"")</f>
        <v/>
      </c>
      <c r="AC68" s="200" t="str">
        <f>IFERROR(INDEX(Расходка[Наименование расходного материала],MATCH(Расходка[[#This Row],[№]],Поиск_расходки[Индекс12],0)),"")</f>
        <v/>
      </c>
      <c r="AD68" s="200" t="str">
        <f>IFERROR(INDEX(Расходка[Наименование расходного материала],MATCH(Расходка[[#This Row],[№]],Поиск_расходки[Индекс13],0)),"")</f>
        <v/>
      </c>
      <c r="AF68" s="4" t="s">
        <v>6</v>
      </c>
      <c r="AG68" s="4" t="s">
        <v>467</v>
      </c>
    </row>
    <row r="69" spans="1:33" x14ac:dyDescent="0.25">
      <c r="E69" s="199">
        <f>IF(ISNUMBER(SEARCH('Карта учёта'!$B$13,Расходка[[#This Row],[Наименование расходного материала]])),MAX($E$1:E68)+1,0)</f>
        <v>0</v>
      </c>
      <c r="F69" s="199">
        <f>IF(ISNUMBER(SEARCH('Карта учёта'!$B$14,Расходка[[#This Row],[Наименование расходного материала]])),MAX($F$1:F68)+1,0)</f>
        <v>0</v>
      </c>
      <c r="G69" s="199">
        <f>IF(ISNUMBER(SEARCH('Карта учёта'!$B$15,Расходка[[#This Row],[Наименование расходного материала]])),MAX($G$1:G68)+1,0)</f>
        <v>0</v>
      </c>
      <c r="H69" s="199">
        <f>IF(ISNUMBER(SEARCH('Карта учёта'!$B$16,Расходка[[#This Row],[Наименование расходного материала]])),MAX($H$1:H68)+1,0)</f>
        <v>0</v>
      </c>
      <c r="I69" s="199">
        <f>IF(ISNUMBER(SEARCH('Карта учёта'!$B$17,Расходка[[#This Row],[Наименование расходного материала]])),MAX($I$1:I68)+1,0)</f>
        <v>0</v>
      </c>
      <c r="J69" s="199">
        <f>IF(ISNUMBER(SEARCH('Карта учёта'!$B$18,Расходка[[#This Row],[Наименование расходного материала]])),MAX($J$1:J68)+1,0)</f>
        <v>0</v>
      </c>
      <c r="K69" s="199">
        <f>IF(ISNUMBER(SEARCH('Карта учёта'!$B$19,Расходка[[#This Row],[Наименование расходного материала]])),MAX($K$1:K68)+1,0)</f>
        <v>0</v>
      </c>
      <c r="L69" s="199">
        <f>IF(ISNUMBER(SEARCH('Карта учёта'!$B$20,Расходка[[#This Row],[Наименование расходного материала]])),MAX($L$1:L68)+1,0)</f>
        <v>0</v>
      </c>
      <c r="M69" s="199">
        <f>IF(ISNUMBER(SEARCH('Карта учёта'!$B$21,Расходка[[#This Row],[Наименование расходного материала]])),MAX($M$1:M68)+1,0)</f>
        <v>0</v>
      </c>
      <c r="N69" s="199">
        <f>IF(ISNUMBER(SEARCH('Карта учёта'!$B$22,Расходка[[#This Row],[Наименование расходного материала]])),MAX($N$1:N68)+1,0)</f>
        <v>0</v>
      </c>
      <c r="O69" s="199">
        <f>IF(ISNUMBER(SEARCH('Карта учёта'!$B$23,Расходка[[#This Row],[Наименование расходного материала]])),MAX($O$1:O68)+1,0)</f>
        <v>0</v>
      </c>
      <c r="P69" s="199">
        <f>IF(ISNUMBER(SEARCH('Карта учёта'!$B$24,Расходка[[#This Row],[Наименование расходного материала]])),MAX($P$1:P68)+1,0)</f>
        <v>0</v>
      </c>
      <c r="Q69" s="199">
        <f>IF(ISNUMBER(SEARCH('Карта учёта'!$B$25,Расходка[[#This Row],[Наименование расходного материала]])),MAX($Q$1:Q68)+1,0)</f>
        <v>0</v>
      </c>
      <c r="R69" s="200" t="str">
        <f>IFERROR(INDEX(Расходка[Наименование расходного материала],MATCH(Расходка[[#This Row],[№]],Поиск_расходки[Индекс1],0)),"")</f>
        <v/>
      </c>
      <c r="S69" s="200" t="str">
        <f>IFERROR(INDEX(Расходка[Наименование расходного материала],MATCH(Расходка[[#This Row],[№]],Поиск_расходки[Индекс2],0)),"")</f>
        <v/>
      </c>
      <c r="T69" s="200" t="str">
        <f>IFERROR(INDEX(Расходка[Наименование расходного материала],MATCH(Расходка[[#This Row],[№]],Поиск_расходки[Индекс3],0)),"")</f>
        <v/>
      </c>
      <c r="U69" s="200" t="str">
        <f>IFERROR(INDEX(Расходка[Наименование расходного материала],MATCH(Расходка[[#This Row],[№]],Поиск_расходки[Индекс4],0)),"")</f>
        <v/>
      </c>
      <c r="V69" s="200" t="str">
        <f>IFERROR(INDEX(Расходка[Наименование расходного материала],MATCH(Расходка[[#This Row],[№]],Поиск_расходки[Индекс5],0)),"")</f>
        <v/>
      </c>
      <c r="W69" s="200" t="str">
        <f>IFERROR(INDEX(Расходка[Наименование расходного материала],MATCH(Расходка[[#This Row],[№]],Поиск_расходки[Индекс6],0)),"")</f>
        <v/>
      </c>
      <c r="X69" s="200" t="str">
        <f>IFERROR(INDEX(Расходка[Наименование расходного материала],MATCH(Расходка[[#This Row],[№]],Поиск_расходки[Индекс7],0)),"")</f>
        <v/>
      </c>
      <c r="Y69" s="200" t="str">
        <f>IFERROR(INDEX(Расходка[Наименование расходного материала],MATCH(Расходка[[#This Row],[№]],Поиск_расходки[Индекс8],0)),"")</f>
        <v/>
      </c>
      <c r="Z69" s="200" t="str">
        <f>IFERROR(INDEX(Расходка[Наименование расходного материала],MATCH(Расходка[[#This Row],[№]],Поиск_расходки[Индекс9],0)),"")</f>
        <v/>
      </c>
      <c r="AA69" s="200" t="str">
        <f>IFERROR(INDEX(Расходка[Наименование расходного материала],MATCH(Расходка[[#This Row],[№]],Поиск_расходки[Индекс10],0)),"")</f>
        <v/>
      </c>
      <c r="AB69" s="200" t="str">
        <f>IFERROR(INDEX(Расходка[Наименование расходного материала],MATCH(Расходка[[#This Row],[№]],Поиск_расходки[Индекс11],0)),"")</f>
        <v/>
      </c>
      <c r="AC69" s="200" t="str">
        <f>IFERROR(INDEX(Расходка[Наименование расходного материала],MATCH(Расходка[[#This Row],[№]],Поиск_расходки[Индекс12],0)),"")</f>
        <v/>
      </c>
      <c r="AD69" s="200" t="str">
        <f>IFERROR(INDEX(Расходка[Наименование расходного материала],MATCH(Расходка[[#This Row],[№]],Поиск_расходки[Индекс13],0)),"")</f>
        <v/>
      </c>
      <c r="AF69" s="4" t="s">
        <v>6</v>
      </c>
      <c r="AG69" s="4" t="s">
        <v>468</v>
      </c>
    </row>
    <row r="70" spans="1:33" x14ac:dyDescent="0.25">
      <c r="E70" s="199">
        <f>IF(ISNUMBER(SEARCH('Карта учёта'!$B$13,Расходка[[#This Row],[Наименование расходного материала]])),MAX($E$1:E69)+1,0)</f>
        <v>0</v>
      </c>
      <c r="F70" s="199">
        <f>IF(ISNUMBER(SEARCH('Карта учёта'!$B$14,Расходка[[#This Row],[Наименование расходного материала]])),MAX($F$1:F69)+1,0)</f>
        <v>0</v>
      </c>
      <c r="G70" s="199">
        <f>IF(ISNUMBER(SEARCH('Карта учёта'!$B$15,Расходка[[#This Row],[Наименование расходного материала]])),MAX($G$1:G69)+1,0)</f>
        <v>0</v>
      </c>
      <c r="H70" s="199">
        <f>IF(ISNUMBER(SEARCH('Карта учёта'!$B$16,Расходка[[#This Row],[Наименование расходного материала]])),MAX($H$1:H69)+1,0)</f>
        <v>0</v>
      </c>
      <c r="I70" s="199">
        <f>IF(ISNUMBER(SEARCH('Карта учёта'!$B$17,Расходка[[#This Row],[Наименование расходного материала]])),MAX($I$1:I69)+1,0)</f>
        <v>0</v>
      </c>
      <c r="J70" s="199">
        <f>IF(ISNUMBER(SEARCH('Карта учёта'!$B$18,Расходка[[#This Row],[Наименование расходного материала]])),MAX($J$1:J69)+1,0)</f>
        <v>0</v>
      </c>
      <c r="K70" s="199">
        <f>IF(ISNUMBER(SEARCH('Карта учёта'!$B$19,Расходка[[#This Row],[Наименование расходного материала]])),MAX($K$1:K69)+1,0)</f>
        <v>0</v>
      </c>
      <c r="L70" s="199">
        <f>IF(ISNUMBER(SEARCH('Карта учёта'!$B$20,Расходка[[#This Row],[Наименование расходного материала]])),MAX($L$1:L69)+1,0)</f>
        <v>0</v>
      </c>
      <c r="M70" s="199">
        <f>IF(ISNUMBER(SEARCH('Карта учёта'!$B$21,Расходка[[#This Row],[Наименование расходного материала]])),MAX($M$1:M69)+1,0)</f>
        <v>0</v>
      </c>
      <c r="N70" s="199">
        <f>IF(ISNUMBER(SEARCH('Карта учёта'!$B$22,Расходка[[#This Row],[Наименование расходного материала]])),MAX($N$1:N69)+1,0)</f>
        <v>0</v>
      </c>
      <c r="O70" s="199">
        <f>IF(ISNUMBER(SEARCH('Карта учёта'!$B$23,Расходка[[#This Row],[Наименование расходного материала]])),MAX($O$1:O69)+1,0)</f>
        <v>0</v>
      </c>
      <c r="P70" s="199">
        <f>IF(ISNUMBER(SEARCH('Карта учёта'!$B$24,Расходка[[#This Row],[Наименование расходного материала]])),MAX($P$1:P69)+1,0)</f>
        <v>0</v>
      </c>
      <c r="Q70" s="199">
        <f>IF(ISNUMBER(SEARCH('Карта учёта'!$B$25,Расходка[[#This Row],[Наименование расходного материала]])),MAX($Q$1:Q69)+1,0)</f>
        <v>0</v>
      </c>
      <c r="R70" s="200" t="str">
        <f>IFERROR(INDEX(Расходка[Наименование расходного материала],MATCH(Расходка[[#This Row],[№]],Поиск_расходки[Индекс1],0)),"")</f>
        <v/>
      </c>
      <c r="S70" s="200" t="str">
        <f>IFERROR(INDEX(Расходка[Наименование расходного материала],MATCH(Расходка[[#This Row],[№]],Поиск_расходки[Индекс2],0)),"")</f>
        <v/>
      </c>
      <c r="T70" s="200" t="str">
        <f>IFERROR(INDEX(Расходка[Наименование расходного материала],MATCH(Расходка[[#This Row],[№]],Поиск_расходки[Индекс3],0)),"")</f>
        <v/>
      </c>
      <c r="U70" s="200" t="str">
        <f>IFERROR(INDEX(Расходка[Наименование расходного материала],MATCH(Расходка[[#This Row],[№]],Поиск_расходки[Индекс4],0)),"")</f>
        <v/>
      </c>
      <c r="V70" s="200" t="str">
        <f>IFERROR(INDEX(Расходка[Наименование расходного материала],MATCH(Расходка[[#This Row],[№]],Поиск_расходки[Индекс5],0)),"")</f>
        <v/>
      </c>
      <c r="W70" s="200" t="str">
        <f>IFERROR(INDEX(Расходка[Наименование расходного материала],MATCH(Расходка[[#This Row],[№]],Поиск_расходки[Индекс6],0)),"")</f>
        <v/>
      </c>
      <c r="X70" s="200" t="str">
        <f>IFERROR(INDEX(Расходка[Наименование расходного материала],MATCH(Расходка[[#This Row],[№]],Поиск_расходки[Индекс7],0)),"")</f>
        <v/>
      </c>
      <c r="Y70" s="200" t="str">
        <f>IFERROR(INDEX(Расходка[Наименование расходного материала],MATCH(Расходка[[#This Row],[№]],Поиск_расходки[Индекс8],0)),"")</f>
        <v/>
      </c>
      <c r="Z70" s="200" t="str">
        <f>IFERROR(INDEX(Расходка[Наименование расходного материала],MATCH(Расходка[[#This Row],[№]],Поиск_расходки[Индекс9],0)),"")</f>
        <v/>
      </c>
      <c r="AA70" s="200" t="str">
        <f>IFERROR(INDEX(Расходка[Наименование расходного материала],MATCH(Расходка[[#This Row],[№]],Поиск_расходки[Индекс10],0)),"")</f>
        <v/>
      </c>
      <c r="AB70" s="200" t="str">
        <f>IFERROR(INDEX(Расходка[Наименование расходного материала],MATCH(Расходка[[#This Row],[№]],Поиск_расходки[Индекс11],0)),"")</f>
        <v/>
      </c>
      <c r="AC70" s="200" t="str">
        <f>IFERROR(INDEX(Расходка[Наименование расходного материала],MATCH(Расходка[[#This Row],[№]],Поиск_расходки[Индекс12],0)),"")</f>
        <v/>
      </c>
      <c r="AD70" s="200" t="str">
        <f>IFERROR(INDEX(Расходка[Наименование расходного материала],MATCH(Расходка[[#This Row],[№]],Поиск_расходки[Индекс13],0)),"")</f>
        <v/>
      </c>
      <c r="AF70" s="4" t="s">
        <v>6</v>
      </c>
      <c r="AG70" s="4" t="s">
        <v>469</v>
      </c>
    </row>
    <row r="71" spans="1:33" x14ac:dyDescent="0.25">
      <c r="AF71" s="4" t="s">
        <v>6</v>
      </c>
      <c r="AG71" s="4" t="s">
        <v>424</v>
      </c>
    </row>
    <row r="72" spans="1:33" x14ac:dyDescent="0.25">
      <c r="AF72" s="4" t="s">
        <v>6</v>
      </c>
      <c r="AG72" s="4" t="s">
        <v>470</v>
      </c>
    </row>
    <row r="73" spans="1:33" x14ac:dyDescent="0.25">
      <c r="AF73" s="4" t="s">
        <v>6</v>
      </c>
      <c r="AG73" s="4" t="s">
        <v>425</v>
      </c>
    </row>
    <row r="74" spans="1:33" x14ac:dyDescent="0.25">
      <c r="AF74" s="4" t="s">
        <v>6</v>
      </c>
      <c r="AG74" s="4" t="s">
        <v>471</v>
      </c>
    </row>
    <row r="75" spans="1:33" x14ac:dyDescent="0.25">
      <c r="AF75" s="4" t="s">
        <v>6</v>
      </c>
      <c r="AG75" s="4" t="s">
        <v>472</v>
      </c>
    </row>
    <row r="76" spans="1:33" x14ac:dyDescent="0.25">
      <c r="AF76" s="4" t="s">
        <v>6</v>
      </c>
      <c r="AG76" s="4" t="s">
        <v>473</v>
      </c>
    </row>
    <row r="77" spans="1:33" x14ac:dyDescent="0.25">
      <c r="AF77" s="4" t="s">
        <v>6</v>
      </c>
      <c r="AG77" s="4" t="s">
        <v>474</v>
      </c>
    </row>
    <row r="78" spans="1:33" x14ac:dyDescent="0.25">
      <c r="AF78" s="4" t="s">
        <v>6</v>
      </c>
      <c r="AG78" s="4" t="s">
        <v>475</v>
      </c>
    </row>
    <row r="79" spans="1:33" x14ac:dyDescent="0.25">
      <c r="AF79" s="4" t="s">
        <v>6</v>
      </c>
      <c r="AG79" s="4" t="s">
        <v>476</v>
      </c>
    </row>
    <row r="80" spans="1:33" x14ac:dyDescent="0.25">
      <c r="AF80" s="4" t="s">
        <v>6</v>
      </c>
      <c r="AG80" s="4" t="s">
        <v>477</v>
      </c>
    </row>
    <row r="81" spans="32:33" x14ac:dyDescent="0.25">
      <c r="AF81" s="4" t="s">
        <v>6</v>
      </c>
      <c r="AG81" s="4" t="s">
        <v>478</v>
      </c>
    </row>
    <row r="82" spans="32:33" x14ac:dyDescent="0.25">
      <c r="AF82" s="4" t="s">
        <v>6</v>
      </c>
      <c r="AG82" s="4" t="s">
        <v>479</v>
      </c>
    </row>
    <row r="83" spans="32:33" x14ac:dyDescent="0.25">
      <c r="AF83" s="4" t="s">
        <v>6</v>
      </c>
      <c r="AG83" s="4" t="s">
        <v>480</v>
      </c>
    </row>
    <row r="84" spans="32:33" x14ac:dyDescent="0.25">
      <c r="AF84" s="4" t="s">
        <v>6</v>
      </c>
      <c r="AG84" s="4" t="s">
        <v>431</v>
      </c>
    </row>
    <row r="85" spans="32:33" x14ac:dyDescent="0.25">
      <c r="AF85" s="4" t="s">
        <v>6</v>
      </c>
      <c r="AG85" s="4" t="s">
        <v>432</v>
      </c>
    </row>
    <row r="86" spans="32:33" x14ac:dyDescent="0.25">
      <c r="AF86" s="4" t="s">
        <v>6</v>
      </c>
      <c r="AG86" s="4" t="s">
        <v>481</v>
      </c>
    </row>
    <row r="87" spans="32:33" x14ac:dyDescent="0.25">
      <c r="AF87" s="4" t="s">
        <v>6</v>
      </c>
      <c r="AG87" s="4" t="s">
        <v>482</v>
      </c>
    </row>
    <row r="88" spans="32:33" x14ac:dyDescent="0.25">
      <c r="AF88" s="4" t="s">
        <v>6</v>
      </c>
      <c r="AG88" s="4" t="s">
        <v>483</v>
      </c>
    </row>
    <row r="89" spans="32:33" x14ac:dyDescent="0.25">
      <c r="AF89" s="4" t="s">
        <v>6</v>
      </c>
      <c r="AG89" s="4" t="s">
        <v>484</v>
      </c>
    </row>
    <row r="90" spans="32:33" x14ac:dyDescent="0.25">
      <c r="AF90" s="4" t="s">
        <v>6</v>
      </c>
      <c r="AG90" s="4" t="s">
        <v>485</v>
      </c>
    </row>
    <row r="91" spans="32:33" x14ac:dyDescent="0.25">
      <c r="AF91" s="4" t="s">
        <v>6</v>
      </c>
      <c r="AG91" s="4" t="s">
        <v>486</v>
      </c>
    </row>
    <row r="92" spans="32:33" x14ac:dyDescent="0.25">
      <c r="AF92" s="4" t="s">
        <v>6</v>
      </c>
      <c r="AG92" s="4" t="s">
        <v>487</v>
      </c>
    </row>
    <row r="93" spans="32:33" x14ac:dyDescent="0.25">
      <c r="AF93" s="4" t="s">
        <v>6</v>
      </c>
      <c r="AG93" s="4" t="s">
        <v>488</v>
      </c>
    </row>
    <row r="94" spans="32:33" x14ac:dyDescent="0.25">
      <c r="AF94" s="4" t="s">
        <v>6</v>
      </c>
      <c r="AG94" s="4" t="s">
        <v>435</v>
      </c>
    </row>
    <row r="95" spans="32:33" x14ac:dyDescent="0.25">
      <c r="AF95" s="4" t="s">
        <v>6</v>
      </c>
      <c r="AG95" s="4" t="s">
        <v>436</v>
      </c>
    </row>
    <row r="96" spans="32:33" x14ac:dyDescent="0.25">
      <c r="AF96" s="4" t="s">
        <v>6</v>
      </c>
      <c r="AG96" s="4" t="s">
        <v>489</v>
      </c>
    </row>
    <row r="97" spans="32:33" x14ac:dyDescent="0.25">
      <c r="AF97" s="4" t="s">
        <v>6</v>
      </c>
      <c r="AG97" s="4" t="s">
        <v>490</v>
      </c>
    </row>
  </sheetData>
  <sheetProtection sheet="1" objects="1" scenarios="1" formatCells="0" formatColumns="0"/>
  <phoneticPr fontId="14" type="noConversion"/>
  <dataValidations count="1">
    <dataValidation type="list" allowBlank="1" showInputMessage="1" showErrorMessage="1" sqref="B2:B66" xr:uid="{00000000-0002-0000-0400-00000000000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9"/>
  <sheetViews>
    <sheetView zoomScale="90" zoomScaleNormal="90" workbookViewId="0">
      <selection activeCell="F23" sqref="F23"/>
    </sheetView>
  </sheetViews>
  <sheetFormatPr defaultRowHeight="15" x14ac:dyDescent="0.2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x14ac:dyDescent="0.25">
      <c r="A1" t="s">
        <v>112</v>
      </c>
      <c r="B1" t="s">
        <v>111</v>
      </c>
      <c r="C1" t="s">
        <v>113</v>
      </c>
      <c r="E1" t="s">
        <v>175</v>
      </c>
    </row>
    <row r="2" spans="1:5" x14ac:dyDescent="0.25">
      <c r="A2" t="s">
        <v>134</v>
      </c>
      <c r="B2" t="s">
        <v>107</v>
      </c>
      <c r="C2" t="str">
        <f t="shared" ref="C2:C16" si="0">CONCATENATE(A2,B2)</f>
        <v xml:space="preserve">Заведующий отделения: Д.В. Карчевский </v>
      </c>
      <c r="E2" t="s">
        <v>172</v>
      </c>
    </row>
    <row r="3" spans="1:5" x14ac:dyDescent="0.25">
      <c r="A3" t="s">
        <v>124</v>
      </c>
      <c r="B3" t="s">
        <v>109</v>
      </c>
      <c r="C3" t="str">
        <f t="shared" si="0"/>
        <v xml:space="preserve">И/О заведующего отделения: В.Л. Мартынко </v>
      </c>
      <c r="E3" t="s">
        <v>179</v>
      </c>
    </row>
    <row r="4" spans="1:5" x14ac:dyDescent="0.25">
      <c r="A4" t="s">
        <v>124</v>
      </c>
      <c r="B4" t="s">
        <v>116</v>
      </c>
      <c r="C4" t="str">
        <f>CONCATENATE(A4,B4)</f>
        <v xml:space="preserve">И/О заведующего отделения: А.В. Воронков </v>
      </c>
      <c r="E4" t="s">
        <v>173</v>
      </c>
    </row>
    <row r="5" spans="1:5" x14ac:dyDescent="0.25">
      <c r="A5" t="s">
        <v>108</v>
      </c>
      <c r="B5" t="s">
        <v>118</v>
      </c>
      <c r="C5" t="str">
        <f t="shared" si="0"/>
        <v>Оператор: В.В. Анохин</v>
      </c>
      <c r="E5" t="s">
        <v>170</v>
      </c>
    </row>
    <row r="6" spans="1:5" x14ac:dyDescent="0.25">
      <c r="A6" t="s">
        <v>108</v>
      </c>
      <c r="B6" t="s">
        <v>116</v>
      </c>
      <c r="C6" t="str">
        <f t="shared" si="0"/>
        <v xml:space="preserve">Оператор: А.В. Воронков </v>
      </c>
      <c r="E6" t="s">
        <v>303</v>
      </c>
    </row>
    <row r="7" spans="1:5" x14ac:dyDescent="0.25">
      <c r="A7" t="s">
        <v>108</v>
      </c>
      <c r="B7" t="s">
        <v>119</v>
      </c>
      <c r="C7" t="str">
        <f t="shared" si="0"/>
        <v>Оператор: И.Н. Зимин</v>
      </c>
      <c r="E7" t="s">
        <v>180</v>
      </c>
    </row>
    <row r="8" spans="1:5" x14ac:dyDescent="0.25">
      <c r="A8" t="s">
        <v>108</v>
      </c>
      <c r="B8" t="s">
        <v>107</v>
      </c>
      <c r="C8" t="str">
        <f t="shared" si="0"/>
        <v xml:space="preserve">Оператор: Д.В. Карчевский </v>
      </c>
      <c r="E8" t="s">
        <v>181</v>
      </c>
    </row>
    <row r="9" spans="1:5" x14ac:dyDescent="0.25">
      <c r="A9" t="s">
        <v>108</v>
      </c>
      <c r="B9" t="s">
        <v>109</v>
      </c>
      <c r="C9" t="str">
        <f t="shared" si="0"/>
        <v xml:space="preserve">Оператор: В.Л. Мартынко </v>
      </c>
      <c r="E9" t="s">
        <v>182</v>
      </c>
    </row>
    <row r="10" spans="1:5" x14ac:dyDescent="0.25">
      <c r="A10" t="s">
        <v>108</v>
      </c>
      <c r="B10" t="s">
        <v>114</v>
      </c>
      <c r="C10" t="str">
        <f t="shared" si="0"/>
        <v xml:space="preserve">Оператор: А.С. Меренков </v>
      </c>
      <c r="E10" t="s">
        <v>183</v>
      </c>
    </row>
    <row r="11" spans="1:5" x14ac:dyDescent="0.25">
      <c r="A11" t="s">
        <v>108</v>
      </c>
      <c r="B11" t="s">
        <v>117</v>
      </c>
      <c r="C11" t="str">
        <f t="shared" si="0"/>
        <v xml:space="preserve">Оператор: О.В. Мещеряков </v>
      </c>
      <c r="E11" t="s">
        <v>184</v>
      </c>
    </row>
    <row r="12" spans="1:5" x14ac:dyDescent="0.25">
      <c r="A12" t="s">
        <v>108</v>
      </c>
      <c r="B12" t="s">
        <v>115</v>
      </c>
      <c r="C12" t="str">
        <f t="shared" si="0"/>
        <v xml:space="preserve">Оператор: И.А. Московский </v>
      </c>
    </row>
    <row r="13" spans="1:5" x14ac:dyDescent="0.25">
      <c r="A13" t="s">
        <v>108</v>
      </c>
      <c r="B13" t="s">
        <v>121</v>
      </c>
      <c r="C13" t="str">
        <f>CONCATENATE(A13,B13)</f>
        <v>Оператор: А.Ф. Паращенко</v>
      </c>
    </row>
    <row r="14" spans="1:5" x14ac:dyDescent="0.25">
      <c r="A14" t="s">
        <v>108</v>
      </c>
      <c r="B14" t="s">
        <v>110</v>
      </c>
      <c r="C14" t="str">
        <f t="shared" si="0"/>
        <v xml:space="preserve">Оператор: А.С. Щербаков </v>
      </c>
    </row>
    <row r="15" spans="1:5" x14ac:dyDescent="0.25">
      <c r="A15" t="s">
        <v>120</v>
      </c>
      <c r="B15" t="s">
        <v>122</v>
      </c>
      <c r="C15" t="str">
        <f t="shared" si="0"/>
        <v>Старшая мед.сетра: О.Н. Черткова</v>
      </c>
    </row>
    <row r="16" spans="1:5" x14ac:dyDescent="0.25">
      <c r="A16" t="s">
        <v>123</v>
      </c>
      <c r="B16" t="s">
        <v>350</v>
      </c>
      <c r="C16" t="str">
        <f t="shared" si="0"/>
        <v xml:space="preserve">И/О старшей мед.сетры: А.А. Нефёдова </v>
      </c>
    </row>
    <row r="17" spans="1:3" x14ac:dyDescent="0.25">
      <c r="A17" t="s">
        <v>123</v>
      </c>
      <c r="B17" t="s">
        <v>349</v>
      </c>
      <c r="C17" t="str">
        <f>CONCATENATE(A17,B17)</f>
        <v>И/О старшей мед.сетры: А.М. Казанцева</v>
      </c>
    </row>
    <row r="20" spans="1:3" x14ac:dyDescent="0.25">
      <c r="A20" t="s">
        <v>175</v>
      </c>
      <c r="B20" t="s">
        <v>174</v>
      </c>
    </row>
    <row r="21" spans="1:3" x14ac:dyDescent="0.25">
      <c r="A21" t="s">
        <v>170</v>
      </c>
      <c r="B21" t="s">
        <v>267</v>
      </c>
    </row>
    <row r="22" spans="1:3" x14ac:dyDescent="0.25">
      <c r="A22" t="s">
        <v>170</v>
      </c>
      <c r="B22" t="s">
        <v>176</v>
      </c>
    </row>
    <row r="23" spans="1:3" x14ac:dyDescent="0.25">
      <c r="A23" t="s">
        <v>170</v>
      </c>
      <c r="B23" t="s">
        <v>304</v>
      </c>
    </row>
    <row r="24" spans="1:3" x14ac:dyDescent="0.25">
      <c r="A24" t="s">
        <v>170</v>
      </c>
      <c r="B24" t="s">
        <v>250</v>
      </c>
    </row>
    <row r="25" spans="1:3" x14ac:dyDescent="0.25">
      <c r="A25" t="s">
        <v>170</v>
      </c>
      <c r="B25" t="s">
        <v>264</v>
      </c>
    </row>
    <row r="26" spans="1:3" x14ac:dyDescent="0.25">
      <c r="A26" t="s">
        <v>170</v>
      </c>
      <c r="B26" t="s">
        <v>268</v>
      </c>
    </row>
    <row r="27" spans="1:3" x14ac:dyDescent="0.25">
      <c r="A27" t="s">
        <v>170</v>
      </c>
      <c r="B27" t="s">
        <v>256</v>
      </c>
    </row>
    <row r="28" spans="1:3" x14ac:dyDescent="0.25">
      <c r="A28" t="s">
        <v>170</v>
      </c>
      <c r="B28" t="s">
        <v>255</v>
      </c>
    </row>
    <row r="29" spans="1:3" x14ac:dyDescent="0.25">
      <c r="A29" t="s">
        <v>170</v>
      </c>
      <c r="B29" t="s">
        <v>302</v>
      </c>
    </row>
    <row r="30" spans="1:3" x14ac:dyDescent="0.25">
      <c r="A30" t="s">
        <v>170</v>
      </c>
      <c r="B30" t="s">
        <v>254</v>
      </c>
    </row>
    <row r="31" spans="1:3" x14ac:dyDescent="0.25">
      <c r="A31" t="s">
        <v>170</v>
      </c>
      <c r="B31" t="s">
        <v>270</v>
      </c>
    </row>
    <row r="32" spans="1:3" x14ac:dyDescent="0.25">
      <c r="A32" t="s">
        <v>170</v>
      </c>
      <c r="B32" t="s">
        <v>353</v>
      </c>
    </row>
    <row r="33" spans="1:2" x14ac:dyDescent="0.25">
      <c r="A33" t="s">
        <v>170</v>
      </c>
      <c r="B33" t="s">
        <v>263</v>
      </c>
    </row>
    <row r="34" spans="1:2" x14ac:dyDescent="0.25">
      <c r="A34" t="s">
        <v>170</v>
      </c>
      <c r="B34" t="s">
        <v>249</v>
      </c>
    </row>
    <row r="35" spans="1:2" x14ac:dyDescent="0.25">
      <c r="A35" t="s">
        <v>170</v>
      </c>
      <c r="B35" t="s">
        <v>253</v>
      </c>
    </row>
    <row r="36" spans="1:2" x14ac:dyDescent="0.25">
      <c r="A36" t="s">
        <v>170</v>
      </c>
      <c r="B36" t="s">
        <v>248</v>
      </c>
    </row>
    <row r="37" spans="1:2" x14ac:dyDescent="0.25">
      <c r="A37" t="s">
        <v>170</v>
      </c>
      <c r="B37" t="s">
        <v>366</v>
      </c>
    </row>
    <row r="38" spans="1:2" x14ac:dyDescent="0.25">
      <c r="A38" t="s">
        <v>170</v>
      </c>
      <c r="B38" t="s">
        <v>513</v>
      </c>
    </row>
    <row r="39" spans="1:2" x14ac:dyDescent="0.25">
      <c r="A39" t="s">
        <v>170</v>
      </c>
      <c r="B39" t="s">
        <v>266</v>
      </c>
    </row>
    <row r="40" spans="1:2" x14ac:dyDescent="0.25">
      <c r="A40" t="s">
        <v>170</v>
      </c>
      <c r="B40" t="s">
        <v>265</v>
      </c>
    </row>
    <row r="41" spans="1:2" x14ac:dyDescent="0.25">
      <c r="A41" t="s">
        <v>170</v>
      </c>
      <c r="B41" t="s">
        <v>257</v>
      </c>
    </row>
    <row r="42" spans="1:2" x14ac:dyDescent="0.25">
      <c r="A42" t="s">
        <v>170</v>
      </c>
      <c r="B42" t="s">
        <v>251</v>
      </c>
    </row>
    <row r="43" spans="1:2" x14ac:dyDescent="0.25">
      <c r="A43" t="s">
        <v>170</v>
      </c>
      <c r="B43" t="s">
        <v>252</v>
      </c>
    </row>
    <row r="44" spans="1:2" x14ac:dyDescent="0.25">
      <c r="A44" t="s">
        <v>303</v>
      </c>
      <c r="B44" t="s">
        <v>260</v>
      </c>
    </row>
    <row r="45" spans="1:2" x14ac:dyDescent="0.25">
      <c r="A45" t="s">
        <v>303</v>
      </c>
      <c r="B45" t="s">
        <v>261</v>
      </c>
    </row>
    <row r="46" spans="1:2" x14ac:dyDescent="0.25">
      <c r="A46" t="s">
        <v>303</v>
      </c>
      <c r="B46" t="s">
        <v>262</v>
      </c>
    </row>
    <row r="47" spans="1:2" x14ac:dyDescent="0.25">
      <c r="A47" t="s">
        <v>303</v>
      </c>
      <c r="B47" t="s">
        <v>178</v>
      </c>
    </row>
    <row r="48" spans="1:2" x14ac:dyDescent="0.25">
      <c r="A48" t="s">
        <v>303</v>
      </c>
      <c r="B48" t="s">
        <v>258</v>
      </c>
    </row>
    <row r="49" spans="1:2" x14ac:dyDescent="0.25">
      <c r="A49" t="s">
        <v>303</v>
      </c>
      <c r="B49" t="s">
        <v>269</v>
      </c>
    </row>
    <row r="50" spans="1:2" x14ac:dyDescent="0.25">
      <c r="A50" t="s">
        <v>303</v>
      </c>
      <c r="B50" t="s">
        <v>177</v>
      </c>
    </row>
    <row r="51" spans="1:2" x14ac:dyDescent="0.25">
      <c r="A51" t="s">
        <v>303</v>
      </c>
      <c r="B51" t="s">
        <v>510</v>
      </c>
    </row>
    <row r="52" spans="1:2" x14ac:dyDescent="0.25">
      <c r="A52" t="s">
        <v>303</v>
      </c>
      <c r="B52" t="s">
        <v>259</v>
      </c>
    </row>
    <row r="53" spans="1:2" x14ac:dyDescent="0.25">
      <c r="A53" t="s">
        <v>303</v>
      </c>
      <c r="B53" t="s">
        <v>371</v>
      </c>
    </row>
    <row r="54" spans="1:2" x14ac:dyDescent="0.25">
      <c r="A54" t="s">
        <v>303</v>
      </c>
      <c r="B54" t="s">
        <v>367</v>
      </c>
    </row>
    <row r="55" spans="1:2" x14ac:dyDescent="0.25">
      <c r="A55" t="s">
        <v>171</v>
      </c>
      <c r="B55" t="s">
        <v>144</v>
      </c>
    </row>
    <row r="56" spans="1:2" x14ac:dyDescent="0.25">
      <c r="A56" t="s">
        <v>171</v>
      </c>
      <c r="B56" t="s">
        <v>147</v>
      </c>
    </row>
    <row r="57" spans="1:2" x14ac:dyDescent="0.25">
      <c r="A57" t="s">
        <v>171</v>
      </c>
      <c r="B57" t="s">
        <v>150</v>
      </c>
    </row>
    <row r="58" spans="1:2" x14ac:dyDescent="0.25">
      <c r="A58" t="s">
        <v>171</v>
      </c>
      <c r="B58" t="s">
        <v>153</v>
      </c>
    </row>
    <row r="59" spans="1:2" x14ac:dyDescent="0.25">
      <c r="A59" t="s">
        <v>171</v>
      </c>
      <c r="B59" t="s">
        <v>156</v>
      </c>
    </row>
    <row r="60" spans="1:2" x14ac:dyDescent="0.25">
      <c r="A60" t="s">
        <v>171</v>
      </c>
      <c r="B60" t="s">
        <v>159</v>
      </c>
    </row>
    <row r="61" spans="1:2" x14ac:dyDescent="0.25">
      <c r="A61" t="s">
        <v>171</v>
      </c>
      <c r="B61" t="s">
        <v>164</v>
      </c>
    </row>
    <row r="62" spans="1:2" x14ac:dyDescent="0.25">
      <c r="A62" t="s">
        <v>171</v>
      </c>
      <c r="B62" t="s">
        <v>275</v>
      </c>
    </row>
    <row r="63" spans="1:2" x14ac:dyDescent="0.25">
      <c r="A63" t="s">
        <v>171</v>
      </c>
      <c r="B63" t="s">
        <v>166</v>
      </c>
    </row>
    <row r="64" spans="1:2" x14ac:dyDescent="0.25">
      <c r="A64" t="s">
        <v>171</v>
      </c>
      <c r="B64" t="s">
        <v>167</v>
      </c>
    </row>
    <row r="65" spans="1:2" x14ac:dyDescent="0.25">
      <c r="A65" t="s">
        <v>171</v>
      </c>
      <c r="B65" t="s">
        <v>168</v>
      </c>
    </row>
    <row r="66" spans="1:2" x14ac:dyDescent="0.25">
      <c r="A66" t="s">
        <v>171</v>
      </c>
      <c r="B66" t="s">
        <v>169</v>
      </c>
    </row>
    <row r="67" spans="1:2" x14ac:dyDescent="0.25">
      <c r="A67" t="s">
        <v>171</v>
      </c>
      <c r="B67" t="s">
        <v>141</v>
      </c>
    </row>
    <row r="68" spans="1:2" x14ac:dyDescent="0.25">
      <c r="A68" t="s">
        <v>171</v>
      </c>
      <c r="B68" t="s">
        <v>185</v>
      </c>
    </row>
    <row r="69" spans="1:2" x14ac:dyDescent="0.25">
      <c r="A69" t="s">
        <v>172</v>
      </c>
      <c r="B69" t="s">
        <v>342</v>
      </c>
    </row>
    <row r="70" spans="1:2" x14ac:dyDescent="0.25">
      <c r="A70" t="s">
        <v>172</v>
      </c>
      <c r="B70" t="s">
        <v>143</v>
      </c>
    </row>
    <row r="71" spans="1:2" x14ac:dyDescent="0.25">
      <c r="A71" t="s">
        <v>172</v>
      </c>
      <c r="B71" t="s">
        <v>369</v>
      </c>
    </row>
    <row r="72" spans="1:2" x14ac:dyDescent="0.25">
      <c r="A72" t="s">
        <v>172</v>
      </c>
      <c r="B72" t="s">
        <v>146</v>
      </c>
    </row>
    <row r="73" spans="1:2" x14ac:dyDescent="0.25">
      <c r="A73" t="s">
        <v>172</v>
      </c>
      <c r="B73" t="s">
        <v>140</v>
      </c>
    </row>
    <row r="74" spans="1:2" x14ac:dyDescent="0.25">
      <c r="A74" t="s">
        <v>172</v>
      </c>
      <c r="B74" t="s">
        <v>149</v>
      </c>
    </row>
    <row r="75" spans="1:2" x14ac:dyDescent="0.25">
      <c r="A75" t="s">
        <v>172</v>
      </c>
      <c r="B75" t="s">
        <v>152</v>
      </c>
    </row>
    <row r="76" spans="1:2" x14ac:dyDescent="0.25">
      <c r="A76" t="s">
        <v>172</v>
      </c>
      <c r="B76" t="s">
        <v>155</v>
      </c>
    </row>
    <row r="77" spans="1:2" x14ac:dyDescent="0.25">
      <c r="A77" t="s">
        <v>172</v>
      </c>
      <c r="B77" t="s">
        <v>158</v>
      </c>
    </row>
    <row r="78" spans="1:2" x14ac:dyDescent="0.25">
      <c r="A78" t="s">
        <v>172</v>
      </c>
      <c r="B78" t="s">
        <v>161</v>
      </c>
    </row>
    <row r="79" spans="1:2" x14ac:dyDescent="0.25">
      <c r="A79" t="s">
        <v>172</v>
      </c>
      <c r="B79" t="s">
        <v>163</v>
      </c>
    </row>
    <row r="80" spans="1:2" x14ac:dyDescent="0.25">
      <c r="A80" t="s">
        <v>184</v>
      </c>
      <c r="B80" t="s">
        <v>142</v>
      </c>
    </row>
    <row r="81" spans="1:2" x14ac:dyDescent="0.25">
      <c r="A81" t="s">
        <v>184</v>
      </c>
      <c r="B81" t="s">
        <v>274</v>
      </c>
    </row>
    <row r="82" spans="1:2" x14ac:dyDescent="0.25">
      <c r="A82" t="s">
        <v>184</v>
      </c>
      <c r="B82" t="s">
        <v>145</v>
      </c>
    </row>
    <row r="83" spans="1:2" x14ac:dyDescent="0.25">
      <c r="A83" t="s">
        <v>184</v>
      </c>
      <c r="B83" t="s">
        <v>148</v>
      </c>
    </row>
    <row r="84" spans="1:2" x14ac:dyDescent="0.25">
      <c r="A84" t="s">
        <v>184</v>
      </c>
      <c r="B84" t="s">
        <v>151</v>
      </c>
    </row>
    <row r="85" spans="1:2" x14ac:dyDescent="0.25">
      <c r="A85" t="s">
        <v>184</v>
      </c>
      <c r="B85" t="s">
        <v>154</v>
      </c>
    </row>
    <row r="86" spans="1:2" x14ac:dyDescent="0.25">
      <c r="A86" t="s">
        <v>184</v>
      </c>
      <c r="B86" t="s">
        <v>160</v>
      </c>
    </row>
    <row r="87" spans="1:2" x14ac:dyDescent="0.25">
      <c r="A87" t="s">
        <v>184</v>
      </c>
      <c r="B87" t="s">
        <v>157</v>
      </c>
    </row>
    <row r="88" spans="1:2" x14ac:dyDescent="0.25">
      <c r="A88" t="s">
        <v>184</v>
      </c>
      <c r="B88" t="s">
        <v>162</v>
      </c>
    </row>
    <row r="89" spans="1:2" x14ac:dyDescent="0.25">
      <c r="A89" t="s">
        <v>184</v>
      </c>
      <c r="B89" t="s">
        <v>165</v>
      </c>
    </row>
  </sheetData>
  <sheetProtection sheet="1" objects="1" scenarios="1"/>
  <phoneticPr fontId="14" type="noConversion"/>
  <dataValidations count="1">
    <dataValidation type="list" allowBlank="1" showInputMessage="1" showErrorMessage="1" sqref="A21:A89" xr:uid="{00000000-0002-0000-0500-00000000000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3"/>
  <sheetViews>
    <sheetView workbookViewId="0">
      <selection activeCell="F19" sqref="F19"/>
    </sheetView>
  </sheetViews>
  <sheetFormatPr defaultRowHeight="15" x14ac:dyDescent="0.25"/>
  <cols>
    <col min="1" max="1" width="73.7109375" bestFit="1" customWidth="1"/>
  </cols>
  <sheetData>
    <row r="1" spans="1:1" ht="61.9" customHeight="1" x14ac:dyDescent="0.25">
      <c r="A1" s="192" t="s">
        <v>386</v>
      </c>
    </row>
    <row r="2" spans="1:1" x14ac:dyDescent="0.25">
      <c r="A2" t="s">
        <v>383</v>
      </c>
    </row>
    <row r="3" spans="1:1" x14ac:dyDescent="0.25">
      <c r="A3" t="s">
        <v>387</v>
      </c>
    </row>
    <row r="4" spans="1:1" x14ac:dyDescent="0.25">
      <c r="A4" t="s">
        <v>388</v>
      </c>
    </row>
    <row r="5" spans="1:1" x14ac:dyDescent="0.25">
      <c r="A5" t="s">
        <v>384</v>
      </c>
    </row>
    <row r="6" spans="1:1" x14ac:dyDescent="0.25">
      <c r="A6" t="s">
        <v>385</v>
      </c>
    </row>
    <row r="7" spans="1:1" ht="14.45" customHeight="1" x14ac:dyDescent="0.25"/>
    <row r="8" spans="1:1" ht="14.45" customHeight="1" x14ac:dyDescent="0.25"/>
    <row r="9" spans="1:1" ht="14.45" customHeight="1" x14ac:dyDescent="0.25"/>
    <row r="10" spans="1:1" ht="14.45" customHeight="1" x14ac:dyDescent="0.25"/>
    <row r="11" spans="1:1" ht="14.45" customHeight="1" x14ac:dyDescent="0.25"/>
    <row r="12" spans="1:1" ht="14.45" customHeight="1" x14ac:dyDescent="0.25"/>
    <row r="13" spans="1:1" ht="14.4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2023-06-23T00:35:09Z</cp:lastPrinted>
  <dcterms:created xsi:type="dcterms:W3CDTF">2015-06-05T18:19:34Z</dcterms:created>
  <dcterms:modified xsi:type="dcterms:W3CDTF">2023-06-23T00:38:43Z</dcterms:modified>
</cp:coreProperties>
</file>