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workbookProtection workbookAlgorithmName="SHA-512" workbookHashValue="EktS4/ulKd228BBYI0cK6qe/20qGnkFFgbtAyLjL4qtTGfo/2bRh+8oDmzqt16dEJ4cx19XrfrTH9c5W9JLtwA==" workbookSaltValue="yhyo4PInMqt9wkbXiaNE5w==" workbookSpinCount="100000" lockStructure="1"/>
  <bookViews>
    <workbookView xWindow="-105" yWindow="-45" windowWidth="20730" windowHeight="1170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 name="Остальное" sheetId="10" r:id="rId7"/>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7" i="1" l="1"/>
  <c r="E68" i="1"/>
  <c r="E69" i="1"/>
  <c r="F67" i="1"/>
  <c r="F68" i="1"/>
  <c r="F69" i="1"/>
  <c r="G67" i="1"/>
  <c r="G68" i="1"/>
  <c r="G69" i="1"/>
  <c r="H67" i="1"/>
  <c r="H68" i="1"/>
  <c r="H69" i="1"/>
  <c r="I67" i="1"/>
  <c r="I68" i="1"/>
  <c r="I69" i="1"/>
  <c r="J67" i="1"/>
  <c r="J68" i="1"/>
  <c r="J69" i="1"/>
  <c r="K67" i="1"/>
  <c r="K68" i="1"/>
  <c r="K69" i="1"/>
  <c r="L67" i="1"/>
  <c r="L68" i="1"/>
  <c r="L69" i="1"/>
  <c r="M67" i="1"/>
  <c r="M68" i="1"/>
  <c r="M69" i="1"/>
  <c r="N67" i="1"/>
  <c r="N68" i="1"/>
  <c r="N69" i="1"/>
  <c r="O67" i="1"/>
  <c r="O68" i="1"/>
  <c r="O69" i="1"/>
  <c r="P67" i="1"/>
  <c r="P68" i="1"/>
  <c r="P69" i="1"/>
  <c r="Q67" i="1"/>
  <c r="Q68" i="1"/>
  <c r="Q69" i="1"/>
  <c r="R67" i="1"/>
  <c r="R68" i="1"/>
  <c r="R69" i="1"/>
  <c r="S67" i="1"/>
  <c r="S68" i="1"/>
  <c r="S69" i="1"/>
  <c r="T67" i="1"/>
  <c r="T68" i="1"/>
  <c r="T69" i="1"/>
  <c r="U67" i="1"/>
  <c r="U68" i="1"/>
  <c r="U69" i="1"/>
  <c r="V67" i="1"/>
  <c r="V68" i="1"/>
  <c r="V69" i="1"/>
  <c r="W67" i="1"/>
  <c r="W68" i="1"/>
  <c r="W69" i="1"/>
  <c r="X67" i="1"/>
  <c r="X68" i="1"/>
  <c r="X69" i="1"/>
  <c r="Y67" i="1"/>
  <c r="Y68" i="1"/>
  <c r="Y69" i="1"/>
  <c r="Z67" i="1"/>
  <c r="Z68" i="1"/>
  <c r="Z69" i="1"/>
  <c r="AA67" i="1"/>
  <c r="AA68" i="1"/>
  <c r="AA69" i="1"/>
  <c r="AB67" i="1"/>
  <c r="AB68" i="1"/>
  <c r="AB69" i="1"/>
  <c r="AC67" i="1"/>
  <c r="AC68" i="1"/>
  <c r="AC69" i="1"/>
  <c r="AD67" i="1"/>
  <c r="AD68" i="1"/>
  <c r="AD69"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B15" i="9" l="1"/>
  <c r="H19" i="9" l="1"/>
  <c r="H20" i="9"/>
  <c r="H21" i="9"/>
  <c r="E65" i="1" l="1"/>
  <c r="E66" i="1"/>
  <c r="F65" i="1"/>
  <c r="F66" i="1"/>
  <c r="G65" i="1"/>
  <c r="G66" i="1"/>
  <c r="H65" i="1"/>
  <c r="H66" i="1"/>
  <c r="I66" i="1"/>
  <c r="J66" i="1"/>
  <c r="K66" i="1"/>
  <c r="L66" i="1"/>
  <c r="M66" i="1"/>
  <c r="N66" i="1"/>
  <c r="O66" i="1"/>
  <c r="P66" i="1"/>
  <c r="Q66" i="1"/>
  <c r="E64" i="1"/>
  <c r="C4" i="5" l="1"/>
  <c r="C17" i="5" l="1"/>
  <c r="C2" i="3"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5" i="3"/>
  <c r="A26" i="3"/>
  <c r="A27" i="3"/>
  <c r="A13" i="3"/>
  <c r="A14" i="3"/>
  <c r="A15" i="3"/>
  <c r="A17" i="3"/>
  <c r="A18" i="3"/>
  <c r="A19" i="3"/>
  <c r="A20" i="3"/>
  <c r="A21" i="3"/>
  <c r="A22" i="3"/>
  <c r="A23" i="3"/>
  <c r="A24" i="3"/>
  <c r="C13" i="5"/>
  <c r="C3" i="5"/>
  <c r="C5" i="5"/>
  <c r="C6" i="5"/>
  <c r="C7" i="5"/>
  <c r="C8" i="5"/>
  <c r="C9" i="5"/>
  <c r="C10" i="5"/>
  <c r="C11" i="5"/>
  <c r="C12" i="5"/>
  <c r="C14" i="5"/>
  <c r="C15" i="5"/>
  <c r="C16" i="5"/>
  <c r="C2" i="5"/>
  <c r="A10" i="9" l="1"/>
  <c r="A9" i="3" s="1"/>
  <c r="A9" i="9"/>
  <c r="A8" i="3" s="1"/>
  <c r="G22" i="9"/>
  <c r="E3" i="1"/>
  <c r="E4" i="1" s="1"/>
  <c r="Q3" i="1"/>
  <c r="AD2" i="1" s="1"/>
  <c r="P3" i="1"/>
  <c r="P4" i="1" s="1"/>
  <c r="O3" i="1"/>
  <c r="O4" i="1" s="1"/>
  <c r="H22" i="9"/>
  <c r="H3" i="1"/>
  <c r="H4" i="1" s="1"/>
  <c r="I3" i="1"/>
  <c r="L3" i="1"/>
  <c r="L4" i="1" s="1"/>
  <c r="L5" i="1" s="1"/>
  <c r="N3" i="1"/>
  <c r="N4" i="1" s="1"/>
  <c r="N5" i="1" s="1"/>
  <c r="J3" i="1"/>
  <c r="D6" i="3"/>
  <c r="B37" i="3"/>
  <c r="K3" i="1"/>
  <c r="K4" i="1" s="1"/>
  <c r="M3" i="1"/>
  <c r="G3" i="1"/>
  <c r="G4" i="1" s="1"/>
  <c r="A6" i="3"/>
  <c r="F3" i="1"/>
  <c r="E5" i="1" l="1"/>
  <c r="P5" i="1"/>
  <c r="P6" i="1" s="1"/>
  <c r="O5" i="1"/>
  <c r="Q4" i="1"/>
  <c r="I4" i="1"/>
  <c r="J4" i="1"/>
  <c r="H5" i="1"/>
  <c r="L6" i="1"/>
  <c r="N6" i="1"/>
  <c r="M4" i="1"/>
  <c r="K5" i="1"/>
  <c r="G5" i="1"/>
  <c r="F4" i="1"/>
  <c r="P7" i="1" l="1"/>
  <c r="P8" i="1" s="1"/>
  <c r="P9" i="1" s="1"/>
  <c r="P10" i="1" s="1"/>
  <c r="Q5" i="1"/>
  <c r="E6" i="1"/>
  <c r="O6" i="1"/>
  <c r="I5" i="1"/>
  <c r="J5" i="1"/>
  <c r="N7" i="1"/>
  <c r="M5" i="1"/>
  <c r="F5" i="1"/>
  <c r="G6" i="1"/>
  <c r="H6" i="1"/>
  <c r="L7" i="1"/>
  <c r="K6" i="1"/>
  <c r="O7" i="1" l="1"/>
  <c r="O8" i="1" s="1"/>
  <c r="O9" i="1" s="1"/>
  <c r="O10" i="1" s="1"/>
  <c r="P11" i="1"/>
  <c r="E7" i="1"/>
  <c r="Q6" i="1"/>
  <c r="J6" i="1"/>
  <c r="N8" i="1"/>
  <c r="F6" i="1"/>
  <c r="I6" i="1"/>
  <c r="G7" i="1"/>
  <c r="M6" i="1"/>
  <c r="H7" i="1"/>
  <c r="L8" i="1"/>
  <c r="K7" i="1"/>
  <c r="O11" i="1" l="1"/>
  <c r="O12" i="1" s="1"/>
  <c r="O13" i="1" s="1"/>
  <c r="P12" i="1"/>
  <c r="P13" i="1" s="1"/>
  <c r="P14" i="1" s="1"/>
  <c r="E8" i="1"/>
  <c r="E9" i="1" s="1"/>
  <c r="Q7" i="1"/>
  <c r="E10" i="1"/>
  <c r="J7" i="1"/>
  <c r="G8" i="1"/>
  <c r="N9" i="1"/>
  <c r="I7" i="1"/>
  <c r="F7" i="1"/>
  <c r="M7" i="1"/>
  <c r="H8" i="1"/>
  <c r="L9" i="1"/>
  <c r="K8" i="1"/>
  <c r="O14" i="1" l="1"/>
  <c r="O15" i="1" s="1"/>
  <c r="P15" i="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Q8" i="1"/>
  <c r="Q9" i="1" s="1"/>
  <c r="J8" i="1"/>
  <c r="E11" i="1"/>
  <c r="E12" i="1" s="1"/>
  <c r="E13" i="1" s="1"/>
  <c r="E14" i="1" s="1"/>
  <c r="E15" i="1" s="1"/>
  <c r="M8" i="1"/>
  <c r="N10" i="1"/>
  <c r="I8" i="1"/>
  <c r="G9" i="1"/>
  <c r="H9" i="1"/>
  <c r="F8" i="1"/>
  <c r="K9" i="1"/>
  <c r="L10" i="1"/>
  <c r="O16" i="1" l="1"/>
  <c r="O17" i="1" s="1"/>
  <c r="O18" i="1" s="1"/>
  <c r="P56" i="1"/>
  <c r="P57"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AC56" i="1" l="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AC57" i="1"/>
  <c r="M13" i="1"/>
  <c r="M14" i="1" s="1"/>
  <c r="P58" i="1"/>
  <c r="AC58"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F13" i="1" l="1"/>
  <c r="F14" i="1" s="1"/>
  <c r="F15" i="1" s="1"/>
  <c r="O56" i="1"/>
  <c r="E63" i="1"/>
  <c r="R66" i="1" s="1"/>
  <c r="M15" i="1"/>
  <c r="M16" i="1" s="1"/>
  <c r="M17" i="1" s="1"/>
  <c r="P59" i="1"/>
  <c r="P60" i="1" s="1"/>
  <c r="P61" i="1" s="1"/>
  <c r="P62" i="1" s="1"/>
  <c r="P63" i="1" s="1"/>
  <c r="P64" i="1" s="1"/>
  <c r="P65" i="1" s="1"/>
  <c r="AC66" i="1" s="1"/>
  <c r="J12" i="1"/>
  <c r="J13" i="1" s="1"/>
  <c r="J14" i="1" s="1"/>
  <c r="J15" i="1" s="1"/>
  <c r="J16" i="1" s="1"/>
  <c r="Q58" i="1"/>
  <c r="N14" i="1"/>
  <c r="N15" i="1" s="1"/>
  <c r="O57" i="1"/>
  <c r="I15" i="1"/>
  <c r="I16" i="1" s="1"/>
  <c r="I17" i="1" s="1"/>
  <c r="H16" i="1"/>
  <c r="H17" i="1" s="1"/>
  <c r="K13" i="1"/>
  <c r="K14" i="1" s="1"/>
  <c r="L16" i="1"/>
  <c r="G14" i="1"/>
  <c r="R61" i="1" l="1"/>
  <c r="R64" i="1"/>
  <c r="R65" i="1"/>
  <c r="R63" i="1"/>
  <c r="AC64" i="1"/>
  <c r="AC65" i="1"/>
  <c r="F16" i="1"/>
  <c r="F17" i="1" s="1"/>
  <c r="R62" i="1"/>
  <c r="R59" i="1"/>
  <c r="R57" i="1"/>
  <c r="R58" i="1"/>
  <c r="R56" i="1"/>
  <c r="R60" i="1"/>
  <c r="N16" i="1"/>
  <c r="N17" i="1" s="1"/>
  <c r="AC63" i="1"/>
  <c r="AC59" i="1"/>
  <c r="AC60" i="1"/>
  <c r="AC62" i="1"/>
  <c r="AC61" i="1"/>
  <c r="J17" i="1"/>
  <c r="J18" i="1" s="1"/>
  <c r="Q59" i="1"/>
  <c r="Q60" i="1" s="1"/>
  <c r="O58" i="1"/>
  <c r="F18" i="1"/>
  <c r="F19" i="1" s="1"/>
  <c r="H18" i="1"/>
  <c r="H19" i="1" s="1"/>
  <c r="H20" i="1" s="1"/>
  <c r="H21" i="1" s="1"/>
  <c r="H22" i="1" s="1"/>
  <c r="I18" i="1"/>
  <c r="I19" i="1" s="1"/>
  <c r="I20" i="1" s="1"/>
  <c r="I21" i="1" s="1"/>
  <c r="I22" i="1" s="1"/>
  <c r="I23" i="1" s="1"/>
  <c r="I24" i="1" s="1"/>
  <c r="M18" i="1"/>
  <c r="M19" i="1" s="1"/>
  <c r="M20" i="1" s="1"/>
  <c r="L17" i="1"/>
  <c r="K15" i="1"/>
  <c r="K16" i="1" s="1"/>
  <c r="K17" i="1" s="1"/>
  <c r="G15" i="1"/>
  <c r="N18" i="1" l="1"/>
  <c r="J19" i="1"/>
  <c r="J20" i="1" s="1"/>
  <c r="J21" i="1" s="1"/>
  <c r="AD56" i="1"/>
  <c r="Q61" i="1"/>
  <c r="AD61" i="1" s="1"/>
  <c r="AD60" i="1"/>
  <c r="AD57" i="1"/>
  <c r="AD58" i="1"/>
  <c r="AD59" i="1"/>
  <c r="O59" i="1"/>
  <c r="H23" i="1"/>
  <c r="K18" i="1"/>
  <c r="K19" i="1" s="1"/>
  <c r="K20" i="1" s="1"/>
  <c r="K21" i="1" s="1"/>
  <c r="K22" i="1" s="1"/>
  <c r="K23" i="1" s="1"/>
  <c r="K24" i="1" s="1"/>
  <c r="I25" i="1"/>
  <c r="I26" i="1" s="1"/>
  <c r="AD4" i="1"/>
  <c r="AD6" i="1"/>
  <c r="AD5" i="1"/>
  <c r="AD7" i="1"/>
  <c r="AD15" i="1"/>
  <c r="AD13" i="1"/>
  <c r="M21" i="1"/>
  <c r="N19" i="1"/>
  <c r="L18" i="1"/>
  <c r="G16" i="1"/>
  <c r="G17" i="1" s="1"/>
  <c r="F20" i="1"/>
  <c r="Q62" i="1" l="1"/>
  <c r="J22" i="1"/>
  <c r="J23" i="1" s="1"/>
  <c r="J24" i="1" s="1"/>
  <c r="O60" i="1"/>
  <c r="N20" i="1"/>
  <c r="K25" i="1"/>
  <c r="K26" i="1" s="1"/>
  <c r="K27" i="1" s="1"/>
  <c r="H24" i="1"/>
  <c r="AD18" i="1"/>
  <c r="AD21" i="1"/>
  <c r="G18" i="1"/>
  <c r="G19" i="1" s="1"/>
  <c r="G20" i="1" s="1"/>
  <c r="I27" i="1"/>
  <c r="M22" i="1"/>
  <c r="N21" i="1"/>
  <c r="N22" i="1" s="1"/>
  <c r="L19" i="1"/>
  <c r="L20" i="1" s="1"/>
  <c r="F21" i="1"/>
  <c r="AD62" i="1" l="1"/>
  <c r="Q63" i="1"/>
  <c r="Q64" i="1" s="1"/>
  <c r="Q65" i="1" s="1"/>
  <c r="AD66" i="1" s="1"/>
  <c r="AB59" i="1"/>
  <c r="O61" i="1"/>
  <c r="AB56" i="1"/>
  <c r="AB60" i="1"/>
  <c r="AB58" i="1"/>
  <c r="AB57" i="1"/>
  <c r="K28" i="1"/>
  <c r="K29" i="1" s="1"/>
  <c r="AD26" i="1"/>
  <c r="G21" i="1"/>
  <c r="G22" i="1" s="1"/>
  <c r="G23" i="1" s="1"/>
  <c r="H25" i="1"/>
  <c r="I28" i="1"/>
  <c r="M23" i="1"/>
  <c r="J25" i="1"/>
  <c r="N23" i="1"/>
  <c r="L21" i="1"/>
  <c r="F22" i="1"/>
  <c r="AD19" i="1" l="1"/>
  <c r="AD64" i="1"/>
  <c r="AD65" i="1"/>
  <c r="AD63" i="1"/>
  <c r="AB61" i="1"/>
  <c r="O62" i="1"/>
  <c r="O63" i="1" s="1"/>
  <c r="O64" i="1" s="1"/>
  <c r="O65" i="1" s="1"/>
  <c r="AB66" i="1" s="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AB64" i="1" l="1"/>
  <c r="AB65" i="1"/>
  <c r="AB63" i="1"/>
  <c r="AB62" i="1"/>
  <c r="L25" i="1"/>
  <c r="L26" i="1" s="1"/>
  <c r="J47" i="1"/>
  <c r="J48" i="1" s="1"/>
  <c r="H30" i="1"/>
  <c r="H31" i="1" s="1"/>
  <c r="H32" i="1" s="1"/>
  <c r="M25" i="1"/>
  <c r="M26" i="1" s="1"/>
  <c r="K31" i="1"/>
  <c r="I30" i="1"/>
  <c r="G25" i="1"/>
  <c r="G26" i="1" s="1"/>
  <c r="N25" i="1"/>
  <c r="AC18" i="1"/>
  <c r="AC4" i="1"/>
  <c r="AC13" i="1"/>
  <c r="AC5" i="1"/>
  <c r="AC6" i="1"/>
  <c r="AC7" i="1"/>
  <c r="AC21" i="1"/>
  <c r="AC19" i="1"/>
  <c r="AC15" i="1"/>
  <c r="F25" i="1"/>
  <c r="J49" i="1" l="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AB26" i="1"/>
  <c r="AC26" i="1"/>
  <c r="F26" i="1"/>
  <c r="F27" i="1" s="1"/>
  <c r="N26" i="1"/>
  <c r="AB2" i="1"/>
  <c r="AB5" i="1"/>
  <c r="AB4" i="1"/>
  <c r="AB7" i="1"/>
  <c r="AB6" i="1"/>
  <c r="AB13" i="1"/>
  <c r="AB15" i="1"/>
  <c r="AB18" i="1"/>
  <c r="AB21" i="1"/>
  <c r="AB19" i="1"/>
  <c r="J50" i="1" l="1"/>
  <c r="J51" i="1" s="1"/>
  <c r="H47" i="1"/>
  <c r="H48" i="1" s="1"/>
  <c r="I47" i="1"/>
  <c r="I48" i="1" s="1"/>
  <c r="I49" i="1" s="1"/>
  <c r="I50" i="1" s="1"/>
  <c r="K43" i="1"/>
  <c r="N27" i="1"/>
  <c r="M28" i="1"/>
  <c r="M29" i="1" s="1"/>
  <c r="L30" i="1"/>
  <c r="G29" i="1"/>
  <c r="F28" i="1"/>
  <c r="J52" i="1" l="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N29" i="1" l="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C25" i="1"/>
  <c r="AB25" i="1"/>
  <c r="J55" i="1" l="1"/>
  <c r="J56" i="1" s="1"/>
  <c r="J57" i="1" s="1"/>
  <c r="J58" i="1" s="1"/>
  <c r="J59" i="1" s="1"/>
  <c r="J60" i="1" s="1"/>
  <c r="J61" i="1" s="1"/>
  <c r="J62" i="1" s="1"/>
  <c r="J63" i="1" s="1"/>
  <c r="J64" i="1" s="1"/>
  <c r="I53" i="1"/>
  <c r="H51" i="1"/>
  <c r="H52" i="1" s="1"/>
  <c r="H53" i="1" s="1"/>
  <c r="H54" i="1" s="1"/>
  <c r="H55" i="1" s="1"/>
  <c r="H56" i="1" s="1"/>
  <c r="H57" i="1" s="1"/>
  <c r="H58" i="1" s="1"/>
  <c r="H59" i="1" s="1"/>
  <c r="H60" i="1" s="1"/>
  <c r="H61" i="1" s="1"/>
  <c r="H62" i="1" s="1"/>
  <c r="H63" i="1" s="1"/>
  <c r="H64" i="1" s="1"/>
  <c r="U66" i="1" s="1"/>
  <c r="F46" i="1"/>
  <c r="F47" i="1" s="1"/>
  <c r="F48" i="1" s="1"/>
  <c r="F49" i="1" s="1"/>
  <c r="F50" i="1" s="1"/>
  <c r="G46" i="1"/>
  <c r="K46" i="1"/>
  <c r="AD33" i="1"/>
  <c r="AD32" i="1"/>
  <c r="M32" i="1"/>
  <c r="M33" i="1" s="1"/>
  <c r="L34" i="1"/>
  <c r="AC30" i="1"/>
  <c r="AB30" i="1"/>
  <c r="N31" i="1"/>
  <c r="J65" i="1" l="1"/>
  <c r="W66" i="1" s="1"/>
  <c r="W65" i="1"/>
  <c r="U64" i="1"/>
  <c r="U65" i="1"/>
  <c r="U2" i="1"/>
  <c r="W46" i="1"/>
  <c r="W47" i="1"/>
  <c r="W39" i="1"/>
  <c r="W54" i="1"/>
  <c r="W44" i="1"/>
  <c r="W40" i="1"/>
  <c r="W60" i="1"/>
  <c r="W63" i="1"/>
  <c r="W50" i="1"/>
  <c r="W53" i="1"/>
  <c r="W52" i="1"/>
  <c r="W45" i="1"/>
  <c r="W41" i="1"/>
  <c r="W42" i="1"/>
  <c r="W43" i="1"/>
  <c r="W51" i="1"/>
  <c r="W49" i="1"/>
  <c r="W61" i="1"/>
  <c r="W57" i="1"/>
  <c r="W58" i="1"/>
  <c r="W62" i="1"/>
  <c r="W2" i="1"/>
  <c r="U58" i="1"/>
  <c r="U63" i="1"/>
  <c r="U61" i="1"/>
  <c r="U57" i="1"/>
  <c r="U56" i="1"/>
  <c r="U59" i="1"/>
  <c r="U62" i="1"/>
  <c r="U60" i="1"/>
  <c r="I54" i="1"/>
  <c r="I55" i="1" s="1"/>
  <c r="I56" i="1" s="1"/>
  <c r="I57" i="1" s="1"/>
  <c r="I58" i="1" s="1"/>
  <c r="I59" i="1" s="1"/>
  <c r="I60" i="1" s="1"/>
  <c r="I61" i="1" s="1"/>
  <c r="I62" i="1" s="1"/>
  <c r="U52" i="1"/>
  <c r="U42" i="1"/>
  <c r="U45" i="1"/>
  <c r="U47" i="1"/>
  <c r="U54" i="1"/>
  <c r="U49" i="1"/>
  <c r="U50" i="1"/>
  <c r="U44" i="1"/>
  <c r="U55" i="1"/>
  <c r="U53" i="1"/>
  <c r="U51" i="1"/>
  <c r="U41" i="1"/>
  <c r="U48" i="1"/>
  <c r="U46" i="1"/>
  <c r="U40" i="1"/>
  <c r="U39" i="1"/>
  <c r="U43" i="1"/>
  <c r="F51" i="1"/>
  <c r="G47" i="1"/>
  <c r="K47" i="1"/>
  <c r="L35" i="1"/>
  <c r="M34" i="1"/>
  <c r="AB31" i="1"/>
  <c r="N32" i="1"/>
  <c r="N33" i="1" s="1"/>
  <c r="AC31" i="1"/>
  <c r="AB29" i="1"/>
  <c r="AC29" i="1"/>
  <c r="W48" i="1" l="1"/>
  <c r="W59" i="1"/>
  <c r="W55" i="1"/>
  <c r="W56" i="1"/>
  <c r="W64" i="1"/>
  <c r="I63" i="1"/>
  <c r="I64" i="1" s="1"/>
  <c r="F52" i="1"/>
  <c r="AD36" i="1"/>
  <c r="G48" i="1"/>
  <c r="K48" i="1"/>
  <c r="L36" i="1"/>
  <c r="M35" i="1"/>
  <c r="AC17" i="1"/>
  <c r="N34" i="1"/>
  <c r="N35" i="1" s="1"/>
  <c r="N36" i="1" s="1"/>
  <c r="N37" i="1" s="1"/>
  <c r="N38" i="1" s="1"/>
  <c r="N39" i="1" s="1"/>
  <c r="N40" i="1" s="1"/>
  <c r="N41" i="1" s="1"/>
  <c r="N42" i="1" s="1"/>
  <c r="AB17" i="1"/>
  <c r="I65" i="1" l="1"/>
  <c r="V66" i="1" s="1"/>
  <c r="V51" i="1"/>
  <c r="V65" i="1"/>
  <c r="V64" i="1"/>
  <c r="V2" i="1"/>
  <c r="V44" i="1"/>
  <c r="V43" i="1"/>
  <c r="V50" i="1"/>
  <c r="V60" i="1"/>
  <c r="V41" i="1"/>
  <c r="V48" i="1"/>
  <c r="V55" i="1"/>
  <c r="V47" i="1"/>
  <c r="V59" i="1"/>
  <c r="V62" i="1"/>
  <c r="V63" i="1"/>
  <c r="V54" i="1"/>
  <c r="V39" i="1"/>
  <c r="V42" i="1"/>
  <c r="V52" i="1"/>
  <c r="V49" i="1"/>
  <c r="V53" i="1"/>
  <c r="V45" i="1"/>
  <c r="V40" i="1"/>
  <c r="V46" i="1"/>
  <c r="V56" i="1"/>
  <c r="V58" i="1"/>
  <c r="V61" i="1"/>
  <c r="V57" i="1"/>
  <c r="AD37" i="1"/>
  <c r="F53" i="1"/>
  <c r="F54" i="1" s="1"/>
  <c r="F55" i="1" s="1"/>
  <c r="F56" i="1" s="1"/>
  <c r="F57" i="1" s="1"/>
  <c r="F58" i="1" s="1"/>
  <c r="F59" i="1" s="1"/>
  <c r="F60" i="1" s="1"/>
  <c r="F61" i="1" s="1"/>
  <c r="F62" i="1" s="1"/>
  <c r="K49" i="1"/>
  <c r="K50" i="1" s="1"/>
  <c r="G49" i="1"/>
  <c r="N43" i="1"/>
  <c r="AC42" i="1"/>
  <c r="AB40" i="1"/>
  <c r="AC40" i="1"/>
  <c r="AC41" i="1"/>
  <c r="AC39" i="1"/>
  <c r="AB32" i="1"/>
  <c r="AC38" i="1"/>
  <c r="AC32" i="1"/>
  <c r="L37" i="1"/>
  <c r="AC37" i="1"/>
  <c r="AC16" i="1"/>
  <c r="AB37" i="1"/>
  <c r="AB16" i="1"/>
  <c r="M36" i="1"/>
  <c r="AB36" i="1"/>
  <c r="AC36" i="1"/>
  <c r="AB34" i="1"/>
  <c r="AB22" i="1"/>
  <c r="AC34" i="1"/>
  <c r="AC22" i="1"/>
  <c r="F63" i="1" l="1"/>
  <c r="F64" i="1" s="1"/>
  <c r="S66" i="1" s="1"/>
  <c r="S2" i="1"/>
  <c r="AB38" i="1"/>
  <c r="AB41" i="1"/>
  <c r="AB39" i="1"/>
  <c r="AB42" i="1"/>
  <c r="K51" i="1"/>
  <c r="G50" i="1"/>
  <c r="AD38" i="1"/>
  <c r="AC43" i="1"/>
  <c r="N44" i="1"/>
  <c r="AB43" i="1"/>
  <c r="L38" i="1"/>
  <c r="L39" i="1" s="1"/>
  <c r="AC33" i="1"/>
  <c r="AB33" i="1"/>
  <c r="M37" i="1"/>
  <c r="S54" i="1" l="1"/>
  <c r="S58" i="1"/>
  <c r="S52" i="1"/>
  <c r="S51" i="1"/>
  <c r="S53" i="1"/>
  <c r="S64" i="1"/>
  <c r="S65" i="1"/>
  <c r="S50" i="1"/>
  <c r="S49" i="1"/>
  <c r="S39" i="1"/>
  <c r="S48" i="1"/>
  <c r="S56" i="1"/>
  <c r="S63" i="1"/>
  <c r="S60" i="1"/>
  <c r="S45" i="1"/>
  <c r="S42" i="1"/>
  <c r="S46" i="1"/>
  <c r="S44" i="1"/>
  <c r="S55" i="1"/>
  <c r="S47" i="1"/>
  <c r="S40" i="1"/>
  <c r="S43" i="1"/>
  <c r="S41" i="1"/>
  <c r="S57" i="1"/>
  <c r="S62" i="1"/>
  <c r="S59" i="1"/>
  <c r="S61" i="1"/>
  <c r="K52" i="1"/>
  <c r="K53" i="1" s="1"/>
  <c r="G51" i="1"/>
  <c r="AD39" i="1"/>
  <c r="AC35" i="1"/>
  <c r="AC23" i="1"/>
  <c r="AB46" i="1"/>
  <c r="N45" i="1"/>
  <c r="AC44" i="1"/>
  <c r="L40" i="1"/>
  <c r="M38" i="1"/>
  <c r="M39" i="1" s="1"/>
  <c r="M40" i="1" s="1"/>
  <c r="N46" i="1" l="1"/>
  <c r="N47" i="1" s="1"/>
  <c r="N48" i="1" s="1"/>
  <c r="G52" i="1"/>
  <c r="K54" i="1"/>
  <c r="K55" i="1" s="1"/>
  <c r="K56" i="1" s="1"/>
  <c r="K57" i="1" s="1"/>
  <c r="K58" i="1" s="1"/>
  <c r="K59" i="1" s="1"/>
  <c r="K60" i="1" s="1"/>
  <c r="K61" i="1" s="1"/>
  <c r="K62" i="1" s="1"/>
  <c r="K63" i="1" s="1"/>
  <c r="K64" i="1" s="1"/>
  <c r="K65" i="1" s="1"/>
  <c r="X66" i="1" s="1"/>
  <c r="AC47" i="1"/>
  <c r="AB23" i="1"/>
  <c r="AC46" i="1"/>
  <c r="AB47" i="1"/>
  <c r="M41" i="1"/>
  <c r="L41" i="1"/>
  <c r="X64" i="1" l="1"/>
  <c r="X65" i="1"/>
  <c r="X2" i="1"/>
  <c r="X56" i="1"/>
  <c r="X62" i="1"/>
  <c r="X60" i="1"/>
  <c r="X59" i="1"/>
  <c r="X61" i="1"/>
  <c r="X63" i="1"/>
  <c r="X58" i="1"/>
  <c r="X57" i="1"/>
  <c r="X54" i="1"/>
  <c r="X44" i="1"/>
  <c r="X53" i="1"/>
  <c r="X46" i="1"/>
  <c r="X49" i="1"/>
  <c r="X50" i="1"/>
  <c r="X48" i="1"/>
  <c r="X45" i="1"/>
  <c r="X52" i="1"/>
  <c r="X41" i="1"/>
  <c r="G53" i="1"/>
  <c r="X43" i="1"/>
  <c r="X39" i="1"/>
  <c r="X51" i="1"/>
  <c r="X47" i="1"/>
  <c r="X40" i="1"/>
  <c r="X42" i="1"/>
  <c r="X55" i="1"/>
  <c r="AC45" i="1"/>
  <c r="N49" i="1"/>
  <c r="N50" i="1" s="1"/>
  <c r="AB35" i="1"/>
  <c r="AC28" i="1"/>
  <c r="AD22" i="1"/>
  <c r="AB44" i="1"/>
  <c r="AC48" i="1"/>
  <c r="AC50" i="1"/>
  <c r="AC49"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G54" i="1" l="1"/>
  <c r="R2" i="1"/>
  <c r="N51" i="1"/>
  <c r="N52" i="1" s="1"/>
  <c r="N53" i="1" s="1"/>
  <c r="N54" i="1" s="1"/>
  <c r="N55" i="1" s="1"/>
  <c r="AB45" i="1"/>
  <c r="AC55" i="1"/>
  <c r="AC11" i="1"/>
  <c r="AC27" i="1"/>
  <c r="AC10" i="1"/>
  <c r="AC8" i="1"/>
  <c r="AC24" i="1"/>
  <c r="AC9" i="1"/>
  <c r="AC12" i="1"/>
  <c r="M43" i="1"/>
  <c r="L43" i="1"/>
  <c r="N56" i="1" l="1"/>
  <c r="N57" i="1" s="1"/>
  <c r="N58" i="1" s="1"/>
  <c r="G55" i="1"/>
  <c r="AC3" i="1"/>
  <c r="AC20" i="1"/>
  <c r="AC14" i="1"/>
  <c r="AC53" i="1"/>
  <c r="AC51" i="1"/>
  <c r="AC54" i="1"/>
  <c r="AC52"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N59" i="1" l="1"/>
  <c r="G56" i="1"/>
  <c r="AA2"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N60" i="1" l="1"/>
  <c r="N61" i="1" s="1"/>
  <c r="N62" i="1" s="1"/>
  <c r="N63" i="1" s="1"/>
  <c r="N64" i="1" s="1"/>
  <c r="N65" i="1" s="1"/>
  <c r="AA66" i="1" s="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AA64" i="1" l="1"/>
  <c r="AA65" i="1"/>
  <c r="G61" i="1"/>
  <c r="T2" i="1" s="1"/>
  <c r="AA62" i="1"/>
  <c r="AA61" i="1"/>
  <c r="AA60" i="1"/>
  <c r="AA59" i="1"/>
  <c r="AA58" i="1"/>
  <c r="AA63" i="1"/>
  <c r="AA57" i="1"/>
  <c r="AA56" i="1"/>
  <c r="AA29" i="1"/>
  <c r="AA53" i="1"/>
  <c r="AA47" i="1"/>
  <c r="AA11" i="1"/>
  <c r="AA22" i="1"/>
  <c r="AA18" i="1"/>
  <c r="AA27" i="1"/>
  <c r="AA14" i="1"/>
  <c r="AA3" i="1"/>
  <c r="AA34" i="1"/>
  <c r="AA31" i="1"/>
  <c r="AA26" i="1"/>
  <c r="AA16" i="1"/>
  <c r="AA55" i="1"/>
  <c r="AA12" i="1"/>
  <c r="AA54" i="1"/>
  <c r="AA37" i="1"/>
  <c r="AA39" i="1"/>
  <c r="AA42" i="1"/>
  <c r="AA30" i="1"/>
  <c r="AA5" i="1"/>
  <c r="AA4" i="1"/>
  <c r="AA49" i="1"/>
  <c r="AA46" i="1"/>
  <c r="AA23" i="1"/>
  <c r="AA8" i="1"/>
  <c r="AA24" i="1"/>
  <c r="AA43" i="1"/>
  <c r="AA21" i="1"/>
  <c r="AA40" i="1"/>
  <c r="AA15" i="1"/>
  <c r="AA36" i="1"/>
  <c r="AA52" i="1"/>
  <c r="AA20" i="1"/>
  <c r="AA50" i="1"/>
  <c r="AA44" i="1"/>
  <c r="AA25" i="1"/>
  <c r="AA13" i="1"/>
  <c r="AA35" i="1"/>
  <c r="AA28" i="1"/>
  <c r="AA41" i="1"/>
  <c r="AA51" i="1"/>
  <c r="AA45" i="1"/>
  <c r="AA48" i="1"/>
  <c r="AA32" i="1"/>
  <c r="AA17" i="1"/>
  <c r="AA7" i="1"/>
  <c r="AA6" i="1"/>
  <c r="AA19" i="1"/>
  <c r="AA33" i="1"/>
  <c r="AA38" i="1"/>
  <c r="AA9" i="1"/>
  <c r="AA10"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G62" i="1" l="1"/>
  <c r="G63" i="1" s="1"/>
  <c r="M51" i="1"/>
  <c r="M52" i="1" s="1"/>
  <c r="M53" i="1" s="1"/>
  <c r="L50" i="1"/>
  <c r="G64" i="1" l="1"/>
  <c r="T64" i="1" s="1"/>
  <c r="T30" i="1"/>
  <c r="T4" i="1"/>
  <c r="T46" i="1"/>
  <c r="T42" i="1"/>
  <c r="T47" i="1"/>
  <c r="T48" i="1"/>
  <c r="T59" i="1"/>
  <c r="T32" i="1"/>
  <c r="T52" i="1"/>
  <c r="T62" i="1"/>
  <c r="T7" i="1"/>
  <c r="T63" i="1"/>
  <c r="M54" i="1"/>
  <c r="M55" i="1" s="1"/>
  <c r="L51" i="1"/>
  <c r="L52" i="1" s="1"/>
  <c r="L53" i="1" s="1"/>
  <c r="T20" i="1" l="1"/>
  <c r="T26" i="1"/>
  <c r="T19" i="1"/>
  <c r="T33" i="1"/>
  <c r="T21" i="1"/>
  <c r="T27" i="1"/>
  <c r="T43" i="1"/>
  <c r="T25" i="1"/>
  <c r="T13" i="1"/>
  <c r="T51" i="1"/>
  <c r="T53" i="1"/>
  <c r="T6" i="1"/>
  <c r="T45" i="1"/>
  <c r="T18" i="1"/>
  <c r="T44" i="1"/>
  <c r="T60" i="1"/>
  <c r="T9" i="1"/>
  <c r="T35" i="1"/>
  <c r="T65" i="1"/>
  <c r="T66" i="1"/>
  <c r="T38" i="1"/>
  <c r="T41" i="1"/>
  <c r="T8" i="1"/>
  <c r="T14" i="1"/>
  <c r="T40" i="1"/>
  <c r="T54" i="1"/>
  <c r="T15" i="1"/>
  <c r="T37" i="1"/>
  <c r="T31" i="1"/>
  <c r="T39" i="1"/>
  <c r="T17" i="1"/>
  <c r="T16" i="1"/>
  <c r="T58" i="1"/>
  <c r="T36" i="1"/>
  <c r="T28" i="1"/>
  <c r="T12" i="1"/>
  <c r="T3" i="1"/>
  <c r="T57" i="1"/>
  <c r="T50" i="1"/>
  <c r="T61" i="1"/>
  <c r="T34" i="1"/>
  <c r="T5" i="1"/>
  <c r="T23" i="1"/>
  <c r="T56" i="1"/>
  <c r="T11" i="1"/>
  <c r="T24" i="1"/>
  <c r="T49" i="1"/>
  <c r="T55" i="1"/>
  <c r="T22" i="1"/>
  <c r="T29" i="1"/>
  <c r="T10" i="1"/>
  <c r="M56" i="1"/>
  <c r="M57" i="1" s="1"/>
  <c r="L54" i="1"/>
  <c r="M58" i="1" l="1"/>
  <c r="M59" i="1" s="1"/>
  <c r="M60" i="1" s="1"/>
  <c r="Z2" i="1"/>
  <c r="L55" i="1"/>
  <c r="L56" i="1" s="1"/>
  <c r="L57" i="1" s="1"/>
  <c r="L58" i="1" s="1"/>
  <c r="L59" i="1" s="1"/>
  <c r="L60" i="1" s="1"/>
  <c r="L61" i="1" s="1"/>
  <c r="L62" i="1" s="1"/>
  <c r="L63" i="1" s="1"/>
  <c r="L64" i="1" s="1"/>
  <c r="L65" i="1" s="1"/>
  <c r="Y66" i="1" s="1"/>
  <c r="Y64" i="1" l="1"/>
  <c r="Y65" i="1"/>
  <c r="M61" i="1"/>
  <c r="Y61" i="1"/>
  <c r="Y58" i="1"/>
  <c r="Y57" i="1"/>
  <c r="Y56" i="1"/>
  <c r="Y63" i="1"/>
  <c r="Y59" i="1"/>
  <c r="Y60" i="1"/>
  <c r="Y62" i="1"/>
  <c r="Y20" i="1"/>
  <c r="M62" i="1" l="1"/>
  <c r="Y22" i="1"/>
  <c r="Y52" i="1"/>
  <c r="Y53" i="1"/>
  <c r="Y47" i="1"/>
  <c r="Y2" i="1"/>
  <c r="Y4" i="1"/>
  <c r="Y5" i="1"/>
  <c r="Y51" i="1"/>
  <c r="Y33" i="1"/>
  <c r="Y34" i="1"/>
  <c r="Y31" i="1"/>
  <c r="Y43" i="1"/>
  <c r="Y32" i="1"/>
  <c r="Y21" i="1"/>
  <c r="Y13" i="1"/>
  <c r="Y11" i="1"/>
  <c r="Y10" i="1"/>
  <c r="Y15" i="1"/>
  <c r="Y49" i="1"/>
  <c r="Y19" i="1"/>
  <c r="Y6" i="1"/>
  <c r="Y26" i="1"/>
  <c r="Y30" i="1"/>
  <c r="Y55" i="1"/>
  <c r="Y14" i="1"/>
  <c r="Y45" i="1"/>
  <c r="Y28" i="1"/>
  <c r="Y38" i="1"/>
  <c r="Y41" i="1"/>
  <c r="Y8" i="1"/>
  <c r="Y9" i="1"/>
  <c r="Y7" i="1"/>
  <c r="Y3" i="1"/>
  <c r="Y42" i="1"/>
  <c r="Y37" i="1"/>
  <c r="Y48" i="1"/>
  <c r="Y54" i="1"/>
  <c r="Y40" i="1"/>
  <c r="Y46" i="1"/>
  <c r="Y18" i="1"/>
  <c r="Y24" i="1"/>
  <c r="Y23" i="1"/>
  <c r="Y39" i="1"/>
  <c r="Y27" i="1"/>
  <c r="Y35" i="1"/>
  <c r="Y44" i="1"/>
  <c r="Y29" i="1"/>
  <c r="Y25" i="1"/>
  <c r="Y50" i="1"/>
  <c r="Y17" i="1"/>
  <c r="Y12" i="1"/>
  <c r="Y16" i="1"/>
  <c r="Y36" i="1"/>
  <c r="M63" i="1" l="1"/>
  <c r="M64" i="1" s="1"/>
  <c r="M65" i="1" s="1"/>
  <c r="Z66" i="1" s="1"/>
  <c r="Z22" i="1"/>
  <c r="Z4" i="1"/>
  <c r="Z38" i="1"/>
  <c r="Z24" i="1"/>
  <c r="Z29" i="1"/>
  <c r="Z6" i="1"/>
  <c r="Z17" i="1"/>
  <c r="Z31" i="1"/>
  <c r="Z13" i="1"/>
  <c r="Z12" i="1"/>
  <c r="Z49" i="1"/>
  <c r="Z21" i="1"/>
  <c r="Z46" i="1"/>
  <c r="Z23" i="1"/>
  <c r="Z27" i="1"/>
  <c r="Z33" i="1"/>
  <c r="Z48" i="1"/>
  <c r="Z56" i="1"/>
  <c r="Z53" i="1"/>
  <c r="Z47" i="1"/>
  <c r="Z36" i="1"/>
  <c r="Z32" i="1"/>
  <c r="Z25" i="1"/>
  <c r="Z26" i="1"/>
  <c r="Z41" i="1"/>
  <c r="Z64" i="1" l="1"/>
  <c r="Z65" i="1"/>
  <c r="Z59" i="1"/>
  <c r="Z63" i="1"/>
  <c r="Z40" i="1"/>
  <c r="Z19" i="1"/>
  <c r="Z39" i="1"/>
  <c r="Z14" i="1"/>
  <c r="Z54" i="1"/>
  <c r="Z20" i="1"/>
  <c r="Z51" i="1"/>
  <c r="Z28" i="1"/>
  <c r="Z7" i="1"/>
  <c r="Z55" i="1"/>
  <c r="Z50" i="1"/>
  <c r="Z8" i="1"/>
  <c r="Z60" i="1"/>
  <c r="Z34" i="1"/>
  <c r="Z57" i="1"/>
  <c r="Z18" i="1"/>
  <c r="Z30" i="1"/>
  <c r="Z10" i="1"/>
  <c r="Z37" i="1"/>
  <c r="Z42" i="1"/>
  <c r="Z35" i="1"/>
  <c r="Z3" i="1"/>
  <c r="Z58" i="1"/>
  <c r="Z43" i="1"/>
  <c r="Z9" i="1"/>
  <c r="Z61" i="1"/>
  <c r="Z16" i="1"/>
  <c r="Z45" i="1"/>
  <c r="Z44" i="1"/>
  <c r="Z52" i="1"/>
  <c r="Z15" i="1"/>
  <c r="Z62" i="1"/>
  <c r="Z5" i="1"/>
  <c r="Z11" i="1"/>
</calcChain>
</file>

<file path=xl/comments1.xml><?xml version="1.0" encoding="utf-8"?>
<comments xmlns="http://schemas.openxmlformats.org/spreadsheetml/2006/main">
  <authors>
    <author>Андрей Щербаков</author>
  </authors>
  <commentList>
    <comment ref="B8" author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text>
        <r>
          <rPr>
            <sz val="9"/>
            <color indexed="81"/>
            <rFont val="Tahoma"/>
            <family val="2"/>
            <charset val="204"/>
          </rPr>
          <t xml:space="preserve">Выбрать:
</t>
        </r>
      </text>
    </comment>
    <comment ref="F8" authorId="0">
      <text>
        <r>
          <rPr>
            <sz val="9"/>
            <color indexed="81"/>
            <rFont val="Tahoma"/>
            <family val="2"/>
            <charset val="204"/>
          </rPr>
          <t>Выбрать</t>
        </r>
        <r>
          <rPr>
            <b/>
            <sz val="9"/>
            <color indexed="81"/>
            <rFont val="Tahoma"/>
            <family val="2"/>
            <charset val="204"/>
          </rPr>
          <t xml:space="preserve">:
</t>
        </r>
      </text>
    </comment>
    <comment ref="G8" authorId="0">
      <text>
        <r>
          <rPr>
            <sz val="9"/>
            <color indexed="81"/>
            <rFont val="Tahoma"/>
            <family val="2"/>
            <charset val="204"/>
          </rPr>
          <t>Выбрать:</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<sst xmlns="http://schemas.openxmlformats.org/spreadsheetml/2006/main" count="863" uniqueCount="527">
  <si>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</si>
  <si>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</si>
  <si>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</si>
  <si>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</si>
  <si>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</si>
  <si>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</si>
  <si>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</si>
  <si>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</si>
  <si>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</si>
  <si>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</si>
  <si>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</si>
  <si>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</si>
  <si>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</si>
  <si>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</si>
  <si>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</si>
  <si>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</si>
  <si>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</si>
  <si>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</si>
  <si>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</si>
  <si>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</si>
  <si>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</si>
  <si>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</si>
  <si>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</si>
  <si>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</si>
  <si>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</si>
  <si>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</si>
  <si>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</si>
  <si>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</si>
  <si>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</si>
  <si>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</si>
  <si>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</si>
  <si>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</si>
  <si>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</si>
  <si>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</si>
  <si>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</si>
  <si>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</si>
  <si>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</si>
  <si>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</si>
  <si>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</si>
  <si>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</si>
  <si>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</si>
  <si>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</si>
  <si>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</si>
  <si>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</si>
  <si>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</si>
  <si>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</si>
  <si>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</si>
  <si>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</si>
  <si>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</si>
  <si>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</si>
  <si>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</si>
  <si>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</si>
  <si>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</si>
  <si>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</si>
  <si>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</si>
  <si>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</si>
  <si>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</si>
  <si>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</si>
  <si>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</si>
  <si>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</si>
  <si>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</si>
  <si>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</si>
  <si>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</si>
  <si>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</si>
  <si>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</si>
  <si>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</si>
  <si>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</si>
  <si>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</si>
  <si>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</si>
  <si>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</si>
  <si>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</si>
  <si>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</si>
  <si>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</si>
  <si>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</si>
  <si>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</si>
  <si>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</si>
  <si>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</si>
  <si>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</si>
  <si>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</si>
  <si>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</si>
  <si>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</si>
  <si>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</si>
  <si>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</si>
  <si>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</si>
  <si>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</si>
  <si>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</si>
  <si>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</si>
  <si>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</si>
  <si>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</si>
  <si>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</si>
  <si>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</si>
  <si>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</si>
  <si>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</si>
  <si>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</si>
  <si>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</si>
  <si>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</si>
  <si>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</si>
  <si>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</si>
  <si>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</si>
  <si>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</si>
  <si>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</si>
  <si>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</si>
  <si>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</si>
  <si>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</si>
  <si>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</si>
  <si>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</si>
  <si>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</si>
  <si>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</si>
  <si>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</si>
  <si>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</si>
  <si>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</si>
  <si>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</si>
  <si>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</si>
  <si>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</si>
  <si>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</si>
  <si>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</si>
  <si>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</si>
  <si>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</si>
  <si>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</si>
  <si>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</si>
  <si>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</si>
  <si>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</si>
  <si>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</si>
  <si>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</si>
  <si>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</si>
  <si>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</si>
  <si>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</si>
  <si>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</si>
  <si>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</si>
  <si>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</si>
  <si>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</si>
  <si>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</si>
  <si>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</si>
  <si>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</si>
  <si>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</si>
  <si>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</si>
  <si>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</si>
  <si>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</si>
  <si>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</si>
  <si>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</si>
  <si>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</si>
  <si>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</si>
  <si>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</si>
  <si>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</si>
  <si>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</si>
  <si>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</si>
  <si>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</si>
  <si>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</si>
  <si>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</si>
  <si>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</si>
  <si>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</si>
  <si>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</si>
  <si>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</si>
  <si>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</si>
  <si>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</si>
  <si>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</si>
  <si>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</si>
  <si>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</si>
  <si>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</si>
  <si>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</si>
  <si>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</si>
  <si>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</si>
  <si>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</si>
  <si>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</si>
  <si>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</si>
  <si>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</si>
  <si>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</si>
  <si>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</si>
  <si>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</si>
  <si>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</si>
  <si>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</si>
  <si>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</si>
  <si>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</si>
  <si>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</si>
  <si>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</si>
  <si>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</si>
  <si>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</si>
  <si>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</si>
  <si>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</si>
  <si>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</si>
  <si>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</si>
  <si>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</si>
  <si>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</si>
  <si>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</si>
  <si>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</si>
  <si>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</si>
  <si>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</si>
  <si>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</si>
  <si>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</si>
  <si>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</si>
  <si>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</si>
  <si>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</si>
  <si>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</si>
  <si>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</si>
  <si>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</si>
  <si>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</si>
  <si>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</si>
  <si>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</si>
  <si>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</si>
  <si>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</si>
  <si>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</si>
  <si>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</si>
  <si>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</si>
  <si>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</si>
  <si>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</si>
  <si>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</si>
  <si>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</si>
  <si>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</si>
  <si>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</si>
  <si>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</si>
  <si>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</si>
  <si>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</si>
  <si>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</si>
  <si>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</si>
  <si>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</si>
  <si>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</si>
  <si>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</si>
  <si>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</si>
  <si>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</si>
  <si>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</si>
  <si>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</si>
  <si>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</si>
  <si>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</si>
  <si>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</si>
  <si>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</si>
  <si>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</si>
  <si>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</si>
  <si>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</si>
  <si>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</si>
  <si>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</si>
  <si>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</si>
  <si>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</si>
  <si>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</si>
  <si>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</si>
  <si>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</si>
  <si>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</si>
  <si>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</si>
  <si>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</si>
  <si>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</si>
  <si>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</si>
  <si>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</si>
  <si>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</si>
  <si>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</si>
  <si>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</si>
  <si>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</si>
  <si>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</si>
  <si>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</si>
  <si>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</si>
  <si>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</si>
  <si>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</si>
  <si>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</si>
  <si>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</si>
  <si>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</si>
  <si>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</si>
  <si>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</si>
  <si>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</si>
  <si>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</si>
  <si>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</si>
  <si>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</si>
  <si>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</si>
  <si>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</si>
  <si>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</si>
  <si>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</si>
  <si>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</si>
  <si>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</si>
  <si>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</si>
  <si>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</si>
  <si>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</si>
  <si>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</si>
  <si>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</si>
  <si>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</si>
  <si>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</si>
  <si>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</si>
  <si>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</si>
  <si>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</si>
  <si>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</si>
  <si>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</si>
  <si>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</si>
  <si>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</si>
  <si>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</si>
  <si>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</si>
  <si>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</si>
  <si>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</si>
  <si>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</si>
  <si>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</si>
  <si>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</si>
  <si>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</si>
  <si>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</si>
  <si>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</si>
  <si>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</si>
  <si>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</si>
  <si>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</si>
  <si>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</si>
  <si>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</si>
  <si>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</si>
  <si>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</si>
  <si>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</si>
  <si>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</si>
  <si>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</si>
  <si>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</si>
  <si>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</si>
  <si>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</si>
  <si>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</si>
  <si>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</si>
  <si>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</si>
  <si>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</si>
  <si>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</si>
  <si>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</si>
  <si>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</si>
  <si>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</si>
  <si>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</si>
  <si>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Извлечён</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</si>
  <si>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</si>
  <si>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</si>
  <si>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</si>
  <si>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</si>
  <si>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</si>
  <si>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</si>
  <si>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</si>
  <si>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</si>
  <si>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</si>
  <si>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</si>
  <si>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</si>
  <si>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</si>
  <si>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</si>
  <si>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</si>
  <si>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</si>
  <si>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</si>
  <si>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</si>
  <si>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</si>
  <si>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</si>
  <si>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</si>
  <si>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</si>
  <si>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</si>
  <si>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</si>
  <si>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</si>
  <si>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</si>
  <si>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</si>
  <si>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</si>
  <si>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</si>
  <si>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</si>
  <si>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</si>
  <si>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</si>
  <si>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</si>
  <si>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</si>
  <si>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</si>
  <si>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</si>
  <si>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</si>
  <si>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</si>
  <si>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</si>
  <si>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</si>
  <si>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</si>
  <si>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</si>
  <si>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</si>
  <si>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</si>
  <si>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</si>
  <si>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</si>
  <si>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</si>
  <si>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</si>
  <si>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</si>
  <si>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Gaia Second</t>
  </si>
  <si>
    <t>Runthrough NS Intermediate</t>
  </si>
  <si>
    <t>Runthrough NS Hypercoat</t>
  </si>
  <si>
    <t>Whisper MS</t>
  </si>
  <si>
    <t>Winn 200T</t>
  </si>
  <si>
    <t>BasixTOUCH</t>
  </si>
  <si>
    <t>Соболев Д.А.</t>
  </si>
  <si>
    <t>Шатунова А.И.</t>
  </si>
  <si>
    <t>RadiFocus</t>
  </si>
  <si>
    <t>Дибиров М.А.</t>
  </si>
  <si>
    <t>Perouse Medical FLAMINGO</t>
  </si>
  <si>
    <t>Фисура О.И.</t>
  </si>
  <si>
    <t>Gaia Third</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</si>
  <si>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</si>
  <si>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</si>
  <si>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</si>
  <si>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</si>
  <si>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</si>
  <si>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</si>
  <si>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</si>
  <si>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</si>
  <si>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</si>
  <si>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</si>
  <si>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</si>
  <si>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</si>
  <si>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</si>
  <si>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</si>
  <si>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</si>
  <si>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</si>
  <si>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</si>
  <si>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50 ml</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</si>
  <si>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</si>
  <si>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</si>
  <si>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</si>
  <si>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</si>
  <si>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</si>
  <si>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</si>
  <si>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</si>
  <si>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</si>
  <si>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</si>
  <si>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</si>
  <si>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</si>
  <si>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</si>
  <si>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</si>
  <si>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Правый</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</si>
  <si>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</si>
  <si>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</si>
  <si>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</si>
  <si>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</si>
  <si>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</si>
  <si>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</si>
  <si>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</si>
  <si>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</si>
  <si>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</si>
  <si>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</si>
  <si>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</si>
  <si>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</si>
  <si>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</si>
  <si>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</si>
  <si>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</si>
  <si>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</si>
  <si>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</si>
  <si>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</si>
  <si>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</si>
  <si>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</si>
  <si>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</si>
  <si>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</si>
  <si>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</si>
  <si>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</si>
  <si>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</si>
  <si>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</si>
  <si>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</si>
  <si>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</si>
  <si>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</si>
  <si>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</si>
  <si>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</si>
  <si>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</si>
  <si>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</si>
  <si>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</si>
  <si>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</si>
  <si>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</si>
  <si>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</si>
  <si>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</si>
  <si>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</si>
  <si>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</si>
  <si>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</si>
  <si>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</si>
  <si>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</si>
  <si>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</si>
  <si>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</si>
  <si>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</si>
  <si>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</si>
  <si>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</si>
  <si>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</si>
  <si>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</si>
  <si>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</si>
  <si>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</si>
  <si>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</si>
  <si>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</si>
  <si>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</si>
  <si>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</si>
  <si>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</si>
  <si>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</si>
  <si>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</si>
  <si>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</si>
  <si>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</si>
  <si>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</si>
  <si>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</si>
  <si>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</si>
  <si>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</si>
  <si>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</si>
  <si>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</si>
  <si>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</si>
  <si>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</si>
  <si>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</si>
  <si>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</si>
  <si>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</si>
  <si>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</si>
  <si>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</si>
  <si>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</si>
  <si>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</si>
  <si>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</si>
  <si>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</si>
  <si>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</si>
  <si>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</si>
  <si>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</si>
  <si>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</si>
  <si>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</si>
  <si>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</si>
  <si>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</si>
  <si>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</si>
  <si>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</si>
  <si>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</si>
  <si>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</si>
  <si>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</si>
  <si>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</si>
  <si>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</si>
  <si>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</si>
  <si>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</si>
  <si>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</si>
  <si>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</si>
  <si>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</si>
  <si>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</si>
  <si>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</si>
  <si>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</si>
  <si>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</si>
  <si>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</si>
  <si>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</si>
  <si>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</si>
  <si>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</si>
  <si>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</si>
  <si>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Оставлен</t>
  </si>
  <si>
    <t>лучевой</t>
  </si>
  <si>
    <t>Соболева Ю.А.</t>
  </si>
  <si>
    <t>"МИМ". Тюмень.</t>
  </si>
  <si>
    <t>И/О старшей мед.сетры: А.М. Казанцева</t>
  </si>
  <si>
    <t>250 ml</t>
  </si>
  <si>
    <r>
      <rPr>
        <sz val="11"/>
        <color theme="1"/>
        <rFont val="Calibri"/>
        <family val="2"/>
        <charset val="204"/>
        <scheme val="minor"/>
      </rPr>
      <t>1) Контроль места пункции, повязка  на руке до 6 ч.</t>
    </r>
    <r>
      <rPr>
        <u/>
        <sz val="11"/>
        <color theme="1"/>
        <rFont val="Calibri"/>
        <family val="2"/>
        <charset val="204"/>
        <scheme val="minor"/>
      </rPr>
      <t xml:space="preserve"> </t>
    </r>
  </si>
  <si>
    <t>Устье ствола ЛК  катетеризировано проводниковым катетером Launcher EBU 3,5 6Fr. Коронарный проводник Fielder, 1 шт заведен в дистальный сегмент ПНА. Реканализация артерии выполнена аспирационным катетером Hunter 6F, получены тромботические массы 2-4 мм. В зону нестабильного значимого стеноза среднего сегмента имплантирован DES Resolute Integtity 3.0-18 мм. Постдилатация стента БК NC Колибри 3,0-10, давлением 16 атм. На контрольных съемках стент раскрыт удовлетворительно, признаков краевых диссекций, тромбоза, экстравазации контрастного вещества не выявлено. Антеградный кровоток по ПНА восстановлен до TIMI III, верхушечный сегмент контрастируется. Ангиографический удовлетворительный. Пациентка в стабильном состоянии транспортируется в ПРИТ для дальнейшего наблюдения и лечения.</t>
  </si>
  <si>
    <t>03:40</t>
  </si>
  <si>
    <t>Соколов Н.Я.</t>
  </si>
  <si>
    <t>стеноз устья и тела ствола ЛКА 40%</t>
  </si>
  <si>
    <t>стентирование проксимального и среднего сегмента от 09.04.2023 (3DES). На настоящей ангиографии определяется рестеноз в зоне проксимального стента не более 30%, стенты без признаков тромбирования. Устьевой 90% стеноз крупной СВ (ветвь-донор для ПКА). Антеградный кровоток по ПНА, СВ и ДВ сохранен, TIMI III.</t>
  </si>
  <si>
    <t xml:space="preserve">хроническая тотальная окклюзия на уровне пркосимального сегмента, антеградный  кровоток TIMI 0. Выраженные коллатерали их СВ ПНА с ретроградным контрастированием ЗМЖВ и ЗБВ. </t>
  </si>
  <si>
    <t>хроническая тотальная окклюзия на уровне пркосимального сегмента, антеградный  кровоток TIMI 0. Слабые коллатерали в ОА.</t>
  </si>
  <si>
    <t xml:space="preserve">1) Конрольл места пункции. Повязка на руке не менее 8ч. 2) Консервативная стратегия </t>
  </si>
  <si>
    <t>100 ml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</si>
</sst>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_-;\-* #,##0_-;_-* &quot;-&quot;_-;_-@_-"/>
    <numFmt numFmtId="165" formatCode="[$-F800]dddd\,\ mmmm\ dd\,\ yyyy"/>
    <numFmt numFmtId="166" formatCode="h:mm;@"/>
    <numFmt numFmtId="167" formatCode="&quot;&quot;&quot;&quot;"/>
  </numFmts>
  <fonts count="7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sz val="10"/>
      <color theme="1"/>
      <name val="Aharoni"/>
      <charset val="177"/>
    </font>
    <font>
      <u/>
      <sz val="10"/>
      <color theme="1"/>
      <name val="Calibri"/>
      <family val="2"/>
      <charset val="204"/>
      <scheme val="minor"/>
    </font>
    <font>
      <sz val="9"/>
      <color theme="1"/>
      <name val="Berlin Sans FB Demi"/>
      <family val="2"/>
    </font>
    <font>
      <b/>
      <u/>
      <sz val="9"/>
      <color theme="1"/>
      <name val="Berlin Sans FB Demi"/>
      <family val="2"/>
    </font>
    <font>
      <b/>
      <sz val="12"/>
      <color theme="1"/>
      <name val="Arial Narrow"/>
      <family val="2"/>
      <charset val="204"/>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164"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7" fillId="9" borderId="21" applyNumberFormat="0" applyAlignment="0" applyProtection="0"/>
  </cellStyleXfs>
  <cellXfs count="246">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21" fillId="0" borderId="0" xfId="0" applyFont="1" applyAlignment="1">
      <alignment horizontal="left"/>
    </xf>
    <xf numFmtId="0" fontId="0" fillId="0" borderId="0" xfId="0" applyAlignment="1">
      <alignment vertical="center"/>
    </xf>
    <xf numFmtId="0" fontId="0" fillId="0" borderId="2"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6"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4" fillId="0" borderId="12" xfId="0" applyFont="1" applyBorder="1"/>
    <xf numFmtId="0" fontId="0" fillId="0" borderId="0" xfId="0" applyProtection="1">
      <protection locked="0"/>
    </xf>
    <xf numFmtId="165"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7"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32" fillId="0" borderId="0" xfId="0" applyFont="1" applyAlignment="1">
      <alignment vertical="top"/>
    </xf>
    <xf numFmtId="0" fontId="32" fillId="0" borderId="13" xfId="0" applyFont="1" applyBorder="1" applyAlignment="1">
      <alignment vertical="top"/>
    </xf>
    <xf numFmtId="0" fontId="22" fillId="0" borderId="0" xfId="0" applyFont="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Alignment="1" applyProtection="1">
      <alignment horizontal="left"/>
      <protection locked="0"/>
    </xf>
    <xf numFmtId="0" fontId="44"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8" fillId="0" borderId="8" xfId="0" applyFont="1" applyBorder="1" applyAlignment="1">
      <alignment vertical="center"/>
    </xf>
    <xf numFmtId="165"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6" fontId="11" fillId="6" borderId="16" xfId="4" applyNumberFormat="1" applyFont="1" applyBorder="1" applyAlignment="1" applyProtection="1">
      <alignment horizontal="left" vertical="center"/>
      <protection locked="0"/>
    </xf>
    <xf numFmtId="0" fontId="38" fillId="0" borderId="0" xfId="0" applyFont="1" applyAlignment="1">
      <alignment horizontal="left" vertical="center"/>
    </xf>
    <xf numFmtId="0" fontId="35" fillId="0" borderId="13" xfId="0" applyFont="1" applyBorder="1" applyAlignment="1" applyProtection="1">
      <alignment horizontal="left"/>
      <protection locked="0"/>
    </xf>
    <xf numFmtId="0" fontId="35" fillId="0" borderId="0" xfId="0" applyFont="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36" fillId="8" borderId="18" xfId="6" applyFont="1" applyBorder="1" applyAlignment="1" applyProtection="1">
      <alignment horizontal="left" vertical="center"/>
      <protection locked="0"/>
    </xf>
    <xf numFmtId="0" fontId="15" fillId="0" borderId="9" xfId="0" applyFont="1" applyBorder="1" applyAlignment="1">
      <alignment vertical="center"/>
    </xf>
    <xf numFmtId="0" fontId="15" fillId="0" borderId="7" xfId="0" applyFont="1" applyBorder="1" applyAlignment="1">
      <alignment vertical="center"/>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17" fillId="0" borderId="10" xfId="0" applyFont="1" applyBorder="1" applyAlignment="1">
      <alignment horizontal="right"/>
    </xf>
    <xf numFmtId="165"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Alignment="1">
      <alignment horizontal="centerContinuous"/>
    </xf>
    <xf numFmtId="0" fontId="49" fillId="9" borderId="21" xfId="7" applyFont="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16" fillId="0" borderId="0" xfId="0" applyFont="1" applyAlignment="1">
      <alignment horizontal="center"/>
    </xf>
    <xf numFmtId="0" fontId="49" fillId="9" borderId="21" xfId="7" applyFont="1" applyAlignment="1" applyProtection="1">
      <alignment horizontal="left" vertical="center"/>
    </xf>
    <xf numFmtId="0" fontId="23" fillId="0" borderId="12" xfId="0" applyFont="1" applyBorder="1" applyAlignment="1">
      <alignment horizontal="justify" vertical="center" wrapText="1"/>
    </xf>
    <xf numFmtId="0" fontId="24" fillId="0" borderId="13" xfId="0" applyFont="1" applyBorder="1" applyAlignment="1" applyProtection="1">
      <alignment horizontal="center" vertical="center"/>
      <protection locked="0"/>
    </xf>
    <xf numFmtId="0" fontId="24" fillId="0" borderId="0" xfId="0" applyFont="1" applyAlignment="1" applyProtection="1">
      <alignment horizontal="justify" vertical="center" wrapText="1"/>
      <protection locked="0"/>
    </xf>
    <xf numFmtId="0" fontId="24" fillId="0" borderId="0" xfId="0" applyFont="1" applyAlignment="1" applyProtection="1">
      <alignment vertical="center"/>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2"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41" fillId="0" borderId="0" xfId="0" applyFont="1" applyAlignment="1" applyProtection="1">
      <alignment vertical="top" wrapText="1"/>
      <protection locked="0"/>
    </xf>
    <xf numFmtId="0" fontId="53" fillId="0" borderId="0" xfId="0" applyFont="1" applyAlignment="1">
      <alignment vertical="top"/>
    </xf>
    <xf numFmtId="0" fontId="54"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8" fillId="0" borderId="0" xfId="0" applyFont="1" applyAlignment="1">
      <alignment horizontal="centerContinuous" vertical="center"/>
    </xf>
    <xf numFmtId="0" fontId="50" fillId="0" borderId="0" xfId="0" applyFont="1" applyAlignment="1" applyProtection="1">
      <alignment vertical="top" wrapText="1"/>
      <protection locked="0"/>
    </xf>
    <xf numFmtId="0" fontId="50" fillId="0" borderId="3" xfId="0" applyFont="1" applyBorder="1" applyAlignment="1" applyProtection="1">
      <alignment vertical="top" wrapText="1"/>
      <protection locked="0"/>
    </xf>
    <xf numFmtId="0" fontId="54"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5"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23" fillId="0" borderId="32" xfId="0" applyFont="1" applyBorder="1" applyAlignment="1">
      <alignment horizontal="justify" vertical="center" wrapText="1"/>
    </xf>
    <xf numFmtId="0" fontId="23" fillId="0" borderId="34" xfId="0" applyFont="1" applyBorder="1" applyAlignment="1">
      <alignment horizontal="justify" vertical="center" wrapText="1"/>
    </xf>
    <xf numFmtId="0" fontId="56" fillId="0" borderId="35" xfId="0" applyFont="1" applyBorder="1" applyAlignment="1" applyProtection="1">
      <alignment horizontal="center" vertical="center"/>
      <protection locked="0"/>
    </xf>
    <xf numFmtId="0" fontId="56" fillId="0" borderId="36" xfId="0" applyFont="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0" fontId="36" fillId="8" borderId="16" xfId="6" applyFont="1" applyBorder="1" applyAlignment="1" applyProtection="1">
      <alignment horizontal="left" vertical="center"/>
      <protection locked="0"/>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36" fillId="8" borderId="18" xfId="6" applyFont="1" applyBorder="1" applyAlignment="1" applyProtection="1">
      <alignment horizontal="left" vertic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35" xfId="0" applyFont="1" applyBorder="1" applyAlignment="1" applyProtection="1">
      <alignment horizontal="justify" vertical="center" wrapText="1"/>
      <protection locked="0"/>
    </xf>
    <xf numFmtId="0" fontId="4"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3" fillId="0" borderId="0" xfId="0" applyFont="1"/>
    <xf numFmtId="0" fontId="15" fillId="0" borderId="0" xfId="0" applyFont="1" applyAlignment="1" applyProtection="1">
      <alignment horizontal="justify" vertical="top"/>
      <protection locked="0"/>
    </xf>
    <xf numFmtId="0" fontId="25" fillId="7" borderId="15" xfId="5" applyFont="1" applyBorder="1" applyAlignment="1" applyProtection="1">
      <alignment horizontal="left" vertical="center"/>
    </xf>
    <xf numFmtId="0" fontId="46" fillId="0" borderId="20" xfId="0" applyFont="1" applyBorder="1" applyAlignment="1" applyProtection="1">
      <alignment horizontal="left" vertical="center" wrapText="1"/>
      <protection locked="0"/>
    </xf>
    <xf numFmtId="0" fontId="45" fillId="0" borderId="19" xfId="0" applyFont="1" applyBorder="1" applyAlignment="1">
      <alignment horizontal="left" vertical="center"/>
    </xf>
    <xf numFmtId="0" fontId="16" fillId="0" borderId="19" xfId="0" applyFont="1" applyBorder="1" applyAlignment="1">
      <alignment horizontal="left"/>
    </xf>
    <xf numFmtId="0" fontId="65"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6" fillId="0" borderId="20" xfId="0" applyNumberFormat="1" applyFont="1" applyBorder="1" applyAlignment="1" applyProtection="1">
      <alignment horizontal="left" vertical="center" wrapText="1"/>
      <protection locked="0"/>
    </xf>
    <xf numFmtId="0" fontId="66" fillId="0" borderId="0" xfId="0" applyFont="1" applyAlignment="1">
      <alignment horizontal="centerContinuous" vertical="top" wrapText="1"/>
    </xf>
    <xf numFmtId="0" fontId="66" fillId="0" borderId="13" xfId="0" applyFont="1" applyBorder="1" applyAlignment="1">
      <alignment horizontal="centerContinuous" vertical="top" wrapText="1"/>
    </xf>
    <xf numFmtId="0" fontId="29" fillId="0" borderId="0" xfId="0" applyFont="1" applyAlignment="1" applyProtection="1">
      <alignment horizontal="left"/>
      <protection locked="0"/>
    </xf>
    <xf numFmtId="0" fontId="67" fillId="0" borderId="12" xfId="0" applyFont="1" applyBorder="1" applyAlignment="1" applyProtection="1">
      <alignment vertical="top" wrapText="1"/>
      <protection locked="0"/>
    </xf>
    <xf numFmtId="0" fontId="68"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67"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9" fillId="0" borderId="0" xfId="0" applyFont="1" applyAlignment="1" applyProtection="1">
      <alignment vertical="top" wrapText="1"/>
      <protection locked="0"/>
    </xf>
    <xf numFmtId="49" fontId="46" fillId="0" borderId="20" xfId="0" applyNumberFormat="1" applyFont="1" applyBorder="1" applyAlignment="1">
      <alignment horizontal="left" vertical="center" wrapText="1"/>
    </xf>
    <xf numFmtId="0" fontId="46" fillId="0" borderId="20" xfId="0" applyFont="1" applyBorder="1" applyAlignment="1">
      <alignment horizontal="left" vertical="center" wrapText="1"/>
    </xf>
    <xf numFmtId="14" fontId="56" fillId="0" borderId="25" xfId="0" applyNumberFormat="1" applyFont="1" applyBorder="1" applyAlignment="1" applyProtection="1">
      <alignment horizontal="center" vertical="center"/>
      <protection locked="0"/>
    </xf>
    <xf numFmtId="0" fontId="66" fillId="0" borderId="12" xfId="0" applyFont="1" applyBorder="1" applyAlignment="1">
      <alignment horizontal="centerContinuous"/>
    </xf>
    <xf numFmtId="0" fontId="18" fillId="0" borderId="0" xfId="0" applyFont="1" applyAlignment="1">
      <alignment horizontal="left"/>
    </xf>
    <xf numFmtId="20" fontId="29" fillId="0" borderId="13" xfId="0" applyNumberFormat="1" applyFont="1" applyBorder="1" applyAlignment="1">
      <alignment horizontal="left" wrapText="1"/>
    </xf>
    <xf numFmtId="0" fontId="15" fillId="0" borderId="13" xfId="0" applyFont="1" applyBorder="1" applyAlignment="1" applyProtection="1">
      <alignment horizontal="fill" vertical="center"/>
      <protection hidden="1"/>
    </xf>
    <xf numFmtId="14" fontId="56" fillId="0" borderId="26" xfId="0" applyNumberFormat="1" applyFont="1" applyBorder="1" applyAlignment="1" applyProtection="1">
      <alignment horizontal="center" vertical="center"/>
      <protection locked="0"/>
    </xf>
    <xf numFmtId="166" fontId="22"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7" fillId="0" borderId="8" xfId="0" applyFont="1" applyBorder="1" applyAlignment="1">
      <alignment horizontal="left" vertical="center"/>
    </xf>
    <xf numFmtId="167" fontId="0" fillId="0" borderId="0" xfId="0" applyNumberFormat="1" applyAlignment="1">
      <alignment horizontal="left"/>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2" fillId="0" borderId="8" xfId="0" applyFont="1" applyBorder="1"/>
    <xf numFmtId="0" fontId="37"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0" fontId="59" fillId="0" borderId="0" xfId="0" applyFont="1" applyAlignment="1" applyProtection="1">
      <alignment horizontal="justify" vertical="top" wrapText="1"/>
      <protection locked="0"/>
    </xf>
    <xf numFmtId="0" fontId="6" fillId="0" borderId="0" xfId="0" applyFont="1" applyAlignment="1" applyProtection="1">
      <alignment horizontal="justify" vertical="top" wrapText="1"/>
      <protection locked="0"/>
    </xf>
    <xf numFmtId="0" fontId="6" fillId="0" borderId="13" xfId="0" applyFont="1" applyBorder="1" applyAlignment="1" applyProtection="1">
      <alignment horizontal="justify" vertical="top" wrapText="1"/>
      <protection locked="0"/>
    </xf>
    <xf numFmtId="0" fontId="38" fillId="0" borderId="0" xfId="0" applyFont="1" applyAlignment="1">
      <alignment horizontal="left" vertical="center" wrapText="1"/>
    </xf>
    <xf numFmtId="0" fontId="60" fillId="0" borderId="0" xfId="0" applyFont="1" applyAlignment="1" applyProtection="1">
      <alignment horizontal="justify" vertical="top" wrapText="1"/>
      <protection locked="0"/>
    </xf>
    <xf numFmtId="0" fontId="52" fillId="0" borderId="0" xfId="0" applyFont="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53" fillId="0" borderId="0" xfId="0" applyFont="1" applyAlignment="1" applyProtection="1">
      <alignment horizontal="justify" vertical="top" wrapText="1"/>
      <protection locked="0"/>
    </xf>
    <xf numFmtId="0" fontId="63" fillId="0" borderId="0" xfId="0" applyFont="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4" fillId="0" borderId="5" xfId="0" applyFont="1" applyBorder="1" applyAlignment="1" applyProtection="1">
      <alignment horizontal="justify" vertical="top" wrapText="1"/>
      <protection locked="0"/>
    </xf>
    <xf numFmtId="0" fontId="64" fillId="0" borderId="11" xfId="0" applyFont="1" applyBorder="1" applyAlignment="1" applyProtection="1">
      <alignment horizontal="justify" vertical="top" wrapText="1"/>
      <protection locked="0"/>
    </xf>
    <xf numFmtId="0" fontId="64" fillId="0" borderId="0" xfId="0" applyFont="1" applyAlignment="1" applyProtection="1">
      <alignment horizontal="justify" vertical="top" wrapText="1"/>
      <protection locked="0"/>
    </xf>
    <xf numFmtId="0" fontId="64" fillId="0" borderId="13" xfId="0" applyFont="1" applyBorder="1" applyAlignment="1" applyProtection="1">
      <alignment horizontal="justify" vertical="top" wrapText="1"/>
      <protection locked="0"/>
    </xf>
    <xf numFmtId="0" fontId="64" fillId="0" borderId="3" xfId="0" applyFont="1" applyBorder="1" applyAlignment="1" applyProtection="1">
      <alignment horizontal="justify" vertical="top" wrapText="1"/>
      <protection locked="0"/>
    </xf>
    <xf numFmtId="0" fontId="64" fillId="0" borderId="9" xfId="0" applyFont="1" applyBorder="1" applyAlignment="1" applyProtection="1">
      <alignment horizontal="justify" vertical="top" wrapText="1"/>
      <protection locked="0"/>
    </xf>
    <xf numFmtId="0" fontId="61" fillId="0" borderId="10" xfId="0" applyFont="1" applyBorder="1" applyAlignment="1">
      <alignment horizontal="justify" vertical="distributed" wrapText="1"/>
    </xf>
    <xf numFmtId="0" fontId="61" fillId="0" borderId="5" xfId="0" applyFont="1" applyBorder="1" applyAlignment="1">
      <alignment wrapText="1"/>
    </xf>
    <xf numFmtId="0" fontId="61" fillId="0" borderId="11" xfId="0" applyFont="1" applyBorder="1" applyAlignment="1">
      <alignment wrapText="1"/>
    </xf>
    <xf numFmtId="0" fontId="61" fillId="0" borderId="12" xfId="0" applyFont="1" applyBorder="1" applyAlignment="1">
      <alignment wrapText="1"/>
    </xf>
    <xf numFmtId="0" fontId="61" fillId="0" borderId="0" xfId="0" applyFont="1" applyAlignment="1">
      <alignment wrapText="1"/>
    </xf>
    <xf numFmtId="0" fontId="61" fillId="0" borderId="13" xfId="0" applyFont="1" applyBorder="1" applyAlignment="1">
      <alignment wrapText="1"/>
    </xf>
    <xf numFmtId="0" fontId="61" fillId="0" borderId="8" xfId="0" applyFont="1" applyBorder="1" applyAlignment="1">
      <alignment wrapText="1"/>
    </xf>
    <xf numFmtId="0" fontId="61" fillId="0" borderId="3" xfId="0" applyFont="1" applyBorder="1" applyAlignment="1">
      <alignment wrapText="1"/>
    </xf>
    <xf numFmtId="0" fontId="61"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1" fillId="0" borderId="4" xfId="0" applyFont="1" applyBorder="1" applyAlignment="1" applyProtection="1">
      <alignment horizontal="left" vertical="center"/>
      <protection locked="0"/>
    </xf>
    <xf numFmtId="0" fontId="50" fillId="0" borderId="0" xfId="0" applyFont="1" applyAlignment="1" applyProtection="1">
      <alignment horizontal="justify" vertical="top" wrapText="1"/>
      <protection locked="0"/>
    </xf>
    <xf numFmtId="0" fontId="41" fillId="0" borderId="0" xfId="0" applyFont="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11" fillId="0" borderId="12" xfId="0" applyFont="1" applyBorder="1" applyAlignment="1" applyProtection="1">
      <alignment horizontal="justify" vertical="top" wrapText="1"/>
      <protection locked="0"/>
    </xf>
    <xf numFmtId="0" fontId="0" fillId="0" borderId="0" xfId="0" applyAlignment="1">
      <alignment horizontal="justify" vertical="top" wrapText="1"/>
    </xf>
    <xf numFmtId="0" fontId="0" fillId="0" borderId="13" xfId="0" applyBorder="1" applyAlignment="1">
      <alignment horizontal="justify" vertical="top" wrapText="1"/>
    </xf>
    <xf numFmtId="0" fontId="0" fillId="0" borderId="12" xfId="0" applyBorder="1" applyAlignment="1">
      <alignment horizontal="justify" vertical="top" wrapText="1"/>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135253</xdr:colOff>
      <xdr:row>40</xdr:row>
      <xdr:rowOff>9525</xdr:rowOff>
    </xdr:from>
    <xdr:to>
      <xdr:col>1</xdr:col>
      <xdr:colOff>944880</xdr:colOff>
      <xdr:row>48</xdr:row>
      <xdr:rowOff>174547</xdr:rowOff>
    </xdr:to>
    <xdr:pic>
      <xdr:nvPicPr>
        <xdr:cNvPr id="5" name="Рисунок 4">
          <a:extLst>
            <a:ext uri="{FF2B5EF4-FFF2-40B4-BE49-F238E27FC236}">
              <a16:creationId xmlns=""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5253" y="7660005"/>
          <a:ext cx="2105027" cy="162806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117" dataDxfId="116" tableBorderDxfId="115" totalsRowBorderDxfId="114">
  <tableColumns count="5">
    <tableColumn id="1" name="Должность" headerRowDxfId="113" dataDxfId="112"/>
    <tableColumn id="5" name="Столбец2" headerRowDxfId="111" dataDxfId="110"/>
    <tableColumn id="4" name="Столбец1" headerRowDxfId="109" dataDxfId="108"/>
    <tableColumn id="2" name="Бригада_1" headerRowDxfId="107" dataDxfId="106"/>
    <tableColumn id="3" name="Бригада_2" headerRowDxfId="105" dataDxfId="104"/>
  </tableColumns>
  <tableStyleInfo showFirstColumn="0" showLastColumn="0" showRowStripes="1" showColumnStripes="0"/>
</table>
</file>

<file path=xl/tables/table10.xml><?xml version="1.0" encoding="utf-8"?>
<table xmlns="http://schemas.openxmlformats.org/spreadsheetml/2006/main" id="4" name="Код.Модели" displayName="Код.Модели" ref="F2:T9" headerRowCount="0" totalsRowShown="0" headerRowCellStyle="Обычный" dataCellStyle="Обычный">
  <tableColumns count="15">
    <tableColumn id="1" name="Диагноз" dataCellStyle="Обычный"/>
    <tableColumn id="2" name="Код модели" dataDxfId="60" dataCellStyle="Обычный"/>
    <tableColumn id="3" name="Стент3" dataDxfId="59" dataCellStyle="Обычный"/>
    <tableColumn id="4" name="Стент4" dataDxfId="58" dataCellStyle="Обычный"/>
    <tableColumn id="5" name="Стент5" dataDxfId="57" dataCellStyle="Обычный"/>
    <tableColumn id="6" name="Стент6" dataDxfId="56" dataCellStyle="Обычный"/>
    <tableColumn id="7" name="Стент7" dataDxfId="55" dataCellStyle="Обычный"/>
    <tableColumn id="8" name="Стент8" dataDxfId="54" dataCellStyle="Обычный"/>
    <tableColumn id="9" name="Стент9" dataDxfId="53" dataCellStyle="Обычный"/>
    <tableColumn id="10" name="Стент10" dataDxfId="52" dataCellStyle="Обычный"/>
    <tableColumn id="11" name="Стент11" dataDxfId="51" dataCellStyle="Обычный"/>
    <tableColumn id="12" name="Стент12" dataDxfId="50" dataCellStyle="Обычный"/>
    <tableColumn id="13" name="Стент13" dataDxfId="49" dataCellStyle="Обычный"/>
    <tableColumn id="14" name="Стент14" dataDxfId="48" dataCellStyle="Обычный"/>
    <tableColumn id="15"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id="7" name="Код.Метода" displayName="Код.Метода" ref="F12:T15" headerRowCount="0" totalsRowShown="0" dataDxfId="46">
  <tableColumns count="15">
    <tableColumn id="1" name="Диагноз"/>
    <tableColumn id="2" name="Код метода" dataDxfId="45"/>
    <tableColumn id="3" name="Стенты" dataDxfId="44"/>
    <tableColumn id="4" name="Стенты2" dataDxfId="43"/>
    <tableColumn id="5" name="Стенты3" dataDxfId="42"/>
    <tableColumn id="6" name="Стенты4" dataDxfId="41"/>
    <tableColumn id="7" name="Стенты5" dataDxfId="40"/>
    <tableColumn id="8" name="Стенты6" dataDxfId="39"/>
    <tableColumn id="9" name="Стенты7" dataDxfId="38"/>
    <tableColumn id="10" name="Стенты8" dataDxfId="37"/>
    <tableColumn id="11" name="Стенты9" dataDxfId="36"/>
    <tableColumn id="12" name="Стенты10" dataDxfId="35"/>
    <tableColumn id="13" name="Стенты11" dataDxfId="34"/>
    <tableColumn id="14" name="Стенты12" dataDxfId="33"/>
    <tableColumn id="15" name="Стенты13" dataDxfId="32"/>
  </tableColumns>
  <tableStyleInfo name="TableStyleLight21" showFirstColumn="0" showLastColumn="0" showRowStripes="1" showColumnStripes="0"/>
</table>
</file>

<file path=xl/tables/table12.xml><?xml version="1.0" encoding="utf-8"?>
<table xmlns="http://schemas.openxmlformats.org/spreadsheetml/2006/main" id="20" name="Другое" displayName="Другое" ref="F17:F24" totalsRowShown="0">
  <autoFilter ref="F17:F24"/>
  <tableColumns count="1">
    <tableColumn id="1" name="Другое"/>
  </tableColumns>
  <tableStyleInfo name="TableStyleLight21" showFirstColumn="0" showLastColumn="0" showRowStripes="1" showColumnStripes="0"/>
</table>
</file>

<file path=xl/tables/table13.xml><?xml version="1.0" encoding="utf-8"?>
<table xmlns="http://schemas.openxmlformats.org/spreadsheetml/2006/main" id="1" name="Расходка" displayName="Расходка" ref="A1:C66" totalsRowShown="0">
  <sortState ref="A2:C65">
    <sortCondition ref="B2"/>
  </sortState>
  <tableColumns count="3">
    <tableColumn id="1" name="№"/>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id="6" name="Размеры" displayName="Размеры" ref="AF1:AG97" totalsRowShown="0" headerRowDxfId="31">
  <sortState ref="AF2:AG62">
    <sortCondition ref="AF2:AF62"/>
    <sortCondition ref="AG2:AG62"/>
  </sortState>
  <tableColumns count="2">
    <tableColumn id="3" name="Тип" dataDxfId="30"/>
    <tableColumn id="1" name="Размеры" dataDxfId="29"/>
  </tableColumns>
  <tableStyleInfo name="TableStyleMedium2" showFirstColumn="0" showLastColumn="0" showRowStripes="1" showColumnStripes="0"/>
</table>
</file>

<file path=xl/tables/table15.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8" name="Поиск_расходки" displayName="Поиск_расходки" ref="E1:AD69"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учёта'!$B$15,Расходка[Наименование расходного материала])),MAX($G$1:G1)+1,0)</calculatedColumnFormula>
    </tableColumn>
    <tableColumn id="4" name="Индекс4" dataDxfId="25">
      <calculatedColumnFormula>IF(ISNUMBER(SEARCH('Карта учёта'!$B$16,Расходка[Наименование расходного материала])),MAX($H$1:H1)+1,0)</calculatedColumnFormula>
    </tableColumn>
    <tableColumn id="5" name="Индекс5" dataDxfId="24">
      <calculatedColumnFormula>IF(ISNUMBER(SEARCH('Карта учёта'!$B$17,Расходка[Наименование расходного материала])),MAX($I$1:I1)+1,0)</calculatedColumnFormula>
    </tableColumn>
    <tableColumn id="6" name="Индекс6" dataDxfId="23">
      <calculatedColumnFormula>IF(ISNUMBER(SEARCH('Карта учёта'!$B$18,Расходка[Наименование расходного материала])),MAX($J$1:J1)+1,0)</calculatedColumnFormula>
    </tableColumn>
    <tableColumn id="7" name="Индекс7" dataDxfId="22">
      <calculatedColumnFormula>IF(ISNUMBER(SEARCH('Карта учёта'!$B$19,Расходка[Наименование расходного материала])),MAX($K$1:K1)+1,0)</calculatedColumnFormula>
    </tableColumn>
    <tableColumn id="8" name="Индекс8" dataDxfId="21">
      <calculatedColumnFormula>IF(ISNUMBER(SEARCH('Карта учёта'!$B$20,Расходка[Наименование расходного материала])),MAX($L$1:L1)+1,0)</calculatedColumnFormula>
    </tableColumn>
    <tableColumn id="9" name="Индекс9" dataDxfId="20">
      <calculatedColumnFormula>IF(ISNUMBER(SEARCH('Карта учёта'!$B$21,Расходка[Наименование расходного материала])),MAX($M$1:M1)+1,0)</calculatedColumnFormula>
    </tableColumn>
    <tableColumn id="10" name="Индекс10" dataDxfId="19">
      <calculatedColumnFormula>IF(ISNUMBER(SEARCH('Карта учёта'!$B$22,Расходка[Наименование расходного материала])),MAX($N$1:N1)+1,0)</calculatedColumnFormula>
    </tableColumn>
    <tableColumn id="11" name="Индекс11" dataDxfId="18">
      <calculatedColumnFormula>IF(ISNUMBER(SEARCH('Карта учёта'!$B$23,Расходка[Наименование расходного материала])),MAX($O$1:O1)+1,0)</calculatedColumnFormula>
    </tableColumn>
    <tableColumn id="12" name="Индекс12" dataDxfId="17">
      <calculatedColumnFormula>IF(ISNUMBER(SEARCH('Карта учёта'!$B$24,Расходка[Наименование расходного материала])),MAX($P$1:P1)+1,0)</calculatedColumnFormula>
    </tableColumn>
    <tableColumn id="13" name="Индекс13" dataDxfId="16">
      <calculatedColumnFormula>IF(ISNUMBER(SEARCH('Карта учёта'!$B$25,Расходка[Наименование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материала],MATCH(Расходка[№],Поиск_расходки[Индекс1],0)),"")</calculatedColumnFormula>
    </tableColumn>
    <tableColumn id="15" name="Фильтр2" dataDxfId="14">
      <calculatedColumnFormula>IFERROR(INDEX(Расходка[Наименование расходного материала],MATCH(Расходка[№],Поиск_расходки[Индекс2],0)),"")</calculatedColumnFormula>
    </tableColumn>
    <tableColumn id="16" name="Фильтр3" dataDxfId="13">
      <calculatedColumnFormula>IFERROR(INDEX(Расходка[Наименование расходного материала],MATCH(Расходка[№],Поиск_расходки[Индекс3],0)),"")</calculatedColumnFormula>
    </tableColumn>
    <tableColumn id="17" name="Фильтр4" dataDxfId="12">
      <calculatedColumnFormula>IFERROR(INDEX(Расходка[Наименование расходного материала],MATCH(Расходка[№],Поиск_расходки[Индекс4],0)),"")</calculatedColumnFormula>
    </tableColumn>
    <tableColumn id="18" name="Фильтр5" dataDxfId="11">
      <calculatedColumnFormula>IFERROR(INDEX(Расходка[Наименование расходного материала],MATCH(Расходка[№],Поиск_расходки[Индекс5],0)),"")</calculatedColumnFormula>
    </tableColumn>
    <tableColumn id="19" name="Фильтр6" dataDxfId="10">
      <calculatedColumnFormula>IFERROR(INDEX(Расходка[Наименование расходного материала],MATCH(Расходка[№],Поиск_расходки[Индекс6],0)),"")</calculatedColumnFormula>
    </tableColumn>
    <tableColumn id="20" name="Фильтр7" dataDxfId="9">
      <calculatedColumnFormula>IFERROR(INDEX(Расходка[Наименование расходного материала],MATCH(Расходка[№],Поиск_расходки[Индекс7],0)),"")</calculatedColumnFormula>
    </tableColumn>
    <tableColumn id="21" name="Фильтр8" dataDxfId="8">
      <calculatedColumnFormula>IFERROR(INDEX(Расходка[Наименование расходного материала],MATCH(Расходка[№],Поиск_расходки[Индекс8],0)),"")</calculatedColumnFormula>
    </tableColumn>
    <tableColumn id="22" name="Фильтр9" dataDxfId="7">
      <calculatedColumnFormula>IFERROR(INDEX(Расходка[Наименование расходного материала],MATCH(Расходка[№],Поиск_расходки[Индекс9],0)),"")</calculatedColumnFormula>
    </tableColumn>
    <tableColumn id="23" name="Фильтр10" dataDxfId="6">
      <calculatedColumnFormula>IFERROR(INDEX(Расходка[Наименование расходного материала],MATCH(Расходка[№],Поиск_расходки[Индекс10],0)),"")</calculatedColumnFormula>
    </tableColumn>
    <tableColumn id="24" name="Фильтр11" dataDxfId="5">
      <calculatedColumnFormula>IFERROR(INDEX(Расходка[Наименование расходного материала],MATCH(Расходка[№],Поиск_расходки[Индекс11],0)),"")</calculatedColumnFormula>
    </tableColumn>
    <tableColumn id="25" name="Фильтр12" dataDxfId="4">
      <calculatedColumnFormula>IFERROR(INDEX(Расходка[Наименование расходного материала],MATCH(Расходка[№],Поиск_расходки[Индекс12],0)),"")</calculatedColumnFormula>
    </tableColumn>
    <tableColumn id="26" name="Фильтр13" dataDxfId="3">
      <calculatedColumnFormula>IFERROR(INDEX(Расходка[Наименование расходного материала],MATCH(Расходка[№],Поиск_расходки[Индекс13],0)),"")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I10:AI20" totalsRowShown="0">
  <autoFilter ref="AI10:AI20"/>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21" name="Коды_Расходки" displayName="Коды_Расходки" ref="AM1:AO12" totalsRowShown="0">
  <autoFilter ref="AM1:AO12"/>
  <tableColumns count="3">
    <tableColumn id="1" name="Код НК МИ" dataDxfId="2"/>
    <tableColumn id="2" name="АБР" dataDxfId="1"/>
    <tableColumn id="3" name="Наименование"/>
  </tableColumns>
  <tableStyleInfo name="TableStyleMedium2" showFirstColumn="0" showLastColumn="0" showRowStripes="1" showColumnStripes="0"/>
</table>
</file>

<file path=xl/tables/table19.xml><?xml version="1.0" encoding="utf-8"?>
<table xmlns="http://schemas.openxmlformats.org/spreadsheetml/2006/main" id="5" name="Сотрудники" displayName="Сотрудники" ref="A1:C17" totalsRowShown="0">
  <autoFilter ref="A1:C17"/>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103" dataDxfId="102">
  <tableColumns count="2">
    <tableColumn id="1" name="Столбец1" headerRowDxfId="101" dataDxfId="100"/>
    <tableColumn id="2" name="Столбец2" headerRowDxfId="99" dataDxfId="98"/>
  </tableColumns>
  <tableStyleInfo showFirstColumn="0" showLastColumn="0" showRowStripes="1" showColumnStripes="0"/>
</table>
</file>

<file path=xl/tables/table20.xml><?xml version="1.0" encoding="utf-8"?>
<table xmlns="http://schemas.openxmlformats.org/spreadsheetml/2006/main" id="10" name="Сотрудники_2" displayName="Сотрудники_2" ref="A20:B89" totalsRowShown="0">
  <autoFilter ref="A20:B89"/>
  <sortState ref="A21:B89">
    <sortCondition ref="A21:A89"/>
    <sortCondition ref="B21:B89"/>
  </sortState>
  <tableColumns count="2">
    <tableColumn id="1" name="Должность"/>
    <tableColumn id="2" name="Сотрудник"/>
  </tableColumns>
  <tableStyleInfo name="TableStyleMedium3" showFirstColumn="0" showLastColumn="0" showRowStripes="1" showColumnStripes="0"/>
</table>
</file>

<file path=xl/tables/table21.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97" dataDxfId="96" tableBorderDxfId="95" totalsRowBorderDxfId="94">
  <tableColumns count="5">
    <tableColumn id="1" name="Должность" headerRowDxfId="93" dataDxfId="92"/>
    <tableColumn id="5" name="Столбец2" headerRowDxfId="91" dataDxfId="90"/>
    <tableColumn id="4" name="Столбец1" headerRowDxfId="89" dataDxfId="88"/>
    <tableColumn id="2" name="Бригада_1" headerRowDxfId="87" dataDxfId="86"/>
    <tableColumn id="3"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7:B21" headerRowCount="0" totalsRowShown="0" headerRowDxfId="83" dataDxfId="82">
  <tableColumns count="2">
    <tableColumn id="1" name="Столбец1" headerRowDxfId="81" dataDxfId="80"/>
    <tableColumn id="2"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77" headerRowBorderDxfId="76" tableBorderDxfId="75">
  <tableColumns count="4">
    <tableColumn id="1"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73"/>
    <tableColumn id="3" name="Размер" dataDxfId="72"/>
    <tableColumn id="4"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70" dataDxfId="69">
  <tableColumns count="2">
    <tableColumn id="1"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5" totalsRowShown="0" headerRowDxfId="66" tableBorderDxfId="65">
  <tableColumns count="4">
    <tableColumn id="1" name="№" dataDxfId="64"/>
    <tableColumn id="2" name="Код услуги" dataDxfId="63"/>
    <tableColumn id="3" name="Номенклатура мед.услуги" dataDxfId="62"/>
    <tableColumn id="4"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id="16" name="Локализация" displayName="Локализация" ref="V1:V13">
  <autoFilter ref="V1:V13"/>
  <tableColumns count="1">
    <tableColumn id="1" name="Локализация"/>
  </tableColumns>
  <tableStyleInfo name="TableStyleMedium2" showFirstColumn="0" showLastColumn="0" showRowStripes="1" showColumnStripes="0"/>
</table>
</file>

<file path=xl/tables/table9.xml><?xml version="1.0" encoding="utf-8"?>
<table xmlns="http://schemas.openxmlformats.org/spreadsheetml/2006/main" id="2" name="Таблица2" displayName="Таблица2" ref="V15:V17" totalsRowShown="0">
  <autoFilter ref="V15:V17"/>
  <tableColumns count="1">
    <tableColumn id="1"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M54"/>
  <sheetViews>
    <sheetView showGridLines="0" tabSelected="1" showWhiteSpace="0" view="pageBreakPreview" zoomScaleNormal="100" zoomScaleSheetLayoutView="100" zoomScalePageLayoutView="90" workbookViewId="0">
      <selection activeCell="M9" sqref="M9"/>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c r="A1" s="43" t="s">
        <v>135</v>
      </c>
      <c r="B1" s="44"/>
      <c r="C1" s="44"/>
      <c r="D1" s="44"/>
      <c r="E1" s="44"/>
      <c r="F1" s="44"/>
      <c r="G1" s="44"/>
      <c r="H1" s="45"/>
    </row>
    <row r="2" spans="1:8">
      <c r="A2" s="46" t="s">
        <v>136</v>
      </c>
      <c r="B2" s="47"/>
      <c r="C2" s="47"/>
      <c r="D2" s="47"/>
      <c r="E2" s="47"/>
      <c r="F2" s="47"/>
      <c r="G2" s="47"/>
      <c r="H2" s="48"/>
    </row>
    <row r="3" spans="1:8">
      <c r="A3" s="46" t="s">
        <v>137</v>
      </c>
      <c r="B3" s="47"/>
      <c r="C3" s="47"/>
      <c r="D3" s="47"/>
      <c r="E3" s="47"/>
      <c r="F3" s="47"/>
      <c r="G3" s="47"/>
      <c r="H3" s="48"/>
    </row>
    <row r="4" spans="1:8">
      <c r="A4" s="49" t="s">
        <v>138</v>
      </c>
      <c r="B4" s="50"/>
      <c r="C4" s="50"/>
      <c r="D4" s="50"/>
      <c r="E4" s="50"/>
      <c r="F4" s="50"/>
      <c r="G4" s="50"/>
      <c r="H4" s="51"/>
    </row>
    <row r="5" spans="1:8">
      <c r="A5" s="38"/>
      <c r="H5" s="39"/>
    </row>
    <row r="6" spans="1:8">
      <c r="A6" s="211" t="s">
        <v>213</v>
      </c>
      <c r="B6" s="212"/>
      <c r="C6" s="212"/>
      <c r="D6" s="212"/>
      <c r="E6" s="212"/>
      <c r="F6" s="212"/>
      <c r="G6" s="212"/>
      <c r="H6" s="213"/>
    </row>
    <row r="7" spans="1:8">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c r="A8" s="14" t="s">
        <v>191</v>
      </c>
      <c r="B8" s="20">
        <v>45082</v>
      </c>
      <c r="C8" s="54"/>
      <c r="D8" s="16" t="s">
        <v>186</v>
      </c>
      <c r="E8" s="29"/>
      <c r="F8" s="29"/>
      <c r="G8" s="17"/>
      <c r="H8" s="18"/>
    </row>
    <row r="9" spans="1:8" ht="15.6" customHeight="1">
      <c r="A9" s="21" t="s">
        <v>193</v>
      </c>
      <c r="B9" s="22">
        <v>0.29166666666666669</v>
      </c>
      <c r="C9" s="54"/>
      <c r="D9" s="95" t="s">
        <v>172</v>
      </c>
      <c r="E9" s="93"/>
      <c r="F9" s="93"/>
      <c r="G9" s="23" t="s">
        <v>163</v>
      </c>
      <c r="H9" s="25"/>
    </row>
    <row r="10" spans="1:8" ht="15.6" customHeight="1" thickBot="1">
      <c r="A10" s="83" t="s">
        <v>194</v>
      </c>
      <c r="B10" s="84">
        <v>0.33333333333333331</v>
      </c>
      <c r="C10" s="55"/>
      <c r="D10" s="96" t="s">
        <v>173</v>
      </c>
      <c r="E10" s="94"/>
      <c r="F10" s="94"/>
      <c r="G10" s="24" t="s">
        <v>169</v>
      </c>
      <c r="H10" s="26"/>
    </row>
    <row r="11" spans="1:8" ht="18" thickTop="1" thickBot="1">
      <c r="A11" s="89" t="s">
        <v>192</v>
      </c>
      <c r="B11" s="90" t="s">
        <v>520</v>
      </c>
      <c r="C11" s="8"/>
      <c r="D11" s="96" t="s">
        <v>170</v>
      </c>
      <c r="E11" s="94"/>
      <c r="F11" s="94"/>
      <c r="G11" s="24" t="s">
        <v>176</v>
      </c>
      <c r="H11" s="26"/>
    </row>
    <row r="12" spans="1:8" ht="16.5" thickTop="1">
      <c r="A12" s="81" t="s">
        <v>8</v>
      </c>
      <c r="B12" s="82">
        <v>17508</v>
      </c>
      <c r="C12" s="12"/>
      <c r="D12" s="96" t="s">
        <v>303</v>
      </c>
      <c r="E12" s="94"/>
      <c r="F12" s="94"/>
      <c r="G12" s="24" t="s">
        <v>259</v>
      </c>
      <c r="H12" s="26"/>
    </row>
    <row r="13" spans="1:8" ht="15.75">
      <c r="A13" s="15" t="s">
        <v>10</v>
      </c>
      <c r="B13" s="30">
        <f>DATEDIF(B12,B8,"y")</f>
        <v>75</v>
      </c>
      <c r="C13" s="12"/>
      <c r="D13" s="96"/>
      <c r="E13" s="94"/>
      <c r="F13" s="94"/>
      <c r="G13" s="24"/>
      <c r="H13" s="26"/>
    </row>
    <row r="14" spans="1:8" ht="15.75">
      <c r="A14" s="15" t="s">
        <v>12</v>
      </c>
      <c r="B14" s="19">
        <v>14499</v>
      </c>
      <c r="C14" s="12"/>
      <c r="D14" s="36"/>
      <c r="E14" s="36"/>
      <c r="F14" s="36"/>
      <c r="G14" s="37"/>
      <c r="H14" s="56"/>
    </row>
    <row r="15" spans="1:8" ht="15.75">
      <c r="A15" s="15" t="s">
        <v>133</v>
      </c>
      <c r="B15" s="19">
        <v>35</v>
      </c>
      <c r="D15" s="36"/>
      <c r="E15" s="36"/>
      <c r="F15" s="36"/>
      <c r="G15" s="169" t="s">
        <v>403</v>
      </c>
      <c r="H15" s="173" t="s">
        <v>519</v>
      </c>
    </row>
    <row r="16" spans="1:8" ht="15.6" customHeight="1">
      <c r="A16" s="15" t="s">
        <v>106</v>
      </c>
      <c r="B16" s="19" t="s">
        <v>490</v>
      </c>
      <c r="D16" s="36"/>
      <c r="E16" s="36"/>
      <c r="F16" s="36"/>
      <c r="G16" s="170" t="s">
        <v>406</v>
      </c>
      <c r="H16" s="168">
        <v>2647</v>
      </c>
    </row>
    <row r="17" spans="1:8" ht="14.45" customHeight="1">
      <c r="A17" s="40"/>
      <c r="B17" s="31"/>
      <c r="C17" s="31"/>
      <c r="D17" s="88"/>
      <c r="E17" s="88"/>
      <c r="F17" s="88"/>
      <c r="G17" s="171" t="s">
        <v>392</v>
      </c>
      <c r="H17" s="172">
        <f>H16*0.0019</f>
        <v>5.0293000000000001</v>
      </c>
    </row>
    <row r="18" spans="1:8" ht="14.45" customHeight="1">
      <c r="A18" s="57" t="s">
        <v>188</v>
      </c>
      <c r="B18" s="87" t="s">
        <v>404</v>
      </c>
      <c r="D18" s="28" t="s">
        <v>210</v>
      </c>
      <c r="E18" s="28"/>
      <c r="F18" s="28"/>
      <c r="G18" s="85" t="s">
        <v>189</v>
      </c>
      <c r="H18" s="86" t="s">
        <v>512</v>
      </c>
    </row>
    <row r="19" spans="1:8" ht="14.45" customHeight="1">
      <c r="A19" s="40"/>
      <c r="B19" s="31"/>
      <c r="C19" s="31"/>
      <c r="D19" s="34"/>
      <c r="E19" s="34"/>
      <c r="F19" s="34"/>
      <c r="G19" s="31"/>
      <c r="H19" s="41"/>
    </row>
    <row r="20" spans="1:8" ht="14.45" customHeight="1">
      <c r="A20" s="57" t="s">
        <v>212</v>
      </c>
      <c r="B20" s="214" t="s">
        <v>521</v>
      </c>
      <c r="C20" s="215"/>
      <c r="D20" s="215"/>
      <c r="E20" s="215"/>
      <c r="F20" s="215"/>
      <c r="G20" s="215"/>
      <c r="H20" s="216"/>
    </row>
    <row r="21" spans="1:8">
      <c r="A21" s="58"/>
      <c r="B21" s="217"/>
      <c r="C21" s="217"/>
      <c r="D21" s="217"/>
      <c r="E21" s="217"/>
      <c r="F21" s="217"/>
      <c r="G21" s="217"/>
      <c r="H21" s="218"/>
    </row>
    <row r="22" spans="1:8" ht="15.6" customHeight="1">
      <c r="A22" s="59" t="s">
        <v>271</v>
      </c>
      <c r="B22" s="219" t="s">
        <v>522</v>
      </c>
      <c r="C22" s="219"/>
      <c r="D22" s="219"/>
      <c r="E22" s="219"/>
      <c r="F22" s="219"/>
      <c r="G22" s="219"/>
      <c r="H22" s="220"/>
    </row>
    <row r="23" spans="1:8" ht="14.45" customHeight="1">
      <c r="A23" s="38"/>
      <c r="B23" s="221"/>
      <c r="C23" s="221"/>
      <c r="D23" s="221"/>
      <c r="E23" s="221"/>
      <c r="F23" s="221"/>
      <c r="G23" s="221"/>
      <c r="H23" s="222"/>
    </row>
    <row r="24" spans="1:8" ht="14.45" customHeight="1">
      <c r="A24" s="60"/>
      <c r="B24" s="221"/>
      <c r="C24" s="221"/>
      <c r="D24" s="221"/>
      <c r="E24" s="221"/>
      <c r="F24" s="221"/>
      <c r="G24" s="221"/>
      <c r="H24" s="222"/>
    </row>
    <row r="25" spans="1:8" ht="14.45" customHeight="1">
      <c r="A25" s="38"/>
      <c r="B25" s="221"/>
      <c r="C25" s="221"/>
      <c r="D25" s="221"/>
      <c r="E25" s="221"/>
      <c r="F25" s="221"/>
      <c r="G25" s="221"/>
      <c r="H25" s="222"/>
    </row>
    <row r="26" spans="1:8" ht="14.45" customHeight="1">
      <c r="A26" s="40"/>
      <c r="B26" s="223"/>
      <c r="C26" s="223"/>
      <c r="D26" s="223"/>
      <c r="E26" s="223"/>
      <c r="F26" s="223"/>
      <c r="G26" s="223"/>
      <c r="H26" s="224"/>
    </row>
    <row r="27" spans="1:8" ht="14.45" customHeight="1">
      <c r="A27" s="59" t="s">
        <v>272</v>
      </c>
      <c r="B27" s="219" t="s">
        <v>524</v>
      </c>
      <c r="C27" s="219"/>
      <c r="D27" s="219"/>
      <c r="E27" s="219"/>
      <c r="F27" s="219"/>
      <c r="G27" s="219"/>
      <c r="H27" s="220"/>
    </row>
    <row r="28" spans="1:8" ht="15.6" customHeight="1">
      <c r="A28" s="38"/>
      <c r="B28" s="221"/>
      <c r="C28" s="221"/>
      <c r="D28" s="221"/>
      <c r="E28" s="221"/>
      <c r="F28" s="221"/>
      <c r="G28" s="221"/>
      <c r="H28" s="222"/>
    </row>
    <row r="29" spans="1:8" ht="14.45" customHeight="1">
      <c r="A29" s="38"/>
      <c r="B29" s="221"/>
      <c r="C29" s="221"/>
      <c r="D29" s="221"/>
      <c r="E29" s="221"/>
      <c r="F29" s="221"/>
      <c r="G29" s="221"/>
      <c r="H29" s="222"/>
    </row>
    <row r="30" spans="1:8" ht="14.45" customHeight="1">
      <c r="A30" s="32"/>
      <c r="B30" s="221"/>
      <c r="C30" s="221"/>
      <c r="D30" s="221"/>
      <c r="E30" s="221"/>
      <c r="F30" s="221"/>
      <c r="G30" s="221"/>
      <c r="H30" s="222"/>
    </row>
    <row r="31" spans="1:8" ht="14.45" customHeight="1">
      <c r="A31" s="33"/>
      <c r="B31" s="223"/>
      <c r="C31" s="223"/>
      <c r="D31" s="223"/>
      <c r="E31" s="223"/>
      <c r="F31" s="223"/>
      <c r="G31" s="223"/>
      <c r="H31" s="224"/>
    </row>
    <row r="32" spans="1:8" ht="14.45" customHeight="1">
      <c r="A32" s="59" t="s">
        <v>273</v>
      </c>
      <c r="B32" s="219" t="s">
        <v>523</v>
      </c>
      <c r="C32" s="219"/>
      <c r="D32" s="219"/>
      <c r="E32" s="219"/>
      <c r="F32" s="219"/>
      <c r="G32" s="219"/>
      <c r="H32" s="220"/>
    </row>
    <row r="33" spans="1:8" ht="14.45" customHeight="1">
      <c r="A33" s="38"/>
      <c r="B33" s="221"/>
      <c r="C33" s="221"/>
      <c r="D33" s="221"/>
      <c r="E33" s="221"/>
      <c r="F33" s="221"/>
      <c r="G33" s="221"/>
      <c r="H33" s="222"/>
    </row>
    <row r="34" spans="1:8" ht="15.6" customHeight="1">
      <c r="A34" s="38"/>
      <c r="B34" s="221"/>
      <c r="C34" s="221"/>
      <c r="D34" s="221"/>
      <c r="E34" s="221"/>
      <c r="F34" s="221"/>
      <c r="G34" s="221"/>
      <c r="H34" s="222"/>
    </row>
    <row r="35" spans="1:8" ht="14.45" customHeight="1">
      <c r="A35" s="38"/>
      <c r="B35" s="221"/>
      <c r="C35" s="221"/>
      <c r="D35" s="221"/>
      <c r="E35" s="221"/>
      <c r="F35" s="221"/>
      <c r="G35" s="221"/>
      <c r="H35" s="222"/>
    </row>
    <row r="36" spans="1:8" ht="15.6" customHeight="1">
      <c r="A36" s="38"/>
      <c r="B36" s="221"/>
      <c r="C36" s="221"/>
      <c r="D36" s="221"/>
      <c r="E36" s="221"/>
      <c r="F36" s="221"/>
      <c r="G36" s="221"/>
      <c r="H36" s="222"/>
    </row>
    <row r="37" spans="1:8" ht="14.45" customHeight="1">
      <c r="A37" s="38"/>
      <c r="D37" s="207" t="str">
        <f>IF($A$6=Вмешательства!$D$3,Вмешательства!$F$18,"")</f>
        <v/>
      </c>
      <c r="E37" s="207"/>
      <c r="F37" s="120"/>
      <c r="G37" s="120"/>
      <c r="H37" s="124"/>
    </row>
    <row r="38" spans="1:8" ht="14.45" customHeight="1">
      <c r="A38" s="38"/>
      <c r="C38" s="125"/>
      <c r="D38" s="208"/>
      <c r="E38" s="209"/>
      <c r="F38" s="209"/>
      <c r="G38" s="209"/>
      <c r="H38" s="210"/>
    </row>
    <row r="39" spans="1:8" ht="14.45" customHeight="1">
      <c r="A39" s="35"/>
      <c r="B39" s="120"/>
      <c r="C39" s="125"/>
      <c r="D39" s="209"/>
      <c r="E39" s="209"/>
      <c r="F39" s="209"/>
      <c r="G39" s="209"/>
      <c r="H39" s="210"/>
    </row>
    <row r="40" spans="1:8" ht="14.45" customHeight="1">
      <c r="A40" s="35"/>
      <c r="B40" s="120"/>
      <c r="C40" s="125"/>
      <c r="D40" s="209"/>
      <c r="E40" s="209"/>
      <c r="F40" s="209"/>
      <c r="G40" s="209"/>
      <c r="H40" s="210"/>
    </row>
    <row r="41" spans="1:8" ht="14.45" customHeight="1">
      <c r="A41" s="35"/>
      <c r="B41" s="120"/>
      <c r="C41" s="125"/>
      <c r="D41" s="209"/>
      <c r="E41" s="209"/>
      <c r="F41" s="209"/>
      <c r="G41" s="209"/>
      <c r="H41" s="210"/>
    </row>
    <row r="42" spans="1:8" ht="14.45" customHeight="1">
      <c r="A42" s="35"/>
      <c r="B42" s="120"/>
      <c r="C42" s="126"/>
      <c r="D42" s="129"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План оперативного вмешательства:</v>
      </c>
      <c r="E42" s="42"/>
      <c r="F42" s="42"/>
      <c r="G42" s="42"/>
      <c r="H42" s="61"/>
    </row>
    <row r="43" spans="1:8" ht="14.45" customHeight="1">
      <c r="A43" s="35"/>
      <c r="B43" s="120"/>
      <c r="C43" s="127"/>
      <c r="D43" s="204" t="s">
        <v>525</v>
      </c>
      <c r="E43" s="205"/>
      <c r="F43" s="205"/>
      <c r="G43" s="205"/>
      <c r="H43" s="206"/>
    </row>
    <row r="44" spans="1:8" ht="14.45" customHeight="1">
      <c r="A44" s="35"/>
      <c r="B44" s="120"/>
      <c r="C44" s="127"/>
      <c r="D44" s="205"/>
      <c r="E44" s="205"/>
      <c r="F44" s="205"/>
      <c r="G44" s="205"/>
      <c r="H44" s="206"/>
    </row>
    <row r="45" spans="1:8" ht="14.45" customHeight="1">
      <c r="A45" s="35"/>
      <c r="B45" s="120"/>
      <c r="C45" s="127"/>
      <c r="D45" s="205"/>
      <c r="E45" s="205"/>
      <c r="F45" s="205"/>
      <c r="G45" s="205"/>
      <c r="H45" s="206"/>
    </row>
    <row r="46" spans="1:8">
      <c r="A46" s="35"/>
      <c r="B46" s="120"/>
      <c r="C46" s="127"/>
      <c r="D46" s="205"/>
      <c r="E46" s="205"/>
      <c r="F46" s="205"/>
      <c r="G46" s="205"/>
      <c r="H46" s="206"/>
    </row>
    <row r="47" spans="1:8">
      <c r="A47" s="38"/>
      <c r="C47" s="127"/>
      <c r="D47" s="205"/>
      <c r="E47" s="205"/>
      <c r="F47" s="205"/>
      <c r="G47" s="205"/>
      <c r="H47" s="206"/>
    </row>
    <row r="48" spans="1:8">
      <c r="A48" s="38"/>
      <c r="C48" s="127"/>
      <c r="D48" s="205"/>
      <c r="E48" s="205"/>
      <c r="F48" s="205"/>
      <c r="G48" s="205"/>
      <c r="H48" s="206"/>
    </row>
    <row r="49" spans="1:13">
      <c r="A49" s="40"/>
      <c r="B49" s="31"/>
      <c r="C49" s="128"/>
      <c r="D49" s="205"/>
      <c r="E49" s="205"/>
      <c r="F49" s="205"/>
      <c r="G49" s="205"/>
      <c r="H49" s="206"/>
    </row>
    <row r="50" spans="1:13">
      <c r="A50" s="38"/>
      <c r="D50" s="205"/>
      <c r="E50" s="205"/>
      <c r="F50" s="205"/>
      <c r="G50" s="205"/>
      <c r="H50" s="206"/>
      <c r="M50" t="s">
        <v>211</v>
      </c>
    </row>
    <row r="51" spans="1:13">
      <c r="A51" s="62" t="s">
        <v>199</v>
      </c>
      <c r="B51" s="63" t="s">
        <v>526</v>
      </c>
      <c r="G51" s="74" t="str">
        <f>$G$9</f>
        <v>Щербаков А.С.</v>
      </c>
      <c r="H51" s="64"/>
    </row>
    <row r="52" spans="1:13">
      <c r="A52" s="38"/>
      <c r="H52" s="39"/>
    </row>
    <row r="53" spans="1:13">
      <c r="A53" s="65" t="s">
        <v>206</v>
      </c>
      <c r="B53" s="66" t="s">
        <v>511</v>
      </c>
      <c r="G53" s="74" t="str">
        <f>IF(ISBLANK(H9),"",H9)</f>
        <v/>
      </c>
      <c r="H53" s="64"/>
    </row>
    <row r="54" spans="1:13">
      <c r="A54" s="40"/>
      <c r="B54" s="31"/>
      <c r="C54" s="31"/>
      <c r="D54" s="31"/>
      <c r="E54" s="31"/>
      <c r="F54" s="31"/>
      <c r="G54" s="31"/>
      <c r="H54" s="41"/>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"лучевой,ульнарный,локтевой,дистальный,бедренный,rad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L54"/>
  <sheetViews>
    <sheetView showGridLines="0" showWhiteSpace="0" view="pageBreakPreview" topLeftCell="A7" zoomScaleNormal="100" zoomScaleSheetLayoutView="100" zoomScalePageLayoutView="90" workbookViewId="0">
      <selection activeCell="K26" sqref="K26"/>
    </sheetView>
  </sheetViews>
  <sheetFormatPr defaultColWidth="8.85546875" defaultRowHeight="15"/>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c r="A1" s="43" t="s">
        <v>135</v>
      </c>
      <c r="B1" s="44"/>
      <c r="C1" s="44"/>
      <c r="D1" s="44"/>
      <c r="E1" s="44"/>
      <c r="F1" s="44"/>
      <c r="G1" s="44"/>
      <c r="H1" s="45"/>
    </row>
    <row r="2" spans="1:8">
      <c r="A2" s="46" t="s">
        <v>136</v>
      </c>
      <c r="B2" s="47"/>
      <c r="C2" s="47"/>
      <c r="D2" s="47"/>
      <c r="E2" s="47"/>
      <c r="F2" s="47"/>
      <c r="G2" s="47"/>
      <c r="H2" s="48"/>
    </row>
    <row r="3" spans="1:8">
      <c r="A3" s="46" t="s">
        <v>137</v>
      </c>
      <c r="B3" s="47"/>
      <c r="C3" s="47"/>
      <c r="D3" s="47"/>
      <c r="E3" s="47"/>
      <c r="F3" s="47"/>
      <c r="G3" s="47"/>
      <c r="H3" s="48"/>
    </row>
    <row r="4" spans="1:8">
      <c r="A4" s="49" t="s">
        <v>138</v>
      </c>
      <c r="B4" s="50"/>
      <c r="C4" s="50"/>
      <c r="D4" s="50"/>
      <c r="E4" s="50"/>
      <c r="F4" s="50"/>
      <c r="G4" s="50"/>
      <c r="H4" s="51"/>
    </row>
    <row r="5" spans="1:8">
      <c r="A5" s="38"/>
      <c r="H5" s="39"/>
    </row>
    <row r="6" spans="1:8" ht="15.6" customHeight="1">
      <c r="A6" s="235" t="s">
        <v>208</v>
      </c>
      <c r="B6" s="236"/>
      <c r="C6" s="236"/>
      <c r="D6" s="236"/>
      <c r="E6" s="236"/>
      <c r="F6" s="236"/>
      <c r="G6" s="236"/>
      <c r="H6" s="237"/>
    </row>
    <row r="7" spans="1:8" ht="21.6" customHeight="1">
      <c r="A7" s="235"/>
      <c r="B7" s="236"/>
      <c r="C7" s="236"/>
      <c r="D7" s="236"/>
      <c r="E7" s="236"/>
      <c r="F7" s="236"/>
      <c r="G7" s="236"/>
      <c r="H7" s="237"/>
    </row>
    <row r="8" spans="1:8" ht="17.25" thickBot="1">
      <c r="A8" s="52"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C8" s="234" t="s">
        <v>221</v>
      </c>
      <c r="D8" s="234"/>
      <c r="E8" s="234"/>
      <c r="F8" s="194">
        <v>1</v>
      </c>
      <c r="G8" s="119" t="s">
        <v>309</v>
      </c>
      <c r="H8" s="162"/>
    </row>
    <row r="9" spans="1:8" ht="15.75" thickTop="1">
      <c r="A9" s="52" t="str">
        <f>"Код модели:"&amp;" "&amp;IFERROR(IF(ISBLANK(H8),IF(A6=Вмешательства!D4,INDEX(Код.Модели[#All],MATCH(ЧКВ!B21,Код.Модели[[#All],[Диагноз]],0),MATCH(ЧКВ!C11,Вмешательства!F2:T2,0))," ")," "),"")</f>
        <v>Код модели: 21166</v>
      </c>
      <c r="C9" s="234"/>
      <c r="D9" s="234"/>
      <c r="E9" s="234"/>
      <c r="F9" s="194"/>
      <c r="G9" s="119"/>
      <c r="H9" s="39"/>
    </row>
    <row r="10" spans="1:8">
      <c r="A10" s="52" t="str">
        <f>"Код метода:"&amp;" "&amp;IFERROR(IF(ISBLANK(ЧКВ!H8),IF(A6=Вмешательства!D4,INDEX(Код.Метода[#All],MATCH(ЧКВ!B21,Код.Метода[[#All],[Диагноз]],0),MATCH(ЧКВ!C11,Вмешательства!F12:T12,0))," ")," "),"")</f>
        <v>Код метода: 47</v>
      </c>
      <c r="B10" s="193"/>
      <c r="C10" s="238"/>
      <c r="D10" s="238"/>
      <c r="E10" s="238"/>
      <c r="F10" s="198"/>
      <c r="G10" s="119"/>
      <c r="H10" s="39"/>
    </row>
    <row r="11" spans="1:8">
      <c r="A11" s="196"/>
      <c r="B11" s="201"/>
      <c r="C11" s="197">
        <f>SUM(F8:F10)</f>
        <v>1</v>
      </c>
      <c r="H11" s="39"/>
    </row>
    <row r="12" spans="1:8" ht="18.75">
      <c r="A12" s="75" t="s">
        <v>191</v>
      </c>
      <c r="B12" s="20">
        <f>КАГ!B8</f>
        <v>45082</v>
      </c>
      <c r="C12" s="12"/>
      <c r="D12" s="16" t="s">
        <v>186</v>
      </c>
      <c r="E12" s="29"/>
      <c r="F12" s="29"/>
      <c r="G12" s="17"/>
      <c r="H12" s="18"/>
    </row>
    <row r="13" spans="1:8" ht="15.75">
      <c r="A13" s="76" t="s">
        <v>193</v>
      </c>
      <c r="B13" s="22">
        <v>8.3333333333333329E-2</v>
      </c>
      <c r="C13" s="12"/>
      <c r="D13" s="95" t="s">
        <v>172</v>
      </c>
      <c r="E13" s="93"/>
      <c r="F13" s="93"/>
      <c r="G13" s="79" t="str">
        <f>КАГ!G9</f>
        <v>Щербаков А.С.</v>
      </c>
      <c r="H13" s="91" t="str">
        <f>IF(ISBLANK(КАГ!H9),"",КАГ!H9)</f>
        <v/>
      </c>
    </row>
    <row r="14" spans="1:8" ht="15.75">
      <c r="A14" s="76" t="s">
        <v>194</v>
      </c>
      <c r="B14" s="22">
        <v>0.11805555555555557</v>
      </c>
      <c r="C14" s="12"/>
      <c r="D14" s="96" t="s">
        <v>173</v>
      </c>
      <c r="E14" s="94"/>
      <c r="F14" s="94"/>
      <c r="G14" s="80" t="str">
        <f>КАГ!G10</f>
        <v>Трунова А.С.</v>
      </c>
      <c r="H14" s="92" t="str">
        <f>IF(ISBLANK(КАГ!H10),"",КАГ!H10)</f>
        <v/>
      </c>
    </row>
    <row r="15" spans="1:8" ht="16.5" thickBot="1">
      <c r="A15" s="167" t="s">
        <v>391</v>
      </c>
      <c r="B15" s="192">
        <f>IF(B14&lt;B13,B14+1,B14)-B13</f>
        <v>3.4722222222222238E-2</v>
      </c>
      <c r="D15" s="96" t="s">
        <v>170</v>
      </c>
      <c r="E15" s="94"/>
      <c r="F15" s="94"/>
      <c r="G15" s="80" t="str">
        <f>КАГ!G11</f>
        <v>Берина Е.В.</v>
      </c>
      <c r="H15" s="92" t="str">
        <f>IF(ISBLANK(КАГ!H11),"",КАГ!H11)</f>
        <v/>
      </c>
    </row>
    <row r="16" spans="1:8" ht="18" thickTop="1" thickBot="1">
      <c r="A16" s="89" t="s">
        <v>192</v>
      </c>
      <c r="B16" s="156" t="str">
        <f>КАГ!B11</f>
        <v>Соколов Н.Я.</v>
      </c>
      <c r="D16" s="96" t="s">
        <v>303</v>
      </c>
      <c r="E16" s="94"/>
      <c r="F16" s="94"/>
      <c r="G16" s="80" t="str">
        <f>КАГ!G12</f>
        <v>Селезнёва М.В.</v>
      </c>
      <c r="H16" s="92" t="str">
        <f>IF(ISBLANK(КАГ!H12),"",КАГ!H12)</f>
        <v/>
      </c>
    </row>
    <row r="17" spans="1:8" ht="16.5" thickTop="1">
      <c r="A17" s="15" t="s">
        <v>8</v>
      </c>
      <c r="B17" s="67">
        <f>КАГ!B12</f>
        <v>17508</v>
      </c>
      <c r="D17" s="96" t="s">
        <v>184</v>
      </c>
      <c r="E17" s="94"/>
      <c r="F17" s="94"/>
      <c r="G17" s="80" t="str">
        <f>IF(ISBLANK(КАГ!G13),"",КАГ!G13)</f>
        <v/>
      </c>
      <c r="H17" s="92" t="str">
        <f>IF(ISBLANK(КАГ!H13),"",КАГ!H13)</f>
        <v/>
      </c>
    </row>
    <row r="18" spans="1:8" ht="15.75">
      <c r="A18" s="15" t="s">
        <v>10</v>
      </c>
      <c r="B18" s="30">
        <f>КАГ!B13</f>
        <v>75</v>
      </c>
      <c r="H18" s="39"/>
    </row>
    <row r="19" spans="1:8" ht="14.45" customHeight="1">
      <c r="A19" s="15" t="s">
        <v>12</v>
      </c>
      <c r="B19" s="68">
        <f>КАГ!B14</f>
        <v>14499</v>
      </c>
      <c r="C19" s="69"/>
      <c r="D19" s="69"/>
      <c r="E19" s="69"/>
      <c r="F19" s="69"/>
      <c r="G19" s="169" t="s">
        <v>403</v>
      </c>
      <c r="H19" s="184" t="str">
        <f>КАГ!H15</f>
        <v>03:40</v>
      </c>
    </row>
    <row r="20" spans="1:8" ht="14.45" customHeight="1">
      <c r="A20" s="15" t="s">
        <v>133</v>
      </c>
      <c r="B20" s="68">
        <f>КАГ!B15</f>
        <v>35</v>
      </c>
      <c r="C20" s="70"/>
      <c r="D20" s="70"/>
      <c r="E20" s="70"/>
      <c r="F20" s="70"/>
      <c r="G20" s="170" t="s">
        <v>406</v>
      </c>
      <c r="H20" s="185">
        <f>КАГ!H16</f>
        <v>2647</v>
      </c>
    </row>
    <row r="21" spans="1:8" ht="14.45" customHeight="1">
      <c r="A21" s="15" t="s">
        <v>106</v>
      </c>
      <c r="B21" s="67" t="str">
        <f>КАГ!B16</f>
        <v>ОКС с ↑ ST</v>
      </c>
      <c r="C21" s="70"/>
      <c r="E21" s="71"/>
      <c r="F21" s="71"/>
      <c r="G21" s="171" t="s">
        <v>392</v>
      </c>
      <c r="H21" s="172">
        <f>КАГ!H17</f>
        <v>5.0293000000000001</v>
      </c>
    </row>
    <row r="22" spans="1:8" ht="14.45" customHeight="1">
      <c r="A22" s="57" t="str">
        <f>КАГ!G18</f>
        <v>Доступ:</v>
      </c>
      <c r="B22" s="77" t="str">
        <f>КАГ!H18</f>
        <v>лучевой</v>
      </c>
      <c r="C22" s="70"/>
      <c r="D22" s="70"/>
      <c r="E22" s="70"/>
      <c r="F22" s="70"/>
      <c r="G22" s="188" t="str">
        <f>IF(B21=Вмешательства!F3,Вмешательства!F19,"")</f>
        <v>Реканализация:</v>
      </c>
      <c r="H22" s="189">
        <f>IFERROR(SUM(IF($B$21=Вмешательства!F3,SUM(КАГ!$B$9+0.01),"")),"")</f>
        <v>0.30166666666666669</v>
      </c>
    </row>
    <row r="23" spans="1:8" ht="14.45" customHeight="1">
      <c r="A23" s="65" t="s">
        <v>395</v>
      </c>
      <c r="B23" s="176" t="s">
        <v>394</v>
      </c>
      <c r="C23" s="166"/>
      <c r="D23" s="166"/>
      <c r="E23" s="166"/>
      <c r="F23" s="166"/>
      <c r="H23" s="39"/>
    </row>
    <row r="24" spans="1:8" ht="14.45" customHeight="1">
      <c r="A24" s="187" t="s">
        <v>393</v>
      </c>
      <c r="B24" s="174"/>
      <c r="C24" s="174"/>
      <c r="D24" s="174"/>
      <c r="E24" s="174"/>
      <c r="F24" s="174"/>
      <c r="G24" s="174"/>
      <c r="H24" s="175"/>
    </row>
    <row r="25" spans="1:8" ht="14.45" customHeight="1">
      <c r="A25" s="242" t="s">
        <v>518</v>
      </c>
      <c r="B25" s="243"/>
      <c r="C25" s="243"/>
      <c r="D25" s="243"/>
      <c r="E25" s="243"/>
      <c r="F25" s="243"/>
      <c r="G25" s="243"/>
      <c r="H25" s="244"/>
    </row>
    <row r="26" spans="1:8" ht="14.45" customHeight="1">
      <c r="A26" s="245"/>
      <c r="B26" s="243"/>
      <c r="C26" s="243"/>
      <c r="D26" s="243"/>
      <c r="E26" s="243"/>
      <c r="F26" s="243"/>
      <c r="G26" s="243"/>
      <c r="H26" s="244"/>
    </row>
    <row r="27" spans="1:8" ht="14.45" customHeight="1">
      <c r="A27" s="245"/>
      <c r="B27" s="243"/>
      <c r="C27" s="243"/>
      <c r="D27" s="243"/>
      <c r="E27" s="243"/>
      <c r="F27" s="243"/>
      <c r="G27" s="243"/>
      <c r="H27" s="244"/>
    </row>
    <row r="28" spans="1:8" ht="14.45" customHeight="1">
      <c r="A28" s="245"/>
      <c r="B28" s="243"/>
      <c r="C28" s="243"/>
      <c r="D28" s="243"/>
      <c r="E28" s="243"/>
      <c r="F28" s="243"/>
      <c r="G28" s="243"/>
      <c r="H28" s="244"/>
    </row>
    <row r="29" spans="1:8" ht="14.45" customHeight="1">
      <c r="A29" s="245"/>
      <c r="B29" s="243"/>
      <c r="C29" s="243"/>
      <c r="D29" s="243"/>
      <c r="E29" s="243"/>
      <c r="F29" s="243"/>
      <c r="G29" s="243"/>
      <c r="H29" s="244"/>
    </row>
    <row r="30" spans="1:8" ht="14.45" customHeight="1">
      <c r="A30" s="245"/>
      <c r="B30" s="243"/>
      <c r="C30" s="243"/>
      <c r="D30" s="243"/>
      <c r="E30" s="243"/>
      <c r="F30" s="243"/>
      <c r="G30" s="243"/>
      <c r="H30" s="244"/>
    </row>
    <row r="31" spans="1:8" ht="14.45" customHeight="1">
      <c r="A31" s="245"/>
      <c r="B31" s="243"/>
      <c r="C31" s="243"/>
      <c r="D31" s="243"/>
      <c r="E31" s="243"/>
      <c r="F31" s="243"/>
      <c r="G31" s="243"/>
      <c r="H31" s="244"/>
    </row>
    <row r="32" spans="1:8" ht="14.45" customHeight="1">
      <c r="A32" s="245"/>
      <c r="B32" s="243"/>
      <c r="C32" s="243"/>
      <c r="D32" s="243"/>
      <c r="E32" s="243"/>
      <c r="F32" s="243"/>
      <c r="G32" s="243"/>
      <c r="H32" s="244"/>
    </row>
    <row r="33" spans="1:12" ht="14.45" customHeight="1">
      <c r="A33" s="245"/>
      <c r="B33" s="243"/>
      <c r="C33" s="243"/>
      <c r="D33" s="243"/>
      <c r="E33" s="243"/>
      <c r="F33" s="243"/>
      <c r="G33" s="243"/>
      <c r="H33" s="244"/>
    </row>
    <row r="34" spans="1:12" ht="14.45" customHeight="1">
      <c r="A34" s="245"/>
      <c r="B34" s="243"/>
      <c r="C34" s="243"/>
      <c r="D34" s="243"/>
      <c r="E34" s="243"/>
      <c r="F34" s="243"/>
      <c r="G34" s="243"/>
      <c r="H34" s="244"/>
    </row>
    <row r="35" spans="1:12" ht="14.45" customHeight="1">
      <c r="A35" s="245"/>
      <c r="B35" s="243"/>
      <c r="C35" s="243"/>
      <c r="D35" s="243"/>
      <c r="E35" s="243"/>
      <c r="F35" s="243"/>
      <c r="G35" s="243"/>
      <c r="H35" s="244"/>
    </row>
    <row r="36" spans="1:12" ht="14.45" customHeight="1">
      <c r="A36" s="245"/>
      <c r="B36" s="243"/>
      <c r="C36" s="243"/>
      <c r="D36" s="243"/>
      <c r="E36" s="243"/>
      <c r="F36" s="243"/>
      <c r="G36" s="243"/>
      <c r="H36" s="244"/>
    </row>
    <row r="37" spans="1:12" ht="14.45" customHeight="1">
      <c r="A37" s="245"/>
      <c r="B37" s="243"/>
      <c r="C37" s="243"/>
      <c r="D37" s="243"/>
      <c r="E37" s="243"/>
      <c r="F37" s="243"/>
      <c r="G37" s="243"/>
      <c r="H37" s="244"/>
    </row>
    <row r="38" spans="1:12" ht="14.45" customHeight="1">
      <c r="A38" s="181" t="s">
        <v>399</v>
      </c>
      <c r="B38" s="179"/>
      <c r="C38" s="180"/>
      <c r="D38" s="180"/>
      <c r="E38" s="190" t="str">
        <f>IF(A6=Вмешательства!D4,Вмешательства!V16,IF(ЧКВ!A6=Вмешательства!D36,Вмешательства!V16,"-----"))</f>
        <v>СТЕНТ/Ы</v>
      </c>
      <c r="F38" s="180"/>
      <c r="G38" s="183"/>
    </row>
    <row r="39" spans="1:12" ht="15.75">
      <c r="A39" s="177" t="s">
        <v>396</v>
      </c>
      <c r="B39" s="70" t="s">
        <v>398</v>
      </c>
      <c r="C39" s="122"/>
      <c r="D39" s="123" t="s">
        <v>187</v>
      </c>
      <c r="E39" s="72"/>
      <c r="F39" s="72"/>
      <c r="G39" s="72"/>
      <c r="H39" s="73"/>
    </row>
    <row r="40" spans="1:12" ht="14.45" customHeight="1">
      <c r="A40" s="178" t="s">
        <v>397</v>
      </c>
      <c r="B40" s="182" t="s">
        <v>390</v>
      </c>
      <c r="C40" s="121"/>
      <c r="D40" s="239" t="s">
        <v>517</v>
      </c>
      <c r="E40" s="240"/>
      <c r="F40" s="240"/>
      <c r="G40" s="240"/>
      <c r="H40" s="241"/>
    </row>
    <row r="41" spans="1:12" ht="14.45" customHeight="1">
      <c r="A41" s="32"/>
      <c r="B41" s="28"/>
      <c r="C41" s="121"/>
      <c r="D41" s="240"/>
      <c r="E41" s="240"/>
      <c r="F41" s="240"/>
      <c r="G41" s="240"/>
      <c r="H41" s="241"/>
    </row>
    <row r="42" spans="1:12" ht="14.45" customHeight="1">
      <c r="A42" s="32"/>
      <c r="B42" s="28"/>
      <c r="C42" s="121"/>
      <c r="D42" s="240"/>
      <c r="E42" s="240"/>
      <c r="F42" s="240"/>
      <c r="G42" s="240"/>
      <c r="H42" s="241"/>
    </row>
    <row r="43" spans="1:12" ht="14.45" customHeight="1">
      <c r="A43" s="32"/>
      <c r="B43" s="28"/>
      <c r="C43" s="121"/>
      <c r="D43" s="240"/>
      <c r="E43" s="240"/>
      <c r="F43" s="240"/>
      <c r="G43" s="240"/>
      <c r="H43" s="241"/>
    </row>
    <row r="44" spans="1:12" ht="14.45" customHeight="1">
      <c r="A44" s="32"/>
      <c r="B44" s="28"/>
      <c r="C44" s="121"/>
      <c r="D44" s="240"/>
      <c r="E44" s="240"/>
      <c r="F44" s="240"/>
      <c r="G44" s="240"/>
      <c r="H44" s="241"/>
      <c r="L44" s="164"/>
    </row>
    <row r="45" spans="1:12" ht="14.45" customHeight="1">
      <c r="A45" s="32"/>
      <c r="B45" s="28"/>
      <c r="C45" s="121"/>
      <c r="D45" s="240"/>
      <c r="E45" s="240"/>
      <c r="F45" s="240"/>
      <c r="G45" s="240"/>
      <c r="H45" s="241"/>
    </row>
    <row r="46" spans="1:12" ht="14.45" customHeight="1">
      <c r="A46" s="32"/>
      <c r="B46" s="28"/>
      <c r="C46" s="121"/>
      <c r="D46" s="240"/>
      <c r="E46" s="240"/>
      <c r="F46" s="240"/>
      <c r="G46" s="240"/>
      <c r="H46" s="241"/>
    </row>
    <row r="47" spans="1:12" ht="14.45" customHeight="1">
      <c r="A47" s="38"/>
      <c r="C47" s="121"/>
      <c r="D47" s="240"/>
      <c r="E47" s="240"/>
      <c r="F47" s="240"/>
      <c r="G47" s="240"/>
      <c r="H47" s="241"/>
    </row>
    <row r="48" spans="1:12" ht="14.45" customHeight="1">
      <c r="A48" s="38"/>
      <c r="C48" s="121"/>
      <c r="D48" s="240"/>
      <c r="E48" s="240"/>
      <c r="F48" s="240"/>
      <c r="G48" s="240"/>
      <c r="H48" s="241"/>
    </row>
    <row r="49" spans="1:8" ht="14.45" customHeight="1">
      <c r="A49" s="38"/>
      <c r="C49" s="121"/>
      <c r="D49" s="240"/>
      <c r="E49" s="240"/>
      <c r="F49" s="240"/>
      <c r="G49" s="240"/>
      <c r="H49" s="241"/>
    </row>
    <row r="50" spans="1:8">
      <c r="A50" s="62" t="s">
        <v>199</v>
      </c>
      <c r="B50" s="63" t="s">
        <v>516</v>
      </c>
      <c r="H50" s="39"/>
    </row>
    <row r="51" spans="1:8">
      <c r="A51" s="65" t="s">
        <v>206</v>
      </c>
      <c r="B51" s="66" t="s">
        <v>311</v>
      </c>
      <c r="G51" s="74" t="str">
        <f>$G$13</f>
        <v>Щербаков А.С.</v>
      </c>
      <c r="H51" s="64"/>
    </row>
    <row r="52" spans="1:8">
      <c r="A52" s="225" t="s">
        <v>374</v>
      </c>
      <c r="B52" s="226"/>
      <c r="C52" s="226"/>
      <c r="D52" s="226"/>
      <c r="E52" s="226"/>
      <c r="F52" s="227"/>
      <c r="H52" s="39"/>
    </row>
    <row r="53" spans="1:8" ht="15" customHeight="1">
      <c r="A53" s="228"/>
      <c r="B53" s="229"/>
      <c r="C53" s="229"/>
      <c r="D53" s="229"/>
      <c r="E53" s="229"/>
      <c r="F53" s="230"/>
      <c r="G53" s="74" t="str">
        <f>IF(ISBLANK(H13),"",H13)</f>
        <v/>
      </c>
      <c r="H53" s="64"/>
    </row>
    <row r="54" spans="1:8">
      <c r="A54" s="231"/>
      <c r="B54" s="232"/>
      <c r="C54" s="232"/>
      <c r="D54" s="232"/>
      <c r="E54" s="232"/>
      <c r="F54" s="233"/>
      <c r="G54" s="31"/>
      <c r="H54" s="41"/>
    </row>
  </sheetData>
  <sheetProtection sheet="1" formatCells="0" formatColumns="0"/>
  <mergeCells count="7">
    <mergeCell ref="A52:F54"/>
    <mergeCell ref="C8:E8"/>
    <mergeCell ref="A6:H7"/>
    <mergeCell ref="C9:E9"/>
    <mergeCell ref="C10:E10"/>
    <mergeCell ref="D40:H49"/>
    <mergeCell ref="A25:H37"/>
  </mergeCells>
  <phoneticPr fontId="14" type="noConversion"/>
  <dataValidations count="9">
    <dataValidation type="list" allowBlank="1" showInputMessage="1" showErrorMessage="1" sqref="B50 B40">
      <formula1>"50 ml,100 ml,150 ml,200 ml,250 ml,300 ml,350 ml,400 ml,450 ml,500 ml,"</formula1>
    </dataValidation>
    <dataValidation type="list" allowBlank="1" showInputMessage="1" showErrorMessage="1" sqref="B51">
      <formula1>"Извлечён,Оставлен,М/О ушито Angio-Seal™"</formula1>
    </dataValidation>
    <dataValidation type="list" allowBlank="1" showInputMessage="1" showErrorMessage="1" sqref="A50">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G9:G10">
      <formula1>"DES,BMS"</formula1>
    </dataValidation>
    <dataValidation type="list" allowBlank="1" showInputMessage="1" showErrorMessage="1" sqref="B23">
      <formula1>"м/а,общий"</formula1>
    </dataValidation>
    <dataValidation type="list" allowBlank="1" showInputMessage="1" showErrorMessage="1" sqref="B39">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Вмешательства!$F$23:$F$24</xm:f>
          </x14:formula1>
          <xm:sqref>H8</xm:sqref>
        </x14:dataValidation>
        <x14:dataValidation type="list" allowBlank="1" showInputMessage="1" showErrorMessage="1">
          <x14:formula1>
            <xm:f>Вмешательства!$H$2:$T$2</xm:f>
          </x14:formula1>
          <xm:sqref>F8:F10</xm:sqref>
        </x14:dataValidation>
        <x14:dataValidation type="list" allowBlank="1" showInputMessage="1" showErrorMessage="1">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showWhiteSpace="0" view="pageBreakPreview" zoomScaleNormal="90" zoomScaleSheetLayoutView="100" zoomScalePageLayoutView="80" workbookViewId="0">
      <selection activeCell="E15" sqref="E15"/>
    </sheetView>
  </sheetViews>
  <sheetFormatPr defaultRowHeight="15"/>
  <cols>
    <col min="1" max="1" width="18.7109375" customWidth="1"/>
    <col min="2" max="2" width="45.8554687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c r="A1" s="27"/>
      <c r="B1" s="113"/>
      <c r="C1" s="113"/>
      <c r="D1" s="114"/>
    </row>
    <row r="2" spans="1:4" ht="19.899999999999999" customHeight="1">
      <c r="A2" s="97" t="s">
        <v>98</v>
      </c>
      <c r="B2" s="98">
        <f>$D$10</f>
        <v>45082</v>
      </c>
      <c r="C2" s="155" t="str">
        <f>IF(ЧКВ!A6=Вмешательства!D4,Вмешательства!F20,IF(ЧКВ!A6=Вмешательства!D36,Вмешательства!F20,Вмешательства!F22))</f>
        <v>ВМП 1</v>
      </c>
      <c r="D2" s="99" t="s">
        <v>99</v>
      </c>
    </row>
    <row r="3" spans="1:4" ht="20.45" customHeight="1">
      <c r="A3" s="100" t="s">
        <v>97</v>
      </c>
      <c r="B3" s="101"/>
      <c r="D3" s="39"/>
    </row>
    <row r="4" spans="1:4" ht="17.25" thickBot="1">
      <c r="A4" s="149" t="s">
        <v>195</v>
      </c>
      <c r="B4" s="150" t="s">
        <v>105</v>
      </c>
      <c r="C4" s="151" t="s">
        <v>15</v>
      </c>
      <c r="D4" s="152" t="str">
        <f>КАГ!$B$11</f>
        <v>Соколов Н.Я.</v>
      </c>
    </row>
    <row r="5" spans="1:4" ht="15.75" thickTop="1">
      <c r="A5" s="134"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5" t="str">
        <f>IF(ISBLANK(КАГ!A6),"",КАГ!A6)</f>
        <v>КОРОНАРОГРАФИЯ</v>
      </c>
      <c r="C5" s="133" t="s">
        <v>8</v>
      </c>
      <c r="D5" s="103">
        <f>КАГ!$B$12</f>
        <v>17508</v>
      </c>
    </row>
    <row r="6" spans="1:4" ht="30">
      <c r="A6" s="134"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36" t="str">
        <f>ЧКВ!A6</f>
        <v xml:space="preserve">Транслюминальная баллонная ангиопластика и стентирование коронарных артерий. </v>
      </c>
      <c r="C6" s="133" t="s">
        <v>10</v>
      </c>
      <c r="D6" s="104">
        <f>DATEDIF(D5,D10,"y")</f>
        <v>75</v>
      </c>
    </row>
    <row r="7" spans="1:4">
      <c r="A7" s="38"/>
      <c r="C7" s="102" t="s">
        <v>12</v>
      </c>
      <c r="D7" s="104">
        <f>КАГ!$B$14</f>
        <v>14499</v>
      </c>
    </row>
    <row r="8" spans="1:4">
      <c r="A8" s="199" t="str">
        <f>ЧКВ!$A$9</f>
        <v>Код модели: 21166</v>
      </c>
      <c r="B8" s="105"/>
      <c r="C8" s="102" t="s">
        <v>133</v>
      </c>
      <c r="D8" s="104">
        <f>КАГ!$B$15</f>
        <v>35</v>
      </c>
    </row>
    <row r="9" spans="1:4">
      <c r="A9" s="199" t="str">
        <f>ЧКВ!$A$10</f>
        <v>Код метода: 47</v>
      </c>
      <c r="C9" s="106" t="s">
        <v>106</v>
      </c>
      <c r="D9" s="104" t="str">
        <f>КАГ!$B$16</f>
        <v>ОКС с ↑ ST</v>
      </c>
    </row>
    <row r="10" spans="1:4">
      <c r="A10" s="200"/>
      <c r="B10" s="31"/>
      <c r="C10" s="153" t="s">
        <v>13</v>
      </c>
      <c r="D10" s="154">
        <f>КАГ!$B$8</f>
        <v>45082</v>
      </c>
    </row>
    <row r="11" spans="1:4">
      <c r="A11" s="27"/>
      <c r="B11" s="113"/>
      <c r="C11" s="113"/>
      <c r="D11" s="114"/>
    </row>
    <row r="12" spans="1:4" ht="18.75" customHeight="1">
      <c r="A12" s="138" t="s">
        <v>336</v>
      </c>
      <c r="B12" s="139" t="s">
        <v>0</v>
      </c>
      <c r="C12" s="139" t="s">
        <v>14</v>
      </c>
      <c r="D12" s="140" t="s">
        <v>100</v>
      </c>
    </row>
    <row r="13" spans="1:4" ht="27.75" customHeight="1">
      <c r="A13" s="141"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7" t="s">
        <v>514</v>
      </c>
      <c r="C13" s="191"/>
      <c r="D13" s="142">
        <v>1</v>
      </c>
    </row>
    <row r="14" spans="1:4" ht="27.75" customHeight="1">
      <c r="A14" s="143"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4" s="158" t="s">
        <v>315</v>
      </c>
      <c r="C14" s="137"/>
      <c r="D14" s="142">
        <v>1</v>
      </c>
    </row>
    <row r="15" spans="1:4" ht="27.75" customHeight="1">
      <c r="A15" s="143"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5" s="158" t="s">
        <v>326</v>
      </c>
      <c r="C15" s="137"/>
      <c r="D15" s="142">
        <v>1</v>
      </c>
    </row>
    <row r="16" spans="1:4" ht="27.75" customHeight="1">
      <c r="A16" s="143"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6" s="158" t="s">
        <v>324</v>
      </c>
      <c r="C16" s="137" t="s">
        <v>460</v>
      </c>
      <c r="D16" s="142">
        <v>1</v>
      </c>
    </row>
    <row r="17" spans="1:4" ht="27.75" customHeight="1">
      <c r="A17" s="143"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7" s="158" t="s">
        <v>402</v>
      </c>
      <c r="C17" s="137" t="s">
        <v>497</v>
      </c>
      <c r="D17" s="142">
        <v>1</v>
      </c>
    </row>
    <row r="18" spans="1:4" ht="27.75" customHeight="1">
      <c r="A18" s="143" t="str">
        <f>IFERROR(INDEX(Расходка[[Тип расходного материала ]],MATCH(Карта_Учёта[[#This Row],[Наименование расходного материала]],Расходка[Наименование расходного материала],0)),"")</f>
        <v>Аспирационный катетер</v>
      </c>
      <c r="B18" s="158" t="s">
        <v>310</v>
      </c>
      <c r="C18" s="137"/>
      <c r="D18" s="142">
        <v>1</v>
      </c>
    </row>
    <row r="19" spans="1:4" ht="27.75" customHeight="1">
      <c r="A19" s="143" t="str">
        <f>IFERROR(INDEX(Расходка[[Тип расходного материала ]],MATCH(Карта_Учёта[[#This Row],[Наименование расходного материала]],Расходка[Наименование расходного материала],0)),"")</f>
        <v/>
      </c>
      <c r="B19" s="158"/>
      <c r="C19" s="186"/>
      <c r="D19" s="142"/>
    </row>
    <row r="20" spans="1:4" ht="27.75" customHeight="1">
      <c r="A20" s="143" t="str">
        <f>IFERROR(INDEX(Расходка[[Тип расходного материала ]],MATCH(Карта_Учёта[[#This Row],[Наименование расходного материала]],Расходка[Наименование расходного материала],0)),"")</f>
        <v/>
      </c>
      <c r="B20" s="159"/>
      <c r="C20" s="137"/>
      <c r="D20" s="142"/>
    </row>
    <row r="21" spans="1:4" ht="27.75" customHeight="1">
      <c r="A21" s="143" t="str">
        <f>IFERROR(INDEX(Расходка[[Тип расходного материала ]],MATCH(Карта_Учёта[[#This Row],[Наименование расходного материала]],Расходка[Наименование расходного материала],0)),"")</f>
        <v/>
      </c>
      <c r="B21" s="158"/>
      <c r="C21" s="137"/>
      <c r="D21" s="142"/>
    </row>
    <row r="22" spans="1:4" ht="27.75" customHeight="1">
      <c r="A22" s="143" t="str">
        <f>IFERROR(INDEX(Расходка[[Тип расходного материала ]],MATCH(Карта_Учёта[[#This Row],[Наименование расходного материала]],Расходка[Наименование расходного материала],0)),"")</f>
        <v/>
      </c>
      <c r="B22" s="158"/>
      <c r="C22" s="137"/>
      <c r="D22" s="144"/>
    </row>
    <row r="23" spans="1:4" ht="27.75" customHeight="1">
      <c r="A23" s="143" t="str">
        <f>IFERROR(INDEX(Расходка[[Тип расходного материала ]],MATCH(Карта_Учёта[[#This Row],[Наименование расходного материала]],Расходка[Наименование расходного материала],0)),"")</f>
        <v/>
      </c>
      <c r="B23" s="158"/>
      <c r="C23" s="137"/>
      <c r="D23" s="144"/>
    </row>
    <row r="24" spans="1:4" ht="27.75" customHeight="1">
      <c r="A24" s="145" t="str">
        <f>IFERROR(INDEX(Расходка[[Тип расходного материала ]],MATCH(Карта_Учёта[[#This Row],[Наименование расходного материала]],Расходка[Наименование расходного материала],0)),"")</f>
        <v/>
      </c>
      <c r="B24" s="158"/>
      <c r="C24" s="137"/>
      <c r="D24" s="144"/>
    </row>
    <row r="25" spans="1:4" ht="27.75" customHeight="1">
      <c r="A25" s="146" t="str">
        <f>IFERROR(INDEX(Расходка[[Тип расходного материала ]],MATCH(Карта_Учёта[[#This Row],[Наименование расходного материала]],Расходка[Наименование расходного материала],0)),"")</f>
        <v/>
      </c>
      <c r="B25" s="160"/>
      <c r="C25" s="147"/>
      <c r="D25" s="148"/>
    </row>
    <row r="26" spans="1:4" ht="14.45" customHeight="1">
      <c r="A26" s="107" t="str">
        <f>IFERROR(INDEX(Расходка[[Тип расходного материала ]],MATCH(Карта_Учёта[[#This Row],[Наименование расходного материала]],Расходка[Наименование расходного материала],0)),"")</f>
        <v/>
      </c>
      <c r="B26" s="109"/>
      <c r="C26" s="110"/>
      <c r="D26" s="108"/>
    </row>
    <row r="27" spans="1:4" ht="14.45" customHeight="1">
      <c r="A27" s="107" t="str">
        <f>IFERROR(INDEX(Расходка[[Тип расходного материала ]],MATCH(Карта_Учёта[[#This Row],[Наименование расходного материала]],Расходка[Наименование расходного материала],0)),"")</f>
        <v/>
      </c>
      <c r="B27" s="109"/>
      <c r="C27" s="110"/>
      <c r="D27" s="108"/>
    </row>
    <row r="28" spans="1:4" ht="14.45" customHeight="1">
      <c r="A28" s="38" t="s">
        <v>11</v>
      </c>
      <c r="B28" t="s">
        <v>11</v>
      </c>
      <c r="D28" s="39"/>
    </row>
    <row r="29" spans="1:4" ht="14.45" customHeight="1">
      <c r="A29" s="38" t="s">
        <v>11</v>
      </c>
      <c r="B29" t="s">
        <v>11</v>
      </c>
      <c r="D29" s="39"/>
    </row>
    <row r="30" spans="1:4" ht="14.45" customHeight="1">
      <c r="A30" s="38" t="s">
        <v>11</v>
      </c>
      <c r="B30" t="s">
        <v>11</v>
      </c>
      <c r="D30" s="39"/>
    </row>
    <row r="31" spans="1:4" ht="14.45" customHeight="1">
      <c r="A31" s="38" t="s">
        <v>11</v>
      </c>
      <c r="B31" t="s">
        <v>11</v>
      </c>
      <c r="D31" s="39"/>
    </row>
    <row r="32" spans="1:4" ht="14.45" customHeight="1">
      <c r="A32" s="38" t="s">
        <v>11</v>
      </c>
      <c r="D32" s="39"/>
    </row>
    <row r="33" spans="1:4" ht="14.45" customHeight="1">
      <c r="A33" s="38"/>
      <c r="D33" s="39"/>
    </row>
    <row r="34" spans="1:4" ht="14.45" customHeight="1">
      <c r="A34" s="38"/>
      <c r="D34" s="39"/>
    </row>
    <row r="35" spans="1:4" ht="19.899999999999999" customHeight="1">
      <c r="A35" s="38"/>
      <c r="B35" s="111" t="s">
        <v>380</v>
      </c>
      <c r="C35" s="13"/>
      <c r="D35" s="39"/>
    </row>
    <row r="36" spans="1:4" ht="19.899999999999999" customHeight="1">
      <c r="A36" s="38"/>
      <c r="D36" s="39"/>
    </row>
    <row r="37" spans="1:4" ht="19.899999999999999" customHeight="1">
      <c r="A37" s="38"/>
      <c r="B37" s="118" t="str">
        <f>"Оператор:"&amp;" "&amp;ЧКВ!$G$13</f>
        <v>Оператор: Щербаков А.С.</v>
      </c>
      <c r="C37" s="13"/>
      <c r="D37" s="39"/>
    </row>
    <row r="38" spans="1:4" ht="19.899999999999999" customHeight="1">
      <c r="A38" s="38"/>
      <c r="D38" s="39"/>
    </row>
    <row r="39" spans="1:4" ht="19.899999999999999" customHeight="1">
      <c r="A39" s="38"/>
      <c r="B39" s="112" t="s">
        <v>515</v>
      </c>
      <c r="C39" s="115"/>
      <c r="D39" s="39"/>
    </row>
    <row r="40" spans="1:4" ht="19.899999999999999" customHeight="1">
      <c r="A40" s="40"/>
      <c r="B40" s="31"/>
      <c r="C40" s="31"/>
      <c r="D40" s="41"/>
    </row>
    <row r="41" spans="1:4" ht="14.45" customHeight="1">
      <c r="C41" s="11"/>
    </row>
  </sheetData>
  <sheetProtection sheet="1" formatCells="0" formatColumns="0" formatRows="0" sort="0" autoFilter="0"/>
  <phoneticPr fontId="14"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17">
      <formula1>ВЫП.Список_Расходка_5</formula1>
    </dataValidation>
    <dataValidation type="list" allowBlank="1" showInputMessage="1" sqref="B18">
      <formula1>ВЫП.Список_Расходка_6</formula1>
    </dataValidation>
    <dataValidation type="list" allowBlank="1" showInputMessage="1" sqref="B19">
      <formula1>ВЫП.Список_Расходка_7</formula1>
    </dataValidation>
    <dataValidation type="list" allowBlank="1" showInputMessage="1" sqref="B20">
      <formula1>ВЫП.Список_Расходка_8</formula1>
    </dataValidation>
    <dataValidation type="list" allowBlank="1" showInputMessage="1" sqref="B21">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zoomScale="90" zoomScaleNormal="90" workbookViewId="0">
      <pane ySplit="1" topLeftCell="A2" activePane="bottomLeft" state="frozen"/>
      <selection pane="bottomLeft" activeCell="V21" sqref="V21"/>
    </sheetView>
  </sheetViews>
  <sheetFormatPr defaultRowHeight="15" outlineLevelCol="1"/>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c r="A1" s="6" t="s">
        <v>2</v>
      </c>
      <c r="B1" s="6" t="s">
        <v>7</v>
      </c>
      <c r="C1" s="7" t="s">
        <v>16</v>
      </c>
      <c r="D1" s="9" t="s">
        <v>17</v>
      </c>
      <c r="V1" t="s">
        <v>227</v>
      </c>
    </row>
    <row r="2" spans="1:23">
      <c r="A2" s="8">
        <v>1</v>
      </c>
      <c r="B2" s="2" t="s">
        <v>9</v>
      </c>
      <c r="C2" s="8" t="s">
        <v>228</v>
      </c>
      <c r="D2" s="5" t="s">
        <v>213</v>
      </c>
      <c r="F2" t="s">
        <v>106</v>
      </c>
      <c r="G2" s="3" t="s">
        <v>491</v>
      </c>
      <c r="H2" s="3">
        <v>1</v>
      </c>
      <c r="I2" s="3">
        <v>2</v>
      </c>
      <c r="J2" s="3">
        <v>3</v>
      </c>
      <c r="K2" s="3">
        <v>4</v>
      </c>
      <c r="L2" s="3">
        <v>5</v>
      </c>
      <c r="M2" s="3">
        <v>6</v>
      </c>
      <c r="N2" s="3">
        <v>7</v>
      </c>
      <c r="O2" s="3">
        <v>8</v>
      </c>
      <c r="P2" s="3">
        <v>9</v>
      </c>
      <c r="Q2" s="3">
        <v>10</v>
      </c>
      <c r="R2" s="3">
        <v>11</v>
      </c>
      <c r="S2" s="3">
        <v>12</v>
      </c>
      <c r="T2" s="3">
        <v>13</v>
      </c>
      <c r="V2" t="s">
        <v>217</v>
      </c>
    </row>
    <row r="3" spans="1:23">
      <c r="A3" s="8">
        <v>2</v>
      </c>
      <c r="B3" s="2" t="s">
        <v>18</v>
      </c>
      <c r="C3" s="8" t="s">
        <v>85</v>
      </c>
      <c r="D3" s="5" t="s">
        <v>214</v>
      </c>
      <c r="F3" t="s">
        <v>490</v>
      </c>
      <c r="G3" s="3" t="s">
        <v>491</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c r="A4" s="8">
        <v>3</v>
      </c>
      <c r="B4" s="2" t="s">
        <v>38</v>
      </c>
      <c r="C4" s="8" t="s">
        <v>39</v>
      </c>
      <c r="D4" s="5" t="s">
        <v>208</v>
      </c>
      <c r="F4" t="s">
        <v>312</v>
      </c>
      <c r="G4" s="3" t="s">
        <v>491</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c r="A5" s="8">
        <v>4</v>
      </c>
      <c r="B5" s="2" t="s">
        <v>36</v>
      </c>
      <c r="C5" s="8" t="s">
        <v>37</v>
      </c>
      <c r="D5" s="5" t="s">
        <v>405</v>
      </c>
      <c r="F5" t="s">
        <v>131</v>
      </c>
      <c r="G5" s="3" t="s">
        <v>491</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c r="A6" s="8">
        <v>5</v>
      </c>
      <c r="B6" s="2"/>
      <c r="C6" s="8" t="s">
        <v>229</v>
      </c>
      <c r="D6" s="5" t="s">
        <v>132</v>
      </c>
      <c r="F6" t="s">
        <v>125</v>
      </c>
      <c r="G6" s="3" t="s">
        <v>491</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c r="A7" s="8">
        <v>6</v>
      </c>
      <c r="B7" s="2"/>
      <c r="C7" s="8" t="s">
        <v>80</v>
      </c>
      <c r="D7" s="5" t="s">
        <v>247</v>
      </c>
      <c r="F7" t="s">
        <v>127</v>
      </c>
      <c r="G7" s="3" t="s">
        <v>491</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c r="A8" s="8">
        <v>7</v>
      </c>
      <c r="B8" s="2" t="s">
        <v>35</v>
      </c>
      <c r="C8" s="8" t="s">
        <v>86</v>
      </c>
      <c r="D8" s="5" t="s">
        <v>87</v>
      </c>
      <c r="F8" t="s">
        <v>126</v>
      </c>
      <c r="G8" s="3" t="s">
        <v>491</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c r="A9" s="8">
        <v>8</v>
      </c>
      <c r="B9" s="2"/>
      <c r="C9" s="8" t="s">
        <v>230</v>
      </c>
      <c r="D9" s="5" t="s">
        <v>139</v>
      </c>
      <c r="F9" t="s">
        <v>128</v>
      </c>
      <c r="G9" s="3" t="s">
        <v>491</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c r="A10" s="8">
        <v>9</v>
      </c>
      <c r="B10" s="2" t="s">
        <v>25</v>
      </c>
      <c r="C10" s="8" t="s">
        <v>231</v>
      </c>
      <c r="D10" s="5" t="s">
        <v>26</v>
      </c>
      <c r="G10" s="3"/>
      <c r="H10" s="12"/>
      <c r="I10" s="12"/>
      <c r="J10" s="3"/>
      <c r="K10" s="3"/>
      <c r="L10" s="3"/>
      <c r="M10" s="3"/>
      <c r="N10" s="12"/>
      <c r="O10" s="12"/>
      <c r="P10" s="12"/>
      <c r="Q10" s="12"/>
      <c r="R10" s="12"/>
      <c r="S10" s="12"/>
      <c r="T10" s="12"/>
      <c r="V10" t="s">
        <v>224</v>
      </c>
    </row>
    <row r="11" spans="1:23">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c r="A12" s="8">
        <v>11</v>
      </c>
      <c r="B12" s="2" t="s">
        <v>21</v>
      </c>
      <c r="C12" s="8" t="s">
        <v>233</v>
      </c>
      <c r="D12" s="5" t="s">
        <v>22</v>
      </c>
      <c r="F12" t="s">
        <v>106</v>
      </c>
      <c r="G12" s="3" t="s">
        <v>492</v>
      </c>
      <c r="H12" s="3">
        <v>1</v>
      </c>
      <c r="I12" s="3">
        <v>2</v>
      </c>
      <c r="J12" s="3">
        <v>3</v>
      </c>
      <c r="K12" s="3">
        <v>4</v>
      </c>
      <c r="L12" s="3">
        <v>5</v>
      </c>
      <c r="M12" s="3">
        <v>6</v>
      </c>
      <c r="N12" s="3">
        <v>7</v>
      </c>
      <c r="O12" s="3">
        <v>8</v>
      </c>
      <c r="P12" s="3">
        <v>9</v>
      </c>
      <c r="Q12" s="3">
        <v>10</v>
      </c>
      <c r="R12" s="3">
        <v>11</v>
      </c>
      <c r="S12" s="3">
        <v>12</v>
      </c>
      <c r="T12" s="3">
        <v>13</v>
      </c>
      <c r="V12" t="s">
        <v>225</v>
      </c>
      <c r="W12" s="12"/>
    </row>
    <row r="13" spans="1:23">
      <c r="A13" s="8">
        <v>12</v>
      </c>
      <c r="B13" s="2" t="s">
        <v>23</v>
      </c>
      <c r="C13" s="8" t="s">
        <v>234</v>
      </c>
      <c r="D13" s="5" t="s">
        <v>24</v>
      </c>
      <c r="F13" t="s">
        <v>490</v>
      </c>
      <c r="G13" s="3" t="s">
        <v>492</v>
      </c>
      <c r="H13" s="3">
        <v>47</v>
      </c>
      <c r="I13" s="3">
        <v>46</v>
      </c>
      <c r="J13" s="3">
        <v>45</v>
      </c>
      <c r="K13" s="3">
        <v>45</v>
      </c>
      <c r="L13" s="3">
        <v>45</v>
      </c>
      <c r="M13" s="3">
        <v>45</v>
      </c>
      <c r="N13" s="3">
        <v>45</v>
      </c>
      <c r="O13" s="3">
        <v>45</v>
      </c>
      <c r="P13" s="3">
        <v>45</v>
      </c>
      <c r="Q13" s="3">
        <v>45</v>
      </c>
      <c r="R13" s="3">
        <v>45</v>
      </c>
      <c r="S13" s="3">
        <v>45</v>
      </c>
      <c r="T13" s="3">
        <v>45</v>
      </c>
      <c r="V13" t="s">
        <v>226</v>
      </c>
      <c r="W13" s="12"/>
    </row>
    <row r="14" spans="1:23">
      <c r="A14" s="8">
        <v>13</v>
      </c>
      <c r="B14" s="2" t="s">
        <v>27</v>
      </c>
      <c r="C14" s="8" t="s">
        <v>235</v>
      </c>
      <c r="D14" s="5" t="s">
        <v>28</v>
      </c>
      <c r="F14" t="s">
        <v>312</v>
      </c>
      <c r="G14" s="3" t="s">
        <v>492</v>
      </c>
      <c r="H14" s="3">
        <v>47</v>
      </c>
      <c r="I14" s="3">
        <v>46</v>
      </c>
      <c r="J14" s="3">
        <v>45</v>
      </c>
      <c r="K14" s="3">
        <v>45</v>
      </c>
      <c r="L14" s="3">
        <v>45</v>
      </c>
      <c r="M14" s="3">
        <v>45</v>
      </c>
      <c r="N14" s="3">
        <v>45</v>
      </c>
      <c r="O14" s="3">
        <v>45</v>
      </c>
      <c r="P14" s="3">
        <v>45</v>
      </c>
      <c r="Q14" s="3">
        <v>45</v>
      </c>
      <c r="R14" s="3">
        <v>45</v>
      </c>
      <c r="S14" s="3">
        <v>45</v>
      </c>
      <c r="T14" s="3">
        <v>45</v>
      </c>
      <c r="W14" s="12"/>
    </row>
    <row r="15" spans="1:23">
      <c r="A15" s="8">
        <v>14</v>
      </c>
      <c r="B15" s="2" t="s">
        <v>29</v>
      </c>
      <c r="C15" s="8" t="s">
        <v>236</v>
      </c>
      <c r="D15" s="5" t="s">
        <v>30</v>
      </c>
      <c r="F15" t="s">
        <v>131</v>
      </c>
      <c r="G15" s="3" t="s">
        <v>492</v>
      </c>
      <c r="H15" s="3">
        <v>2633</v>
      </c>
      <c r="I15" s="3">
        <v>46</v>
      </c>
      <c r="J15" s="3">
        <v>45</v>
      </c>
      <c r="K15" s="3">
        <v>45</v>
      </c>
      <c r="L15" s="3">
        <v>45</v>
      </c>
      <c r="M15" s="3">
        <v>45</v>
      </c>
      <c r="N15" s="3">
        <v>45</v>
      </c>
      <c r="O15" s="3">
        <v>45</v>
      </c>
      <c r="P15" s="3">
        <v>45</v>
      </c>
      <c r="Q15" s="3">
        <v>45</v>
      </c>
      <c r="R15" s="3">
        <v>45</v>
      </c>
      <c r="S15" s="3">
        <v>45</v>
      </c>
      <c r="T15" s="3">
        <v>45</v>
      </c>
      <c r="V15" t="s">
        <v>399</v>
      </c>
      <c r="W15" s="12"/>
    </row>
    <row r="16" spans="1:23">
      <c r="A16" s="8">
        <v>15</v>
      </c>
      <c r="B16" s="2" t="s">
        <v>31</v>
      </c>
      <c r="C16" s="8" t="s">
        <v>237</v>
      </c>
      <c r="D16" s="5" t="s">
        <v>32</v>
      </c>
      <c r="V16" t="s">
        <v>400</v>
      </c>
    </row>
    <row r="17" spans="1:23">
      <c r="A17" s="8">
        <v>16</v>
      </c>
      <c r="B17" s="2" t="s">
        <v>33</v>
      </c>
      <c r="C17" s="8" t="s">
        <v>238</v>
      </c>
      <c r="D17" s="5" t="s">
        <v>34</v>
      </c>
      <c r="F17" t="s">
        <v>493</v>
      </c>
      <c r="V17" t="s">
        <v>401</v>
      </c>
    </row>
    <row r="18" spans="1:23" ht="30">
      <c r="A18" s="8">
        <v>17</v>
      </c>
      <c r="B18" s="2" t="s">
        <v>40</v>
      </c>
      <c r="C18" s="8" t="s">
        <v>41</v>
      </c>
      <c r="D18" s="5" t="s">
        <v>42</v>
      </c>
      <c r="F18" t="s">
        <v>215</v>
      </c>
    </row>
    <row r="19" spans="1:23" ht="30">
      <c r="A19" s="8">
        <v>18</v>
      </c>
      <c r="B19" s="2" t="s">
        <v>43</v>
      </c>
      <c r="C19" s="8" t="s">
        <v>44</v>
      </c>
      <c r="D19" s="5" t="s">
        <v>45</v>
      </c>
      <c r="F19" t="s">
        <v>207</v>
      </c>
    </row>
    <row r="20" spans="1:23" ht="30">
      <c r="A20" s="8">
        <v>19</v>
      </c>
      <c r="B20" s="2" t="s">
        <v>46</v>
      </c>
      <c r="C20" s="8" t="s">
        <v>47</v>
      </c>
      <c r="D20" s="5" t="s">
        <v>48</v>
      </c>
      <c r="F20" t="s">
        <v>305</v>
      </c>
      <c r="J20" s="12"/>
    </row>
    <row r="21" spans="1:23" ht="30">
      <c r="A21" s="8">
        <v>20</v>
      </c>
      <c r="B21" s="2" t="s">
        <v>49</v>
      </c>
      <c r="C21" s="8" t="s">
        <v>50</v>
      </c>
      <c r="D21" s="5" t="s">
        <v>51</v>
      </c>
      <c r="F21" t="s">
        <v>337</v>
      </c>
      <c r="J21" s="12"/>
    </row>
    <row r="22" spans="1:23" ht="30">
      <c r="A22" s="8">
        <v>21</v>
      </c>
      <c r="B22" s="2" t="s">
        <v>52</v>
      </c>
      <c r="C22" s="8" t="s">
        <v>53</v>
      </c>
      <c r="D22" s="5" t="s">
        <v>54</v>
      </c>
      <c r="F22" t="s">
        <v>338</v>
      </c>
      <c r="J22" s="12"/>
      <c r="U22" s="2"/>
    </row>
    <row r="23" spans="1:23">
      <c r="A23" s="8">
        <v>22</v>
      </c>
      <c r="B23" s="2" t="s">
        <v>55</v>
      </c>
      <c r="C23" s="8" t="s">
        <v>56</v>
      </c>
      <c r="D23" s="5" t="s">
        <v>57</v>
      </c>
      <c r="F23" t="s">
        <v>348</v>
      </c>
      <c r="J23" s="12"/>
      <c r="U23" s="2"/>
    </row>
    <row r="24" spans="1:23">
      <c r="A24" s="8">
        <v>23</v>
      </c>
      <c r="B24" s="2" t="s">
        <v>58</v>
      </c>
      <c r="C24" s="8" t="s">
        <v>59</v>
      </c>
      <c r="D24" s="5" t="s">
        <v>60</v>
      </c>
      <c r="F24" t="s">
        <v>508</v>
      </c>
      <c r="H24" s="10"/>
      <c r="K24" s="2"/>
      <c r="U24" s="2"/>
      <c r="W24" s="12"/>
    </row>
    <row r="25" spans="1:23" ht="30">
      <c r="A25" s="8">
        <v>24</v>
      </c>
      <c r="B25" s="2" t="s">
        <v>61</v>
      </c>
      <c r="C25" s="8" t="s">
        <v>62</v>
      </c>
      <c r="D25" s="5" t="s">
        <v>63</v>
      </c>
      <c r="K25" s="2"/>
    </row>
    <row r="26" spans="1:23" ht="45">
      <c r="A26" s="8">
        <v>25</v>
      </c>
      <c r="B26" s="2" t="s">
        <v>64</v>
      </c>
      <c r="C26" s="8" t="s">
        <v>65</v>
      </c>
      <c r="D26" s="5" t="s">
        <v>66</v>
      </c>
      <c r="H26" s="10"/>
      <c r="K26" s="3"/>
      <c r="W26" s="10"/>
    </row>
    <row r="27" spans="1:23">
      <c r="A27" s="8">
        <v>26</v>
      </c>
      <c r="B27" s="2" t="s">
        <v>67</v>
      </c>
      <c r="C27" s="78" t="s">
        <v>244</v>
      </c>
      <c r="D27" s="5" t="s">
        <v>245</v>
      </c>
      <c r="H27" s="10"/>
      <c r="W27" s="10"/>
    </row>
    <row r="28" spans="1:23" ht="45">
      <c r="A28" s="8">
        <v>27</v>
      </c>
      <c r="B28" s="2" t="s">
        <v>68</v>
      </c>
      <c r="C28" s="78" t="s">
        <v>69</v>
      </c>
      <c r="D28" s="5" t="s">
        <v>70</v>
      </c>
      <c r="H28" s="10"/>
      <c r="W28" s="10"/>
    </row>
    <row r="29" spans="1:23" ht="30">
      <c r="A29" s="8">
        <v>28</v>
      </c>
      <c r="B29" s="2" t="s">
        <v>71</v>
      </c>
      <c r="C29" s="78" t="s">
        <v>72</v>
      </c>
      <c r="D29" s="5" t="s">
        <v>73</v>
      </c>
      <c r="H29" s="10"/>
      <c r="W29" s="10"/>
    </row>
    <row r="30" spans="1:23">
      <c r="A30" s="8">
        <v>29</v>
      </c>
      <c r="B30" s="2" t="s">
        <v>74</v>
      </c>
      <c r="C30" s="78" t="s">
        <v>240</v>
      </c>
      <c r="D30" s="5" t="s">
        <v>75</v>
      </c>
      <c r="H30" s="10"/>
      <c r="W30" s="10"/>
    </row>
    <row r="31" spans="1:23">
      <c r="A31" s="8">
        <v>30</v>
      </c>
      <c r="B31" s="2" t="s">
        <v>76</v>
      </c>
      <c r="C31" s="78" t="s">
        <v>239</v>
      </c>
      <c r="D31" s="5" t="s">
        <v>77</v>
      </c>
      <c r="H31" s="10"/>
      <c r="W31" s="10"/>
    </row>
    <row r="32" spans="1:23">
      <c r="A32" s="8">
        <v>31</v>
      </c>
      <c r="B32" s="2" t="s">
        <v>78</v>
      </c>
      <c r="C32" s="78" t="s">
        <v>241</v>
      </c>
      <c r="D32" s="5" t="s">
        <v>79</v>
      </c>
      <c r="H32" s="10"/>
      <c r="W32" s="10"/>
    </row>
    <row r="33" spans="1:23">
      <c r="A33" s="8">
        <v>32</v>
      </c>
      <c r="B33" s="2" t="s">
        <v>81</v>
      </c>
      <c r="C33" s="78" t="s">
        <v>82</v>
      </c>
      <c r="D33" s="5" t="s">
        <v>242</v>
      </c>
      <c r="H33" s="10"/>
      <c r="I33" s="10"/>
      <c r="W33" s="10"/>
    </row>
    <row r="34" spans="1:23">
      <c r="A34" s="8">
        <v>33</v>
      </c>
      <c r="B34" s="2" t="s">
        <v>83</v>
      </c>
      <c r="C34" s="78" t="s">
        <v>84</v>
      </c>
      <c r="D34" s="5" t="s">
        <v>243</v>
      </c>
      <c r="H34" s="10"/>
      <c r="W34" s="10"/>
    </row>
    <row r="35" spans="1:23">
      <c r="A35" s="8">
        <v>34</v>
      </c>
      <c r="B35" s="2"/>
      <c r="C35" s="78" t="s">
        <v>246</v>
      </c>
      <c r="D35" s="5" t="s">
        <v>88</v>
      </c>
      <c r="H35" s="10"/>
      <c r="W35" s="10"/>
    </row>
    <row r="36" spans="1:23" ht="34.15" customHeight="1">
      <c r="A36" s="8"/>
      <c r="B36" s="2"/>
      <c r="C36" s="8"/>
      <c r="D36" s="5"/>
      <c r="F36" s="10"/>
      <c r="H36" s="10"/>
      <c r="W36" s="10"/>
    </row>
    <row r="37" spans="1:23">
      <c r="A37" s="8"/>
      <c r="B37" s="2"/>
      <c r="C37" s="8"/>
      <c r="D37" s="5"/>
      <c r="G37" s="10"/>
      <c r="H37" s="10"/>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P97"/>
  <sheetViews>
    <sheetView topLeftCell="A11" zoomScaleNormal="100" workbookViewId="0">
      <selection activeCell="A11" sqref="A11:A66"/>
    </sheetView>
  </sheetViews>
  <sheetFormatPr defaultRowHeight="15" outlineLevelCol="1"/>
  <cols>
    <col min="1" max="1" width="3.140625" bestFit="1" customWidth="1"/>
    <col min="2" max="2" width="34.42578125" bestFit="1" customWidth="1"/>
    <col min="3" max="3" width="35.5703125" bestFit="1" customWidth="1"/>
    <col min="4" max="4" width="9.85546875" customWidth="1"/>
    <col min="5" max="10" width="4.42578125" style="116" hidden="1" customWidth="1" outlineLevel="1"/>
    <col min="11" max="17" width="4.42578125" style="117" hidden="1" customWidth="1" outlineLevel="1"/>
    <col min="18" max="30" width="4.42578125" style="116" hidden="1" customWidth="1" outlineLevel="1"/>
    <col min="31" max="31" width="8.85546875" collapsed="1"/>
    <col min="32" max="32" width="18.7109375" bestFit="1" customWidth="1"/>
    <col min="33" max="33" width="9.28515625" bestFit="1" customWidth="1"/>
    <col min="35" max="35" width="31" bestFit="1" customWidth="1"/>
    <col min="36" max="36" width="14.5703125" bestFit="1" customWidth="1"/>
    <col min="37" max="37" width="23.5703125" bestFit="1" customWidth="1"/>
    <col min="38" max="38" width="5" customWidth="1"/>
    <col min="39" max="39" width="12.85546875" bestFit="1" customWidth="1"/>
    <col min="40" max="40" width="13.7109375" bestFit="1" customWidth="1"/>
    <col min="41" max="41" width="106.7109375" bestFit="1" customWidth="1"/>
  </cols>
  <sheetData>
    <row r="1" spans="1:42">
      <c r="A1" t="s">
        <v>2</v>
      </c>
      <c r="B1" t="s">
        <v>1</v>
      </c>
      <c r="C1" t="s">
        <v>0</v>
      </c>
      <c r="E1" s="116" t="s">
        <v>101</v>
      </c>
      <c r="F1" s="116" t="s">
        <v>102</v>
      </c>
      <c r="G1" s="116" t="s">
        <v>279</v>
      </c>
      <c r="H1" s="116" t="s">
        <v>280</v>
      </c>
      <c r="I1" s="116" t="s">
        <v>281</v>
      </c>
      <c r="J1" s="116" t="s">
        <v>282</v>
      </c>
      <c r="K1" s="117" t="s">
        <v>283</v>
      </c>
      <c r="L1" s="117" t="s">
        <v>284</v>
      </c>
      <c r="M1" s="117" t="s">
        <v>285</v>
      </c>
      <c r="N1" s="117" t="s">
        <v>286</v>
      </c>
      <c r="O1" s="117" t="s">
        <v>287</v>
      </c>
      <c r="P1" s="117" t="s">
        <v>288</v>
      </c>
      <c r="Q1" s="117" t="s">
        <v>289</v>
      </c>
      <c r="R1" s="116" t="s">
        <v>103</v>
      </c>
      <c r="S1" s="116" t="s">
        <v>104</v>
      </c>
      <c r="T1" s="116" t="s">
        <v>290</v>
      </c>
      <c r="U1" s="116" t="s">
        <v>291</v>
      </c>
      <c r="V1" s="116" t="s">
        <v>292</v>
      </c>
      <c r="W1" s="116" t="s">
        <v>293</v>
      </c>
      <c r="X1" s="116" t="s">
        <v>294</v>
      </c>
      <c r="Y1" s="116" t="s">
        <v>295</v>
      </c>
      <c r="Z1" s="116" t="s">
        <v>296</v>
      </c>
      <c r="AA1" s="116" t="s">
        <v>297</v>
      </c>
      <c r="AB1" s="116" t="s">
        <v>298</v>
      </c>
      <c r="AC1" s="116" t="s">
        <v>299</v>
      </c>
      <c r="AD1" s="116" t="s">
        <v>300</v>
      </c>
      <c r="AF1" s="2" t="s">
        <v>129</v>
      </c>
      <c r="AG1" s="2" t="s">
        <v>130</v>
      </c>
      <c r="AI1" t="s">
        <v>196</v>
      </c>
      <c r="AJ1" t="s">
        <v>197</v>
      </c>
      <c r="AK1" t="s">
        <v>198</v>
      </c>
      <c r="AM1" t="s">
        <v>505</v>
      </c>
      <c r="AN1" s="2" t="s">
        <v>499</v>
      </c>
      <c r="AO1" t="s">
        <v>357</v>
      </c>
      <c r="AP1" s="163"/>
    </row>
    <row r="2" spans="1:42">
      <c r="A2">
        <v>1</v>
      </c>
      <c r="B2" t="s">
        <v>94</v>
      </c>
      <c r="C2" s="1" t="s">
        <v>310</v>
      </c>
      <c r="D2" s="1"/>
      <c r="E2" s="117">
        <f>IF(ISNUMBER(SEARCH('Карта учёта'!$B$13,Расходка[[#This Row],[Наименование расходного материала]])),MAX($E$1:E1)+1,0)</f>
        <v>0</v>
      </c>
      <c r="F2" s="117">
        <f>IF(ISNUMBER(SEARCH('Карта учёта'!$B$14,Расходка[[#This Row],[Наименование расходного материала]])),MAX($F$1:F1)+1,0)</f>
        <v>0</v>
      </c>
      <c r="G2" s="117">
        <f>IF(ISNUMBER(SEARCH('Карта учёта'!$B$15,Расходка[Наименование расходного материала])),MAX($G$1:G1)+1,0)</f>
        <v>0</v>
      </c>
      <c r="H2" s="117">
        <f>IF(ISNUMBER(SEARCH('Карта учёта'!$B$16,Расходка[Наименование расходного материала])),MAX($H$1:H1)+1,0)</f>
        <v>0</v>
      </c>
      <c r="I2" s="117">
        <f>IF(ISNUMBER(SEARCH('Карта учёта'!$B$17,Расходка[Наименование расходного материала])),MAX($I$1:I1)+1,0)</f>
        <v>0</v>
      </c>
      <c r="J2" s="117">
        <f>IF(ISNUMBER(SEARCH('Карта учёта'!$B$18,Расходка[Наименование расходного материала])),MAX($J$1:J1)+1,0)</f>
        <v>1</v>
      </c>
      <c r="K2" s="117">
        <f>IF(ISNUMBER(SEARCH('Карта учёта'!$B$19,Расходка[Наименование расходного материала])),MAX($K$1:K1)+1,0)</f>
        <v>1</v>
      </c>
      <c r="L2" s="117">
        <f>IF(ISNUMBER(SEARCH('Карта учёта'!$B$20,Расходка[Наименование расходного материала])),MAX($L$1:L1)+1,0)</f>
        <v>1</v>
      </c>
      <c r="M2" s="117">
        <f>IF(ISNUMBER(SEARCH('Карта учёта'!$B$21,Расходка[Наименование расходного материала])),MAX($M$1:M1)+1,0)</f>
        <v>1</v>
      </c>
      <c r="N2" s="2">
        <f>IF(ISNUMBER(SEARCH('Карта учёта'!$B$22,Расходка[Наименование расходного материала])),MAX($N$1:N1)+1,0)</f>
        <v>1</v>
      </c>
      <c r="O2" s="117">
        <f>IF(ISNUMBER(SEARCH('Карта учёта'!$B$23,Расходка[Наименование расходного материала])),MAX($O$1:O1)+1,0)</f>
        <v>1</v>
      </c>
      <c r="P2" s="117">
        <f>IF(ISNUMBER(SEARCH('Карта учёта'!$B$24,Расходка[Наименование расходного материала])),MAX($P$1:P1)+1,0)</f>
        <v>1</v>
      </c>
      <c r="Q2" s="117">
        <f>IF(ISNUMBER(SEARCH('Карта учёта'!$B$25,Расходка[Наименование расходного материала])),MAX($Q$1:Q1)+1,0)</f>
        <v>1</v>
      </c>
      <c r="R2" s="116" t="str">
        <f>IFERROR(INDEX(Расходка[Наименование расходного материала],MATCH(Расходка[№],Поиск_расходки[Индекс1],0)),"")</f>
        <v>"МИМ". Тюмень.</v>
      </c>
      <c r="S2" s="116" t="str">
        <f>IFERROR(INDEX(Расходка[Наименование расходного материала],MATCH(Расходка[№],Поиск_расходки[Индекс2],0)),"")</f>
        <v>Fielder</v>
      </c>
      <c r="T2" s="116" t="str">
        <f>IFERROR(INDEX(Расходка[Наименование расходного материала],MATCH(Расходка[№],Поиск_расходки[Индекс3],0)),"")</f>
        <v>Launcher 6F EBU 3.5</v>
      </c>
      <c r="U2" s="116" t="str">
        <f>IFERROR(INDEX(Расходка[Наименование расходного материала],MATCH(Расходка[№],Поиск_расходки[Индекс4],0)),"")</f>
        <v>DES, Resolute Integtity</v>
      </c>
      <c r="V2" s="116" t="str">
        <f>IFERROR(INDEX(Расходка[Наименование расходного материала],MATCH(Расходка[№],Поиск_расходки[Индекс5],0)),"")</f>
        <v xml:space="preserve">NC Колибри </v>
      </c>
      <c r="W2" s="116" t="str">
        <f>IFERROR(INDEX(Расходка[Наименование расходного материала],MATCH(Расходка[№],Поиск_расходки[Индекс6],0)),"")</f>
        <v>Hunter® 6F</v>
      </c>
      <c r="X2" s="116" t="str">
        <f>IFERROR(INDEX(Расходка[Наименование расходного материала],MATCH(Расходка[№],Поиск_расходки[Индекс7],0)),"")</f>
        <v>Hunter® 6F</v>
      </c>
      <c r="Y2" s="116" t="str">
        <f>IFERROR(INDEX(Расходка[Наименование расходного материала],MATCH(Расходка[№],Поиск_расходки[Индекс8],0)),"")</f>
        <v>Hunter® 6F</v>
      </c>
      <c r="Z2" s="116" t="str">
        <f>IFERROR(INDEX(Расходка[Наименование расходного материала],MATCH(Расходка[№],Поиск_расходки[Индекс9],0)),"")</f>
        <v>Hunter® 6F</v>
      </c>
      <c r="AA2" s="116" t="str">
        <f>IFERROR(INDEX(Расходка[Наименование расходного материала],MATCH(Расходка[№],Поиск_расходки[Индекс10],0)),"")</f>
        <v>Hunter® 6F</v>
      </c>
      <c r="AB2" s="116" t="str">
        <f>IFERROR(INDEX(Расходка[Наименование расходного материала],MATCH(Расходка[№],Поиск_расходки[Индекс11],0)),"")</f>
        <v>Hunter® 6F</v>
      </c>
      <c r="AC2" s="116" t="str">
        <f>IFERROR(INDEX(Расходка[Наименование расходного материала],MATCH(Расходка[№],Поиск_расходки[Индекс12],0)),"")</f>
        <v>Hunter® 6F</v>
      </c>
      <c r="AD2" s="116" t="str">
        <f>IFERROR(INDEX(Расходка[Наименование расходного материала],MATCH(Расходка[№],Поиск_расходки[Индекс13],0)),"")</f>
        <v>Hunter® 6F</v>
      </c>
      <c r="AF2" s="4" t="s">
        <v>5</v>
      </c>
      <c r="AG2" s="4" t="s">
        <v>407</v>
      </c>
      <c r="AI2" t="s">
        <v>190</v>
      </c>
      <c r="AJ2" t="s">
        <v>199</v>
      </c>
      <c r="AK2" t="str">
        <f>CONCATENATE(AI2,AJ2)</f>
        <v xml:space="preserve">Контраст: Ультравист 370 </v>
      </c>
      <c r="AM2" s="193">
        <v>155800</v>
      </c>
      <c r="AN2" s="2" t="s">
        <v>309</v>
      </c>
      <c r="AO2" t="s">
        <v>501</v>
      </c>
      <c r="AP2" s="130"/>
    </row>
    <row r="3" spans="1:42">
      <c r="A3">
        <v>2</v>
      </c>
      <c r="B3" t="s">
        <v>94</v>
      </c>
      <c r="C3" t="s">
        <v>373</v>
      </c>
      <c r="E3" s="117">
        <f>IF(ISNUMBER(SEARCH('Карта учёта'!$B$13,Расходка[[#This Row],[Наименование расходного материала]])),MAX($E$1:E2)+1,0)</f>
        <v>0</v>
      </c>
      <c r="F3" s="117">
        <f>IF(ISNUMBER(SEARCH('Карта учёта'!$B$14,Расходка[[#This Row],[Наименование расходного материала]])),MAX($F$1:F2)+1,0)</f>
        <v>0</v>
      </c>
      <c r="G3" s="117">
        <f>IF(ISNUMBER(SEARCH('Карта учёта'!$B$15,Расходка[Наименование расходного материала])),MAX($G$1:G2)+1,0)</f>
        <v>0</v>
      </c>
      <c r="H3" s="117">
        <f>IF(ISNUMBER(SEARCH('Карта учёта'!$B$16,Расходка[Наименование расходного материала])),MAX($H$1:H2)+1,0)</f>
        <v>0</v>
      </c>
      <c r="I3" s="117">
        <f>IF(ISNUMBER(SEARCH('Карта учёта'!$B$17,Расходка[Наименование расходного материала])),MAX($I$1:I2)+1,0)</f>
        <v>0</v>
      </c>
      <c r="J3" s="117">
        <f>IF(ISNUMBER(SEARCH('Карта учёта'!$B$18,Расходка[Наименование расходного материала])),MAX($J$1:J2)+1,0)</f>
        <v>0</v>
      </c>
      <c r="K3" s="117">
        <f>IF(ISNUMBER(SEARCH('Карта учёта'!$B$19,Расходка[Наименование расходного материала])),MAX($K$1:K2)+1,0)</f>
        <v>2</v>
      </c>
      <c r="L3" s="117">
        <f>IF(ISNUMBER(SEARCH('Карта учёта'!$B$20,Расходка[Наименование расходного материала])),MAX($L$1:L2)+1,0)</f>
        <v>2</v>
      </c>
      <c r="M3" s="117">
        <f>IF(ISNUMBER(SEARCH('Карта учёта'!$B$21,Расходка[Наименование расходного материала])),MAX($M$1:M2)+1,0)</f>
        <v>2</v>
      </c>
      <c r="N3" s="117">
        <f>IF(ISNUMBER(SEARCH('Карта учёта'!$B$22,Расходка[Наименование расходного материала])),MAX($N$1:N2)+1,0)</f>
        <v>2</v>
      </c>
      <c r="O3" s="117">
        <f>IF(ISNUMBER(SEARCH('Карта учёта'!$B$23,Расходка[Наименование расходного материала])),MAX($O$1:O2)+1,0)</f>
        <v>2</v>
      </c>
      <c r="P3" s="117">
        <f>IF(ISNUMBER(SEARCH('Карта учёта'!$B$24,Расходка[Наименование расходного материала])),MAX($P$1:P2)+1,0)</f>
        <v>2</v>
      </c>
      <c r="Q3" s="117">
        <f>IF(ISNUMBER(SEARCH('Карта учёта'!$B$25,Расходка[Наименование расходного материала])),MAX($Q$1:Q2)+1,0)</f>
        <v>2</v>
      </c>
      <c r="R3" s="116" t="str">
        <f>IFERROR(INDEX(Расходка[Наименование расходного материала],MATCH(Расходка[№],Поиск_расходки[Индекс1],0)),"")</f>
        <v/>
      </c>
      <c r="S3" s="116" t="str">
        <f>IFERROR(INDEX(Расходка[Наименование расходного материала],MATCH(Расходка[№],Поиск_расходки[Индекс2],0)),"")</f>
        <v>Fielder XT-A</v>
      </c>
      <c r="T3" s="116" t="str">
        <f>IFERROR(INDEX(Расходка[Наименование расходного материала],MATCH(Расходка[№],Поиск_расходки[Индекс3],0)),"")</f>
        <v/>
      </c>
      <c r="U3" s="116" t="str">
        <f>IFERROR(INDEX(Расходка[Наименование расходного материала],MATCH(Расходка[№],Поиск_расходки[Индекс4],0)),"")</f>
        <v/>
      </c>
      <c r="V3" s="116" t="str">
        <f>IFERROR(INDEX(Расходка[Наименование расходного материала],MATCH(Расходка[№],Поиск_расходки[Индекс5],0)),"")</f>
        <v/>
      </c>
      <c r="W3" s="116" t="str">
        <f>IFERROR(INDEX(Расходка[Наименование расходного материала],MATCH(Расходка[№],Поиск_расходки[Индекс6],0)),"")</f>
        <v/>
      </c>
      <c r="X3" s="116" t="str">
        <f>IFERROR(INDEX(Расходка[Наименование расходного материала],MATCH(Расходка[№],Поиск_расходки[Индекс7],0)),"")</f>
        <v xml:space="preserve">Medtronic Export Advance </v>
      </c>
      <c r="Y3" s="116" t="str">
        <f>IFERROR(INDEX(Расходка[Наименование расходного материала],MATCH(Расходка[№],Поиск_расходки[Индекс8],0)),"")</f>
        <v xml:space="preserve">Medtronic Export Advance </v>
      </c>
      <c r="Z3" s="116" t="str">
        <f>IFERROR(INDEX(Расходка[Наименование расходного материала],MATCH(Расходка[№],Поиск_расходки[Индекс9],0)),"")</f>
        <v xml:space="preserve">Medtronic Export Advance </v>
      </c>
      <c r="AA3" s="116" t="str">
        <f>IFERROR(INDEX(Расходка[Наименование расходного материала],MATCH(Расходка[№],Поиск_расходки[Индекс10],0)),"")</f>
        <v xml:space="preserve">Medtronic Export Advance </v>
      </c>
      <c r="AB3" s="116" t="str">
        <f>IFERROR(INDEX(Расходка[Наименование расходного материала],MATCH(Расходка[№],Поиск_расходки[Индекс11],0)),"")</f>
        <v xml:space="preserve">Medtronic Export Advance </v>
      </c>
      <c r="AC3" s="116" t="str">
        <f>IFERROR(INDEX(Расходка[Наименование расходного материала],MATCH(Расходка[№],Поиск_расходки[Индекс12],0)),"")</f>
        <v xml:space="preserve">Medtronic Export Advance </v>
      </c>
      <c r="AD3" s="116" t="str">
        <f>IFERROR(INDEX(Расходка[Наименование расходного материала],MATCH(Расходка[№],Поиск_расходки[Индекс13],0)),"")</f>
        <v xml:space="preserve">Medtronic Export Advance </v>
      </c>
      <c r="AF3" s="4" t="s">
        <v>5</v>
      </c>
      <c r="AG3" s="4" t="s">
        <v>408</v>
      </c>
      <c r="AI3" t="s">
        <v>190</v>
      </c>
      <c r="AJ3" t="s">
        <v>200</v>
      </c>
      <c r="AK3" t="str">
        <f t="shared" ref="AK3:AK6" si="0">CONCATENATE(AI3,AJ3)</f>
        <v>Контраст: Омнипак 350</v>
      </c>
      <c r="AM3" s="193">
        <v>218190</v>
      </c>
      <c r="AN3" s="2" t="s">
        <v>494</v>
      </c>
      <c r="AO3" t="s">
        <v>502</v>
      </c>
      <c r="AP3" s="131"/>
    </row>
    <row r="4" spans="1:42">
      <c r="A4">
        <v>3</v>
      </c>
      <c r="B4" t="s">
        <v>5</v>
      </c>
      <c r="C4" s="1" t="s">
        <v>277</v>
      </c>
      <c r="E4" s="117">
        <f>IF(ISNUMBER(SEARCH('Карта учёта'!$B$13,Расходка[[#This Row],[Наименование расходного материала]])),MAX($E$1:E3)+1,0)</f>
        <v>0</v>
      </c>
      <c r="F4" s="117">
        <f>IF(ISNUMBER(SEARCH('Карта учёта'!$B$14,Расходка[[#This Row],[Наименование расходного материала]])),MAX($F$1:F3)+1,0)</f>
        <v>0</v>
      </c>
      <c r="G4" s="117">
        <f>IF(ISNUMBER(SEARCH('Карта учёта'!$B$15,Расходка[Наименование расходного материала])),MAX($G$1:G3)+1,0)</f>
        <v>0</v>
      </c>
      <c r="H4" s="117">
        <f>IF(ISNUMBER(SEARCH('Карта учёта'!$B$16,Расходка[Наименование расходного материала])),MAX($H$1:H3)+1,0)</f>
        <v>0</v>
      </c>
      <c r="I4" s="117">
        <f>IF(ISNUMBER(SEARCH('Карта учёта'!$B$17,Расходка[Наименование расходного материала])),MAX($I$1:I3)+1,0)</f>
        <v>0</v>
      </c>
      <c r="J4" s="117">
        <f>IF(ISNUMBER(SEARCH('Карта учёта'!$B$18,Расходка[Наименование расходного материала])),MAX($J$1:J3)+1,0)</f>
        <v>0</v>
      </c>
      <c r="K4" s="117">
        <f>IF(ISNUMBER(SEARCH('Карта учёта'!$B$19,Расходка[Наименование расходного материала])),MAX($K$1:K3)+1,0)</f>
        <v>3</v>
      </c>
      <c r="L4" s="117">
        <f>IF(ISNUMBER(SEARCH('Карта учёта'!$B$20,Расходка[Наименование расходного материала])),MAX($L$1:L3)+1,0)</f>
        <v>3</v>
      </c>
      <c r="M4" s="117">
        <f>IF(ISNUMBER(SEARCH('Карта учёта'!$B$21,Расходка[Наименование расходного материала])),MAX($M$1:M3)+1,0)</f>
        <v>3</v>
      </c>
      <c r="N4" s="117">
        <f>IF(ISNUMBER(SEARCH('Карта учёта'!$B$22,Расходка[Наименование расходного материала])),MAX($N$1:N3)+1,0)</f>
        <v>3</v>
      </c>
      <c r="O4" s="117">
        <f>IF(ISNUMBER(SEARCH('Карта учёта'!$B$23,Расходка[Наименование расходного материала])),MAX($O$1:O3)+1,0)</f>
        <v>3</v>
      </c>
      <c r="P4" s="117">
        <f>IF(ISNUMBER(SEARCH('Карта учёта'!$B$24,Расходка[Наименование расходного материала])),MAX($P$1:P3)+1,0)</f>
        <v>3</v>
      </c>
      <c r="Q4" s="117">
        <f>IF(ISNUMBER(SEARCH('Карта учёта'!$B$25,Расходка[Наименование расходного материала])),MAX($Q$1:Q3)+1,0)</f>
        <v>3</v>
      </c>
      <c r="R4" s="116" t="str">
        <f>IFERROR(INDEX(Расходка[Наименование расходного материала],MATCH(Расходка[№],Поиск_расходки[Индекс1],0)),"")</f>
        <v/>
      </c>
      <c r="S4" s="116" t="str">
        <f>IFERROR(INDEX(Расходка[Наименование расходного материала],MATCH(Расходка[№],Поиск_расходки[Индекс2],0)),"")</f>
        <v>Fielder XT-R</v>
      </c>
      <c r="T4" s="116" t="str">
        <f>IFERROR(INDEX(Расходка[Наименование расходного материала],MATCH(Расходка[№],Поиск_расходки[Индекс3],0)),"")</f>
        <v/>
      </c>
      <c r="U4" s="116" t="str">
        <f>IFERROR(INDEX(Расходка[Наименование расходного материала],MATCH(Расходка[№],Поиск_расходки[Индекс4],0)),"")</f>
        <v/>
      </c>
      <c r="V4" s="116" t="str">
        <f>IFERROR(INDEX(Расходка[Наименование расходного материала],MATCH(Расходка[№],Поиск_расходки[Индекс5],0)),"")</f>
        <v/>
      </c>
      <c r="W4" s="116" t="str">
        <f>IFERROR(INDEX(Расходка[Наименование расходного материала],MATCH(Расходка[№],Поиск_расходки[Индекс6],0)),"")</f>
        <v/>
      </c>
      <c r="X4" s="116" t="str">
        <f>IFERROR(INDEX(Расходка[Наименование расходного материала],MATCH(Расходка[№],Поиск_расходки[Индекс7],0)),"")</f>
        <v>Euphora</v>
      </c>
      <c r="Y4" s="116" t="str">
        <f>IFERROR(INDEX(Расходка[Наименование расходного материала],MATCH(Расходка[№],Поиск_расходки[Индекс8],0)),"")</f>
        <v>Euphora</v>
      </c>
      <c r="Z4" s="116" t="str">
        <f>IFERROR(INDEX(Расходка[Наименование расходного материала],MATCH(Расходка[№],Поиск_расходки[Индекс9],0)),"")</f>
        <v>Euphora</v>
      </c>
      <c r="AA4" s="116" t="str">
        <f>IFERROR(INDEX(Расходка[Наименование расходного материала],MATCH(Расходка[№],Поиск_расходки[Индекс10],0)),"")</f>
        <v>Euphora</v>
      </c>
      <c r="AB4" s="116" t="str">
        <f>IFERROR(INDEX(Расходка[Наименование расходного материала],MATCH(Расходка[№],Поиск_расходки[Индекс11],0)),"")</f>
        <v>Euphora</v>
      </c>
      <c r="AC4" s="116" t="str">
        <f>IFERROR(INDEX(Расходка[Наименование расходного материала],MATCH(Расходка[№],Поиск_расходки[Индекс12],0)),"")</f>
        <v>Euphora</v>
      </c>
      <c r="AD4" s="116" t="str">
        <f>IFERROR(INDEX(Расходка[Наименование расходного материала],MATCH(Расходка[№],Поиск_расходки[Индекс13],0)),"")</f>
        <v>Euphora</v>
      </c>
      <c r="AF4" s="4" t="s">
        <v>5</v>
      </c>
      <c r="AG4" s="4" t="s">
        <v>409</v>
      </c>
      <c r="AI4" t="s">
        <v>190</v>
      </c>
      <c r="AJ4" t="s">
        <v>201</v>
      </c>
      <c r="AK4" t="str">
        <f t="shared" si="0"/>
        <v>Контраст: Оптирей 350</v>
      </c>
      <c r="AM4" s="193">
        <v>337440</v>
      </c>
      <c r="AN4" s="2" t="s">
        <v>507</v>
      </c>
      <c r="AO4" t="s">
        <v>504</v>
      </c>
      <c r="AP4" s="131"/>
    </row>
    <row r="5" spans="1:42">
      <c r="A5">
        <v>4</v>
      </c>
      <c r="B5" t="s">
        <v>5</v>
      </c>
      <c r="C5" t="s">
        <v>313</v>
      </c>
      <c r="E5" s="117">
        <f>IF(ISNUMBER(SEARCH('Карта учёта'!$B$13,Расходка[[#This Row],[Наименование расходного материала]])),MAX($E$1:E4)+1,0)</f>
        <v>0</v>
      </c>
      <c r="F5" s="117">
        <f>IF(ISNUMBER(SEARCH('Карта учёта'!$B$14,Расходка[[#This Row],[Наименование расходного материала]])),MAX($F$1:F4)+1,0)</f>
        <v>0</v>
      </c>
      <c r="G5" s="117">
        <f>IF(ISNUMBER(SEARCH('Карта учёта'!$B$15,Расходка[Наименование расходного материала])),MAX($G$1:G4)+1,0)</f>
        <v>0</v>
      </c>
      <c r="H5" s="117">
        <f>IF(ISNUMBER(SEARCH('Карта учёта'!$B$16,Расходка[Наименование расходного материала])),MAX($H$1:H4)+1,0)</f>
        <v>0</v>
      </c>
      <c r="I5" s="117">
        <f>IF(ISNUMBER(SEARCH('Карта учёта'!$B$17,Расходка[Наименование расходного материала])),MAX($I$1:I4)+1,0)</f>
        <v>0</v>
      </c>
      <c r="J5" s="117">
        <f>IF(ISNUMBER(SEARCH('Карта учёта'!$B$18,Расходка[Наименование расходного материала])),MAX($J$1:J4)+1,0)</f>
        <v>0</v>
      </c>
      <c r="K5" s="117">
        <f>IF(ISNUMBER(SEARCH('Карта учёта'!$B$19,Расходка[Наименование расходного материала])),MAX($K$1:K4)+1,0)</f>
        <v>4</v>
      </c>
      <c r="L5" s="117">
        <f>IF(ISNUMBER(SEARCH('Карта учёта'!$B$20,Расходка[Наименование расходного материала])),MAX($L$1:L4)+1,0)</f>
        <v>4</v>
      </c>
      <c r="M5" s="117">
        <f>IF(ISNUMBER(SEARCH('Карта учёта'!$B$21,Расходка[Наименование расходного материала])),MAX($M$1:M4)+1,0)</f>
        <v>4</v>
      </c>
      <c r="N5" s="117">
        <f>IF(ISNUMBER(SEARCH('Карта учёта'!$B$22,Расходка[Наименование расходного материала])),MAX($N$1:N4)+1,0)</f>
        <v>4</v>
      </c>
      <c r="O5" s="117">
        <f>IF(ISNUMBER(SEARCH('Карта учёта'!$B$23,Расходка[Наименование расходного материала])),MAX($O$1:O4)+1,0)</f>
        <v>4</v>
      </c>
      <c r="P5" s="117">
        <f>IF(ISNUMBER(SEARCH('Карта учёта'!$B$24,Расходка[Наименование расходного материала])),MAX($P$1:P4)+1,0)</f>
        <v>4</v>
      </c>
      <c r="Q5" s="117">
        <f>IF(ISNUMBER(SEARCH('Карта учёта'!$B$25,Расходка[Наименование расходного материала])),MAX($Q$1:Q4)+1,0)</f>
        <v>4</v>
      </c>
      <c r="R5" s="116" t="str">
        <f>IFERROR(INDEX(Расходка[Наименование расходного материала],MATCH(Расходка[№],Поиск_расходки[Индекс1],0)),"")</f>
        <v/>
      </c>
      <c r="S5" s="116" t="str">
        <f>IFERROR(INDEX(Расходка[Наименование расходного материала],MATCH(Расходка[№],Поиск_расходки[Индекс2],0)),"")</f>
        <v/>
      </c>
      <c r="T5" s="116" t="str">
        <f>IFERROR(INDEX(Расходка[Наименование расходного материала],MATCH(Расходка[№],Поиск_расходки[Индекс3],0)),"")</f>
        <v/>
      </c>
      <c r="U5" s="116" t="str">
        <f>IFERROR(INDEX(Расходка[Наименование расходного материала],MATCH(Расходка[№],Поиск_расходки[Индекс4],0)),"")</f>
        <v/>
      </c>
      <c r="V5" s="116" t="str">
        <f>IFERROR(INDEX(Расходка[Наименование расходного материала],MATCH(Расходка[№],Поиск_расходки[Индекс5],0)),"")</f>
        <v/>
      </c>
      <c r="W5" s="116" t="str">
        <f>IFERROR(INDEX(Расходка[Наименование расходного материала],MATCH(Расходка[№],Поиск_расходки[Индекс6],0)),"")</f>
        <v/>
      </c>
      <c r="X5" s="116" t="str">
        <f>IFERROR(INDEX(Расходка[Наименование расходного материала],MATCH(Расходка[№],Поиск_расходки[Индекс7],0)),"")</f>
        <v>NC Accuforce</v>
      </c>
      <c r="Y5" s="116" t="str">
        <f>IFERROR(INDEX(Расходка[Наименование расходного материала],MATCH(Расходка[№],Поиск_расходки[Индекс8],0)),"")</f>
        <v>NC Accuforce</v>
      </c>
      <c r="Z5" s="116" t="str">
        <f>IFERROR(INDEX(Расходка[Наименование расходного материала],MATCH(Расходка[№],Поиск_расходки[Индекс9],0)),"")</f>
        <v>NC Accuforce</v>
      </c>
      <c r="AA5" s="116" t="str">
        <f>IFERROR(INDEX(Расходка[Наименование расходного материала],MATCH(Расходка[№],Поиск_расходки[Индекс10],0)),"")</f>
        <v>NC Accuforce</v>
      </c>
      <c r="AB5" s="116" t="str">
        <f>IFERROR(INDEX(Расходка[Наименование расходного материала],MATCH(Расходка[№],Поиск_расходки[Индекс11],0)),"")</f>
        <v>NC Accuforce</v>
      </c>
      <c r="AC5" s="116" t="str">
        <f>IFERROR(INDEX(Расходка[Наименование расходного материала],MATCH(Расходка[№],Поиск_расходки[Индекс12],0)),"")</f>
        <v>NC Accuforce</v>
      </c>
      <c r="AD5" s="116" t="str">
        <f>IFERROR(INDEX(Расходка[Наименование расходного материала],MATCH(Расходка[№],Поиск_расходки[Индекс13],0)),"")</f>
        <v>NC Accuforce</v>
      </c>
      <c r="AF5" s="4" t="s">
        <v>5</v>
      </c>
      <c r="AG5" s="4" t="s">
        <v>410</v>
      </c>
      <c r="AI5" t="s">
        <v>190</v>
      </c>
      <c r="AJ5" t="s">
        <v>202</v>
      </c>
      <c r="AK5" t="str">
        <f t="shared" si="0"/>
        <v>Контраст: Юнигексол 350</v>
      </c>
      <c r="AM5" s="193">
        <v>136170</v>
      </c>
      <c r="AN5" s="2"/>
      <c r="AO5" t="s">
        <v>503</v>
      </c>
    </row>
    <row r="6" spans="1:42">
      <c r="A6">
        <v>5</v>
      </c>
      <c r="B6" t="s">
        <v>5</v>
      </c>
      <c r="C6" s="1" t="s">
        <v>307</v>
      </c>
      <c r="E6" s="117">
        <f>IF(ISNUMBER(SEARCH('Карта учёта'!$B$13,Расходка[[#This Row],[Наименование расходного материала]])),MAX($E$1:E5)+1,0)</f>
        <v>0</v>
      </c>
      <c r="F6" s="117">
        <f>IF(ISNUMBER(SEARCH('Карта учёта'!$B$14,Расходка[[#This Row],[Наименование расходного материала]])),MAX($F$1:F5)+1,0)</f>
        <v>0</v>
      </c>
      <c r="G6" s="117">
        <f>IF(ISNUMBER(SEARCH('Карта учёта'!$B$15,Расходка[Наименование расходного материала])),MAX($G$1:G5)+1,0)</f>
        <v>0</v>
      </c>
      <c r="H6" s="117">
        <f>IF(ISNUMBER(SEARCH('Карта учёта'!$B$16,Расходка[Наименование расходного материала])),MAX($H$1:H5)+1,0)</f>
        <v>0</v>
      </c>
      <c r="I6" s="117">
        <f>IF(ISNUMBER(SEARCH('Карта учёта'!$B$17,Расходка[Наименование расходного материала])),MAX($I$1:I5)+1,0)</f>
        <v>0</v>
      </c>
      <c r="J6" s="117">
        <f>IF(ISNUMBER(SEARCH('Карта учёта'!$B$18,Расходка[Наименование расходного материала])),MAX($J$1:J5)+1,0)</f>
        <v>0</v>
      </c>
      <c r="K6" s="117">
        <f>IF(ISNUMBER(SEARCH('Карта учёта'!$B$19,Расходка[Наименование расходного материала])),MAX($K$1:K5)+1,0)</f>
        <v>5</v>
      </c>
      <c r="L6" s="117">
        <f>IF(ISNUMBER(SEARCH('Карта учёта'!$B$20,Расходка[Наименование расходного материала])),MAX($L$1:L5)+1,0)</f>
        <v>5</v>
      </c>
      <c r="M6" s="117">
        <f>IF(ISNUMBER(SEARCH('Карта учёта'!$B$21,Расходка[Наименование расходного материала])),MAX($M$1:M5)+1,0)</f>
        <v>5</v>
      </c>
      <c r="N6" s="117">
        <f>IF(ISNUMBER(SEARCH('Карта учёта'!$B$22,Расходка[Наименование расходного материала])),MAX($N$1:N5)+1,0)</f>
        <v>5</v>
      </c>
      <c r="O6" s="117">
        <f>IF(ISNUMBER(SEARCH('Карта учёта'!$B$23,Расходка[Наименование расходного материала])),MAX($O$1:O5)+1,0)</f>
        <v>5</v>
      </c>
      <c r="P6" s="117">
        <f>IF(ISNUMBER(SEARCH('Карта учёта'!$B$24,Расходка[Наименование расходного материала])),MAX($P$1:P5)+1,0)</f>
        <v>5</v>
      </c>
      <c r="Q6" s="117">
        <f>IF(ISNUMBER(SEARCH('Карта учёта'!$B$25,Расходка[Наименование расходного материала])),MAX($Q$1:Q5)+1,0)</f>
        <v>5</v>
      </c>
      <c r="R6" s="116" t="str">
        <f>IFERROR(INDEX(Расходка[Наименование расходного материала],MATCH(Расходка[№],Поиск_расходки[Индекс1],0)),"")</f>
        <v/>
      </c>
      <c r="S6" s="116" t="str">
        <f>IFERROR(INDEX(Расходка[Наименование расходного материала],MATCH(Расходка[№],Поиск_расходки[Индекс2],0)),"")</f>
        <v/>
      </c>
      <c r="T6" s="116" t="str">
        <f>IFERROR(INDEX(Расходка[Наименование расходного материала],MATCH(Расходка[№],Поиск_расходки[Индекс3],0)),"")</f>
        <v/>
      </c>
      <c r="U6" s="116" t="str">
        <f>IFERROR(INDEX(Расходка[Наименование расходного материала],MATCH(Расходка[№],Поиск_расходки[Индекс4],0)),"")</f>
        <v/>
      </c>
      <c r="V6" s="116" t="str">
        <f>IFERROR(INDEX(Расходка[Наименование расходного материала],MATCH(Расходка[№],Поиск_расходки[Индекс5],0)),"")</f>
        <v/>
      </c>
      <c r="W6" s="116" t="str">
        <f>IFERROR(INDEX(Расходка[Наименование расходного материала],MATCH(Расходка[№],Поиск_расходки[Индекс6],0)),"")</f>
        <v/>
      </c>
      <c r="X6" s="116" t="str">
        <f>IFERROR(INDEX(Расходка[Наименование расходного материала],MATCH(Расходка[№],Поиск_расходки[Индекс7],0)),"")</f>
        <v>NC Euphora</v>
      </c>
      <c r="Y6" s="116" t="str">
        <f>IFERROR(INDEX(Расходка[Наименование расходного материала],MATCH(Расходка[№],Поиск_расходки[Индекс8],0)),"")</f>
        <v>NC Euphora</v>
      </c>
      <c r="Z6" s="116" t="str">
        <f>IFERROR(INDEX(Расходка[Наименование расходного материала],MATCH(Расходка[№],Поиск_расходки[Индекс9],0)),"")</f>
        <v>NC Euphora</v>
      </c>
      <c r="AA6" s="116" t="str">
        <f>IFERROR(INDEX(Расходка[Наименование расходного материала],MATCH(Расходка[№],Поиск_расходки[Индекс10],0)),"")</f>
        <v>NC Euphora</v>
      </c>
      <c r="AB6" s="116" t="str">
        <f>IFERROR(INDEX(Расходка[Наименование расходного материала],MATCH(Расходка[№],Поиск_расходки[Индекс11],0)),"")</f>
        <v>NC Euphora</v>
      </c>
      <c r="AC6" s="116" t="str">
        <f>IFERROR(INDEX(Расходка[Наименование расходного материала],MATCH(Расходка[№],Поиск_расходки[Индекс12],0)),"")</f>
        <v>NC Euphora</v>
      </c>
      <c r="AD6" s="116" t="str">
        <f>IFERROR(INDEX(Расходка[Наименование расходного материала],MATCH(Расходка[№],Поиск_расходки[Индекс13],0)),"")</f>
        <v>NC Euphora</v>
      </c>
      <c r="AF6" s="4" t="s">
        <v>5</v>
      </c>
      <c r="AG6" s="4" t="s">
        <v>411</v>
      </c>
      <c r="AI6" t="s">
        <v>190</v>
      </c>
      <c r="AJ6" t="s">
        <v>203</v>
      </c>
      <c r="AK6" t="str">
        <f t="shared" si="0"/>
        <v>Контраст: Сканлюкс 370</v>
      </c>
      <c r="AM6" s="193">
        <v>135820</v>
      </c>
      <c r="AN6" s="2"/>
      <c r="AO6" t="s">
        <v>506</v>
      </c>
    </row>
    <row r="7" spans="1:42">
      <c r="A7">
        <v>6</v>
      </c>
      <c r="B7" t="s">
        <v>5</v>
      </c>
      <c r="C7" t="s">
        <v>276</v>
      </c>
      <c r="E7" s="117">
        <f>IF(ISNUMBER(SEARCH('Карта учёта'!$B$13,Расходка[[#This Row],[Наименование расходного материала]])),MAX($E$1:E6)+1,0)</f>
        <v>0</v>
      </c>
      <c r="F7" s="117">
        <f>IF(ISNUMBER(SEARCH('Карта учёта'!$B$14,Расходка[[#This Row],[Наименование расходного материала]])),MAX($F$1:F6)+1,0)</f>
        <v>0</v>
      </c>
      <c r="G7" s="117">
        <f>IF(ISNUMBER(SEARCH('Карта учёта'!$B$15,Расходка[Наименование расходного материала])),MAX($G$1:G6)+1,0)</f>
        <v>0</v>
      </c>
      <c r="H7" s="117">
        <f>IF(ISNUMBER(SEARCH('Карта учёта'!$B$16,Расходка[Наименование расходного материала])),MAX($H$1:H6)+1,0)</f>
        <v>0</v>
      </c>
      <c r="I7" s="117">
        <f>IF(ISNUMBER(SEARCH('Карта учёта'!$B$17,Расходка[Наименование расходного материала])),MAX($I$1:I6)+1,0)</f>
        <v>0</v>
      </c>
      <c r="J7" s="117">
        <f>IF(ISNUMBER(SEARCH('Карта учёта'!$B$18,Расходка[Наименование расходного материала])),MAX($J$1:J6)+1,0)</f>
        <v>0</v>
      </c>
      <c r="K7" s="117">
        <f>IF(ISNUMBER(SEARCH('Карта учёта'!$B$19,Расходка[Наименование расходного материала])),MAX($K$1:K6)+1,0)</f>
        <v>6</v>
      </c>
      <c r="L7" s="117">
        <f>IF(ISNUMBER(SEARCH('Карта учёта'!$B$20,Расходка[Наименование расходного материала])),MAX($L$1:L6)+1,0)</f>
        <v>6</v>
      </c>
      <c r="M7" s="117">
        <f>IF(ISNUMBER(SEARCH('Карта учёта'!$B$21,Расходка[Наименование расходного материала])),MAX($M$1:M6)+1,0)</f>
        <v>6</v>
      </c>
      <c r="N7" s="117">
        <f>IF(ISNUMBER(SEARCH('Карта учёта'!$B$22,Расходка[Наименование расходного материала])),MAX($N$1:N6)+1,0)</f>
        <v>6</v>
      </c>
      <c r="O7" s="117">
        <f>IF(ISNUMBER(SEARCH('Карта учёта'!$B$23,Расходка[Наименование расходного материала])),MAX($O$1:O6)+1,0)</f>
        <v>6</v>
      </c>
      <c r="P7" s="117">
        <f>IF(ISNUMBER(SEARCH('Карта учёта'!$B$24,Расходка[Наименование расходного материала])),MAX($P$1:P6)+1,0)</f>
        <v>6</v>
      </c>
      <c r="Q7" s="117">
        <f>IF(ISNUMBER(SEARCH('Карта учёта'!$B$25,Расходка[Наименование расходного материала])),MAX($Q$1:Q6)+1,0)</f>
        <v>6</v>
      </c>
      <c r="R7" s="116" t="str">
        <f>IFERROR(INDEX(Расходка[Наименование расходного материала],MATCH(Расходка[№],Поиск_расходки[Индекс1],0)),"")</f>
        <v/>
      </c>
      <c r="S7" s="116" t="str">
        <f>IFERROR(INDEX(Расходка[Наименование расходного материала],MATCH(Расходка[№],Поиск_расходки[Индекс2],0)),"")</f>
        <v/>
      </c>
      <c r="T7" s="116" t="str">
        <f>IFERROR(INDEX(Расходка[Наименование расходного материала],MATCH(Расходка[№],Поиск_расходки[Индекс3],0)),"")</f>
        <v/>
      </c>
      <c r="U7" s="116" t="str">
        <f>IFERROR(INDEX(Расходка[Наименование расходного материала],MATCH(Расходка[№],Поиск_расходки[Индекс4],0)),"")</f>
        <v/>
      </c>
      <c r="V7" s="116" t="str">
        <f>IFERROR(INDEX(Расходка[Наименование расходного материала],MATCH(Расходка[№],Поиск_расходки[Индекс5],0)),"")</f>
        <v/>
      </c>
      <c r="W7" s="116" t="str">
        <f>IFERROR(INDEX(Расходка[Наименование расходного материала],MATCH(Расходка[№],Поиск_расходки[Индекс6],0)),"")</f>
        <v/>
      </c>
      <c r="X7" s="116" t="str">
        <f>IFERROR(INDEX(Расходка[Наименование расходного материала],MATCH(Расходка[№],Поиск_расходки[Индекс7],0)),"")</f>
        <v>Sapphire</v>
      </c>
      <c r="Y7" s="116" t="str">
        <f>IFERROR(INDEX(Расходка[Наименование расходного материала],MATCH(Расходка[№],Поиск_расходки[Индекс8],0)),"")</f>
        <v>Sapphire</v>
      </c>
      <c r="Z7" s="116" t="str">
        <f>IFERROR(INDEX(Расходка[Наименование расходного материала],MATCH(Расходка[№],Поиск_расходки[Индекс9],0)),"")</f>
        <v>Sapphire</v>
      </c>
      <c r="AA7" s="116" t="str">
        <f>IFERROR(INDEX(Расходка[Наименование расходного материала],MATCH(Расходка[№],Поиск_расходки[Индекс10],0)),"")</f>
        <v>Sapphire</v>
      </c>
      <c r="AB7" s="116" t="str">
        <f>IFERROR(INDEX(Расходка[Наименование расходного материала],MATCH(Расходка[№],Поиск_расходки[Индекс11],0)),"")</f>
        <v>Sapphire</v>
      </c>
      <c r="AC7" s="116" t="str">
        <f>IFERROR(INDEX(Расходка[Наименование расходного материала],MATCH(Расходка[№],Поиск_расходки[Индекс12],0)),"")</f>
        <v>Sapphire</v>
      </c>
      <c r="AD7" s="116" t="str">
        <f>IFERROR(INDEX(Расходка[Наименование расходного материала],MATCH(Расходка[№],Поиск_расходки[Индекс13],0)),"")</f>
        <v>Sapphire</v>
      </c>
      <c r="AF7" s="4" t="s">
        <v>5</v>
      </c>
      <c r="AG7" s="4" t="s">
        <v>412</v>
      </c>
      <c r="AI7" t="s">
        <v>190</v>
      </c>
      <c r="AJ7" t="s">
        <v>204</v>
      </c>
      <c r="AK7" t="str">
        <f t="shared" ref="AK7:AK8" si="1">CONCATENATE(AI7,AJ7)</f>
        <v>Контраст: Йогексол 350</v>
      </c>
      <c r="AM7" s="193">
        <v>155760</v>
      </c>
      <c r="AN7" s="2"/>
      <c r="AO7" t="s">
        <v>500</v>
      </c>
    </row>
    <row r="8" spans="1:42">
      <c r="A8">
        <v>7</v>
      </c>
      <c r="B8" t="s">
        <v>5</v>
      </c>
      <c r="C8" t="s">
        <v>314</v>
      </c>
      <c r="E8" s="117">
        <f>IF(ISNUMBER(SEARCH('Карта учёта'!$B$13,Расходка[[#This Row],[Наименование расходного материала]])),MAX($E$1:E7)+1,0)</f>
        <v>0</v>
      </c>
      <c r="F8" s="117">
        <f>IF(ISNUMBER(SEARCH('Карта учёта'!$B$14,Расходка[[#This Row],[Наименование расходного материала]])),MAX($F$1:F7)+1,0)</f>
        <v>0</v>
      </c>
      <c r="G8" s="117">
        <f>IF(ISNUMBER(SEARCH('Карта учёта'!$B$15,Расходка[Наименование расходного материала])),MAX($G$1:G7)+1,0)</f>
        <v>0</v>
      </c>
      <c r="H8" s="117">
        <f>IF(ISNUMBER(SEARCH('Карта учёта'!$B$16,Расходка[Наименование расходного материала])),MAX($H$1:H7)+1,0)</f>
        <v>0</v>
      </c>
      <c r="I8" s="117">
        <f>IF(ISNUMBER(SEARCH('Карта учёта'!$B$17,Расходка[Наименование расходного материала])),MAX($I$1:I7)+1,0)</f>
        <v>0</v>
      </c>
      <c r="J8" s="117">
        <f>IF(ISNUMBER(SEARCH('Карта учёта'!$B$18,Расходка[Наименование расходного материала])),MAX($J$1:J7)+1,0)</f>
        <v>0</v>
      </c>
      <c r="K8" s="117">
        <f>IF(ISNUMBER(SEARCH('Карта учёта'!$B$19,Расходка[Наименование расходного материала])),MAX($K$1:K7)+1,0)</f>
        <v>7</v>
      </c>
      <c r="L8" s="117">
        <f>IF(ISNUMBER(SEARCH('Карта учёта'!$B$20,Расходка[Наименование расходного материала])),MAX($L$1:L7)+1,0)</f>
        <v>7</v>
      </c>
      <c r="M8" s="117">
        <f>IF(ISNUMBER(SEARCH('Карта учёта'!$B$21,Расходка[Наименование расходного материала])),MAX($M$1:M7)+1,0)</f>
        <v>7</v>
      </c>
      <c r="N8" s="117">
        <f>IF(ISNUMBER(SEARCH('Карта учёта'!$B$22,Расходка[Наименование расходного материала])),MAX($N$1:N7)+1,0)</f>
        <v>7</v>
      </c>
      <c r="O8" s="117">
        <f>IF(ISNUMBER(SEARCH('Карта учёта'!$B$23,Расходка[Наименование расходного материала])),MAX($O$1:O7)+1,0)</f>
        <v>7</v>
      </c>
      <c r="P8" s="117">
        <f>IF(ISNUMBER(SEARCH('Карта учёта'!$B$24,Расходка[Наименование расходного материала])),MAX($P$1:P7)+1,0)</f>
        <v>7</v>
      </c>
      <c r="Q8" s="117">
        <f>IF(ISNUMBER(SEARCH('Карта учёта'!$B$25,Расходка[Наименование расходного материала])),MAX($Q$1:Q7)+1,0)</f>
        <v>7</v>
      </c>
      <c r="R8" s="116" t="str">
        <f>IFERROR(INDEX(Расходка[Наименование расходного материала],MATCH(Расходка[№],Поиск_расходки[Индекс1],0)),"")</f>
        <v/>
      </c>
      <c r="S8" s="116" t="str">
        <f>IFERROR(INDEX(Расходка[Наименование расходного материала],MATCH(Расходка[№],Поиск_расходки[Индекс2],0)),"")</f>
        <v/>
      </c>
      <c r="T8" s="116" t="str">
        <f>IFERROR(INDEX(Расходка[Наименование расходного материала],MATCH(Расходка[№],Поиск_расходки[Индекс3],0)),"")</f>
        <v/>
      </c>
      <c r="U8" s="116" t="str">
        <f>IFERROR(INDEX(Расходка[Наименование расходного материала],MATCH(Расходка[№],Поиск_расходки[Индекс4],0)),"")</f>
        <v/>
      </c>
      <c r="V8" s="116" t="str">
        <f>IFERROR(INDEX(Расходка[Наименование расходного материала],MATCH(Расходка[№],Поиск_расходки[Индекс5],0)),"")</f>
        <v/>
      </c>
      <c r="W8" s="116" t="str">
        <f>IFERROR(INDEX(Расходка[Наименование расходного материала],MATCH(Расходка[№],Поиск_расходки[Индекс6],0)),"")</f>
        <v/>
      </c>
      <c r="X8" s="116" t="str">
        <f>IFERROR(INDEX(Расходка[Наименование расходного материала],MATCH(Расходка[№],Поиск_расходки[Индекс7],0)),"")</f>
        <v>Sprinter Legend</v>
      </c>
      <c r="Y8" s="116" t="str">
        <f>IFERROR(INDEX(Расходка[Наименование расходного материала],MATCH(Расходка[№],Поиск_расходки[Индекс8],0)),"")</f>
        <v>Sprinter Legend</v>
      </c>
      <c r="Z8" s="116" t="str">
        <f>IFERROR(INDEX(Расходка[Наименование расходного материала],MATCH(Расходка[№],Поиск_расходки[Индекс9],0)),"")</f>
        <v>Sprinter Legend</v>
      </c>
      <c r="AA8" s="116" t="str">
        <f>IFERROR(INDEX(Расходка[Наименование расходного материала],MATCH(Расходка[№],Поиск_расходки[Индекс10],0)),"")</f>
        <v>Sprinter Legend</v>
      </c>
      <c r="AB8" s="116" t="str">
        <f>IFERROR(INDEX(Расходка[Наименование расходного материала],MATCH(Расходка[№],Поиск_расходки[Индекс11],0)),"")</f>
        <v>Sprinter Legend</v>
      </c>
      <c r="AC8" s="116" t="str">
        <f>IFERROR(INDEX(Расходка[Наименование расходного материала],MATCH(Расходка[№],Поиск_расходки[Индекс12],0)),"")</f>
        <v>Sprinter Legend</v>
      </c>
      <c r="AD8" s="116" t="str">
        <f>IFERROR(INDEX(Расходка[Наименование расходного материала],MATCH(Расходка[№],Поиск_расходки[Индекс13],0)),"")</f>
        <v>Sprinter Legend</v>
      </c>
      <c r="AF8" s="4" t="s">
        <v>5</v>
      </c>
      <c r="AG8" s="4" t="s">
        <v>413</v>
      </c>
      <c r="AI8" t="s">
        <v>190</v>
      </c>
      <c r="AJ8" t="s">
        <v>205</v>
      </c>
      <c r="AK8" t="str">
        <f t="shared" si="1"/>
        <v>Контраст: Визипак 320</v>
      </c>
      <c r="AM8" s="193">
        <v>218140</v>
      </c>
      <c r="AN8" s="2"/>
      <c r="AO8" t="s">
        <v>89</v>
      </c>
    </row>
    <row r="9" spans="1:42">
      <c r="A9">
        <v>8</v>
      </c>
      <c r="B9" t="s">
        <v>5</v>
      </c>
      <c r="C9" t="s">
        <v>359</v>
      </c>
      <c r="E9" s="117">
        <f>IF(ISNUMBER(SEARCH('Карта учёта'!$B$13,Расходка[[#This Row],[Наименование расходного материала]])),MAX($E$1:E8)+1,0)</f>
        <v>0</v>
      </c>
      <c r="F9" s="117">
        <f>IF(ISNUMBER(SEARCH('Карта учёта'!$B$14,Расходка[[#This Row],[Наименование расходного материала]])),MAX($F$1:F8)+1,0)</f>
        <v>0</v>
      </c>
      <c r="G9" s="117">
        <f>IF(ISNUMBER(SEARCH('Карта учёта'!$B$15,Расходка[Наименование расходного материала])),MAX($G$1:G8)+1,0)</f>
        <v>0</v>
      </c>
      <c r="H9" s="117">
        <f>IF(ISNUMBER(SEARCH('Карта учёта'!$B$16,Расходка[Наименование расходного материала])),MAX($H$1:H8)+1,0)</f>
        <v>0</v>
      </c>
      <c r="I9" s="117">
        <f>IF(ISNUMBER(SEARCH('Карта учёта'!$B$17,Расходка[Наименование расходного материала])),MAX($I$1:I8)+1,0)</f>
        <v>0</v>
      </c>
      <c r="J9" s="117">
        <f>IF(ISNUMBER(SEARCH('Карта учёта'!$B$18,Расходка[Наименование расходного материала])),MAX($J$1:J8)+1,0)</f>
        <v>0</v>
      </c>
      <c r="K9" s="117">
        <f>IF(ISNUMBER(SEARCH('Карта учёта'!$B$19,Расходка[Наименование расходного материала])),MAX($K$1:K8)+1,0)</f>
        <v>8</v>
      </c>
      <c r="L9" s="117">
        <f>IF(ISNUMBER(SEARCH('Карта учёта'!$B$20,Расходка[Наименование расходного материала])),MAX($L$1:L8)+1,0)</f>
        <v>8</v>
      </c>
      <c r="M9" s="117">
        <f>IF(ISNUMBER(SEARCH('Карта учёта'!$B$21,Расходка[Наименование расходного материала])),MAX($M$1:M8)+1,0)</f>
        <v>8</v>
      </c>
      <c r="N9" s="117">
        <f>IF(ISNUMBER(SEARCH('Карта учёта'!$B$22,Расходка[Наименование расходного материала])),MAX($N$1:N8)+1,0)</f>
        <v>8</v>
      </c>
      <c r="O9" s="117">
        <f>IF(ISNUMBER(SEARCH('Карта учёта'!$B$23,Расходка[Наименование расходного материала])),MAX($O$1:O8)+1,0)</f>
        <v>8</v>
      </c>
      <c r="P9" s="117">
        <f>IF(ISNUMBER(SEARCH('Карта учёта'!$B$24,Расходка[Наименование расходного материала])),MAX($P$1:P8)+1,0)</f>
        <v>8</v>
      </c>
      <c r="Q9" s="117">
        <f>IF(ISNUMBER(SEARCH('Карта учёта'!$B$25,Расходка[Наименование расходного материала])),MAX($Q$1:Q8)+1,0)</f>
        <v>8</v>
      </c>
      <c r="R9" s="116" t="str">
        <f>IFERROR(INDEX(Расходка[Наименование расходного материала],MATCH(Расходка[№],Поиск_расходки[Индекс1],0)),"")</f>
        <v/>
      </c>
      <c r="S9" s="116" t="str">
        <f>IFERROR(INDEX(Расходка[Наименование расходного материала],MATCH(Расходка[№],Поиск_расходки[Индекс2],0)),"")</f>
        <v/>
      </c>
      <c r="T9" s="116" t="str">
        <f>IFERROR(INDEX(Расходка[Наименование расходного материала],MATCH(Расходка[№],Поиск_расходки[Индекс3],0)),"")</f>
        <v/>
      </c>
      <c r="U9" s="116" t="str">
        <f>IFERROR(INDEX(Расходка[Наименование расходного материала],MATCH(Расходка[№],Поиск_расходки[Индекс4],0)),"")</f>
        <v/>
      </c>
      <c r="V9" s="116" t="str">
        <f>IFERROR(INDEX(Расходка[Наименование расходного материала],MATCH(Расходка[№],Поиск_расходки[Индекс5],0)),"")</f>
        <v/>
      </c>
      <c r="W9" s="116" t="str">
        <f>IFERROR(INDEX(Расходка[Наименование расходного материала],MATCH(Расходка[№],Поиск_расходки[Индекс6],0)),"")</f>
        <v/>
      </c>
      <c r="X9" s="116" t="str">
        <f>IFERROR(INDEX(Расходка[Наименование расходного материала],MATCH(Расходка[№],Поиск_расходки[Индекс7],0)),"")</f>
        <v>SubMarine Rapido, Invatec</v>
      </c>
      <c r="Y9" s="116" t="str">
        <f>IFERROR(INDEX(Расходка[Наименование расходного материала],MATCH(Расходка[№],Поиск_расходки[Индекс8],0)),"")</f>
        <v>SubMarine Rapido, Invatec</v>
      </c>
      <c r="Z9" s="116" t="str">
        <f>IFERROR(INDEX(Расходка[Наименование расходного материала],MATCH(Расходка[№],Поиск_расходки[Индекс9],0)),"")</f>
        <v>SubMarine Rapido, Invatec</v>
      </c>
      <c r="AA9" s="116" t="str">
        <f>IFERROR(INDEX(Расходка[Наименование расходного материала],MATCH(Расходка[№],Поиск_расходки[Индекс10],0)),"")</f>
        <v>SubMarine Rapido, Invatec</v>
      </c>
      <c r="AB9" s="116" t="str">
        <f>IFERROR(INDEX(Расходка[Наименование расходного материала],MATCH(Расходка[№],Поиск_расходки[Индекс11],0)),"")</f>
        <v>SubMarine Rapido, Invatec</v>
      </c>
      <c r="AC9" s="116" t="str">
        <f>IFERROR(INDEX(Расходка[Наименование расходного материала],MATCH(Расходка[№],Поиск_расходки[Индекс12],0)),"")</f>
        <v>SubMarine Rapido, Invatec</v>
      </c>
      <c r="AD9" s="116" t="str">
        <f>IFERROR(INDEX(Расходка[Наименование расходного материала],MATCH(Расходка[№],Поиск_расходки[Индекс13],0)),"")</f>
        <v>SubMarine Rapido, Invatec</v>
      </c>
      <c r="AF9" s="4" t="s">
        <v>5</v>
      </c>
      <c r="AG9" s="4" t="s">
        <v>414</v>
      </c>
      <c r="AM9" s="193">
        <v>218160</v>
      </c>
      <c r="AN9" s="2"/>
      <c r="AO9" t="s">
        <v>90</v>
      </c>
    </row>
    <row r="10" spans="1:42">
      <c r="A10">
        <v>9</v>
      </c>
      <c r="B10" t="s">
        <v>5</v>
      </c>
      <c r="C10" t="s">
        <v>378</v>
      </c>
      <c r="E10" s="117">
        <f>IF(ISNUMBER(SEARCH('Карта учёта'!$B$13,Расходка[[#This Row],[Наименование расходного материала]])),MAX($E$1:E9)+1,0)</f>
        <v>0</v>
      </c>
      <c r="F10" s="117">
        <f>IF(ISNUMBER(SEARCH('Карта учёта'!$B$14,Расходка[[#This Row],[Наименование расходного материала]])),MAX($F$1:F9)+1,0)</f>
        <v>0</v>
      </c>
      <c r="G10" s="117">
        <f>IF(ISNUMBER(SEARCH('Карта учёта'!$B$15,Расходка[Наименование расходного материала])),MAX($G$1:G9)+1,0)</f>
        <v>0</v>
      </c>
      <c r="H10" s="117">
        <f>IF(ISNUMBER(SEARCH('Карта учёта'!$B$16,Расходка[Наименование расходного материала])),MAX($H$1:H9)+1,0)</f>
        <v>0</v>
      </c>
      <c r="I10" s="117">
        <f>IF(ISNUMBER(SEARCH('Карта учёта'!$B$17,Расходка[Наименование расходного материала])),MAX($I$1:I9)+1,0)</f>
        <v>0</v>
      </c>
      <c r="J10" s="117">
        <f>IF(ISNUMBER(SEARCH('Карта учёта'!$B$18,Расходка[Наименование расходного материала])),MAX($J$1:J9)+1,0)</f>
        <v>0</v>
      </c>
      <c r="K10" s="117">
        <f>IF(ISNUMBER(SEARCH('Карта учёта'!$B$19,Расходка[Наименование расходного материала])),MAX($K$1:K9)+1,0)</f>
        <v>9</v>
      </c>
      <c r="L10" s="117">
        <f>IF(ISNUMBER(SEARCH('Карта учёта'!$B$20,Расходка[Наименование расходного материала])),MAX($L$1:L9)+1,0)</f>
        <v>9</v>
      </c>
      <c r="M10" s="117">
        <f>IF(ISNUMBER(SEARCH('Карта учёта'!$B$21,Расходка[Наименование расходного материала])),MAX($M$1:M9)+1,0)</f>
        <v>9</v>
      </c>
      <c r="N10" s="117">
        <f>IF(ISNUMBER(SEARCH('Карта учёта'!$B$22,Расходка[Наименование расходного материала])),MAX($N$1:N9)+1,0)</f>
        <v>9</v>
      </c>
      <c r="O10" s="117">
        <f>IF(ISNUMBER(SEARCH('Карта учёта'!$B$23,Расходка[Наименование расходного материала])),MAX($O$1:O9)+1,0)</f>
        <v>9</v>
      </c>
      <c r="P10" s="117">
        <f>IF(ISNUMBER(SEARCH('Карта учёта'!$B$24,Расходка[Наименование расходного материала])),MAX($P$1:P9)+1,0)</f>
        <v>9</v>
      </c>
      <c r="Q10" s="117">
        <f>IF(ISNUMBER(SEARCH('Карта учёта'!$B$25,Расходка[Наименование расходного материала])),MAX($Q$1:Q9)+1,0)</f>
        <v>9</v>
      </c>
      <c r="R10" s="116" t="str">
        <f>IFERROR(INDEX(Расходка[Наименование расходного материала],MATCH(Расходка[№],Поиск_расходки[Индекс1],0)),"")</f>
        <v/>
      </c>
      <c r="S10" s="116" t="str">
        <f>IFERROR(INDEX(Расходка[Наименование расходного материала],MATCH(Расходка[№],Поиск_расходки[Индекс2],0)),"")</f>
        <v/>
      </c>
      <c r="T10" s="116" t="str">
        <f>IFERROR(INDEX(Расходка[Наименование расходного материала],MATCH(Расходка[№],Поиск_расходки[Индекс3],0)),"")</f>
        <v/>
      </c>
      <c r="U10" s="116" t="str">
        <f>IFERROR(INDEX(Расходка[Наименование расходного материала],MATCH(Расходка[№],Поиск_расходки[Индекс4],0)),"")</f>
        <v/>
      </c>
      <c r="V10" s="116" t="str">
        <f>IFERROR(INDEX(Расходка[Наименование расходного материала],MATCH(Расходка[№],Поиск_расходки[Индекс5],0)),"")</f>
        <v/>
      </c>
      <c r="W10" s="116" t="str">
        <f>IFERROR(INDEX(Расходка[Наименование расходного материала],MATCH(Расходка[№],Поиск_расходки[Индекс6],0)),"")</f>
        <v/>
      </c>
      <c r="X10" s="116" t="str">
        <f>IFERROR(INDEX(Расходка[Наименование расходного материала],MATCH(Расходка[№],Поиск_расходки[Индекс7],0)),"")</f>
        <v>Колибри</v>
      </c>
      <c r="Y10" s="116" t="str">
        <f>IFERROR(INDEX(Расходка[Наименование расходного материала],MATCH(Расходка[№],Поиск_расходки[Индекс8],0)),"")</f>
        <v>Колибри</v>
      </c>
      <c r="Z10" s="116" t="str">
        <f>IFERROR(INDEX(Расходка[Наименование расходного материала],MATCH(Расходка[№],Поиск_расходки[Индекс9],0)),"")</f>
        <v>Колибри</v>
      </c>
      <c r="AA10" s="116" t="str">
        <f>IFERROR(INDEX(Расходка[Наименование расходного материала],MATCH(Расходка[№],Поиск_расходки[Индекс10],0)),"")</f>
        <v>Колибри</v>
      </c>
      <c r="AB10" s="116" t="str">
        <f>IFERROR(INDEX(Расходка[Наименование расходного материала],MATCH(Расходка[№],Поиск_расходки[Индекс11],0)),"")</f>
        <v>Колибри</v>
      </c>
      <c r="AC10" s="116" t="str">
        <f>IFERROR(INDEX(Расходка[Наименование расходного материала],MATCH(Расходка[№],Поиск_расходки[Индекс12],0)),"")</f>
        <v>Колибри</v>
      </c>
      <c r="AD10" s="116" t="str">
        <f>IFERROR(INDEX(Расходка[Наименование расходного материала],MATCH(Расходка[№],Поиск_расходки[Индекс13],0)),"")</f>
        <v>Колибри</v>
      </c>
      <c r="AF10" s="4" t="s">
        <v>5</v>
      </c>
      <c r="AG10" s="4" t="s">
        <v>415</v>
      </c>
      <c r="AI10" t="s">
        <v>356</v>
      </c>
      <c r="AM10" s="193">
        <v>194510</v>
      </c>
      <c r="AN10" s="2"/>
      <c r="AO10" t="s">
        <v>91</v>
      </c>
    </row>
    <row r="11" spans="1:42">
      <c r="A11">
        <v>10</v>
      </c>
      <c r="B11" t="s">
        <v>5</v>
      </c>
      <c r="C11" t="s">
        <v>402</v>
      </c>
      <c r="E11" s="117">
        <f>IF(ISNUMBER(SEARCH('Карта учёта'!$B$13,Расходка[[#This Row],[Наименование расходного материала]])),MAX($E$1:E10)+1,0)</f>
        <v>0</v>
      </c>
      <c r="F11" s="117">
        <f>IF(ISNUMBER(SEARCH('Карта учёта'!$B$14,Расходка[[#This Row],[Наименование расходного материала]])),MAX($F$1:F10)+1,0)</f>
        <v>0</v>
      </c>
      <c r="G11" s="117">
        <f>IF(ISNUMBER(SEARCH('Карта учёта'!$B$15,Расходка[Наименование расходного материала])),MAX($G$1:G10)+1,0)</f>
        <v>0</v>
      </c>
      <c r="H11" s="117">
        <f>IF(ISNUMBER(SEARCH('Карта учёта'!$B$16,Расходка[Наименование расходного материала])),MAX($H$1:H10)+1,0)</f>
        <v>0</v>
      </c>
      <c r="I11" s="117">
        <f>IF(ISNUMBER(SEARCH('Карта учёта'!$B$17,Расходка[Наименование расходного материала])),MAX($I$1:I10)+1,0)</f>
        <v>1</v>
      </c>
      <c r="J11" s="117">
        <f>IF(ISNUMBER(SEARCH('Карта учёта'!$B$18,Расходка[Наименование расходного материала])),MAX($J$1:J10)+1,0)</f>
        <v>0</v>
      </c>
      <c r="K11" s="117">
        <f>IF(ISNUMBER(SEARCH('Карта учёта'!$B$19,Расходка[Наименование расходного материала])),MAX($K$1:K10)+1,0)</f>
        <v>10</v>
      </c>
      <c r="L11" s="117">
        <f>IF(ISNUMBER(SEARCH('Карта учёта'!$B$20,Расходка[Наименование расходного материала])),MAX($L$1:L10)+1,0)</f>
        <v>10</v>
      </c>
      <c r="M11" s="117">
        <f>IF(ISNUMBER(SEARCH('Карта учёта'!$B$21,Расходка[Наименование расходного материала])),MAX($M$1:M10)+1,0)</f>
        <v>10</v>
      </c>
      <c r="N11" s="117">
        <f>IF(ISNUMBER(SEARCH('Карта учёта'!$B$22,Расходка[Наименование расходного материала])),MAX($N$1:N10)+1,0)</f>
        <v>10</v>
      </c>
      <c r="O11" s="117">
        <f>IF(ISNUMBER(SEARCH('Карта учёта'!$B$23,Расходка[Наименование расходного материала])),MAX($O$1:O10)+1,0)</f>
        <v>10</v>
      </c>
      <c r="P11" s="117">
        <f>IF(ISNUMBER(SEARCH('Карта учёта'!$B$24,Расходка[Наименование расходного материала])),MAX($P$1:P10)+1,0)</f>
        <v>10</v>
      </c>
      <c r="Q11" s="117">
        <f>IF(ISNUMBER(SEARCH('Карта учёта'!$B$25,Расходка[Наименование расходного материала])),MAX($Q$1:Q10)+1,0)</f>
        <v>10</v>
      </c>
      <c r="R11" s="116" t="str">
        <f>IFERROR(INDEX(Расходка[Наименование расходного материала],MATCH(Расходка[№],Поиск_расходки[Индекс1],0)),"")</f>
        <v/>
      </c>
      <c r="S11" s="116" t="str">
        <f>IFERROR(INDEX(Расходка[Наименование расходного материала],MATCH(Расходка[№],Поиск_расходки[Индекс2],0)),"")</f>
        <v/>
      </c>
      <c r="T11" s="116" t="str">
        <f>IFERROR(INDEX(Расходка[Наименование расходного материала],MATCH(Расходка[№],Поиск_расходки[Индекс3],0)),"")</f>
        <v/>
      </c>
      <c r="U11" s="116" t="str">
        <f>IFERROR(INDEX(Расходка[Наименование расходного материала],MATCH(Расходка[№],Поиск_расходки[Индекс4],0)),"")</f>
        <v/>
      </c>
      <c r="V11" s="116" t="str">
        <f>IFERROR(INDEX(Расходка[Наименование расходного материала],MATCH(Расходка[№],Поиск_расходки[Индекс5],0)),"")</f>
        <v/>
      </c>
      <c r="W11" s="116" t="str">
        <f>IFERROR(INDEX(Расходка[Наименование расходного материала],MATCH(Расходка[№],Поиск_расходки[Индекс6],0)),"")</f>
        <v/>
      </c>
      <c r="X11" s="116" t="str">
        <f>IFERROR(INDEX(Расходка[Наименование расходного материала],MATCH(Расходка[№],Поиск_расходки[Индекс7],0)),"")</f>
        <v xml:space="preserve">NC Колибри </v>
      </c>
      <c r="Y11" s="116" t="str">
        <f>IFERROR(INDEX(Расходка[Наименование расходного материала],MATCH(Расходка[№],Поиск_расходки[Индекс8],0)),"")</f>
        <v xml:space="preserve">NC Колибри </v>
      </c>
      <c r="Z11" s="116" t="str">
        <f>IFERROR(INDEX(Расходка[Наименование расходного материала],MATCH(Расходка[№],Поиск_расходки[Индекс9],0)),"")</f>
        <v xml:space="preserve">NC Колибри </v>
      </c>
      <c r="AA11" s="116" t="str">
        <f>IFERROR(INDEX(Расходка[Наименование расходного материала],MATCH(Расходка[№],Поиск_расходки[Индекс10],0)),"")</f>
        <v xml:space="preserve">NC Колибри </v>
      </c>
      <c r="AB11" s="116" t="str">
        <f>IFERROR(INDEX(Расходка[Наименование расходного материала],MATCH(Расходка[№],Поиск_расходки[Индекс11],0)),"")</f>
        <v xml:space="preserve">NC Колибри </v>
      </c>
      <c r="AC11" s="116" t="str">
        <f>IFERROR(INDEX(Расходка[Наименование расходного материала],MATCH(Расходка[№],Поиск_расходки[Индекс12],0)),"")</f>
        <v xml:space="preserve">NC Колибри </v>
      </c>
      <c r="AD11" s="116" t="str">
        <f>IFERROR(INDEX(Расходка[Наименование расходного материала],MATCH(Расходка[№],Поиск_расходки[Индекс13],0)),"")</f>
        <v xml:space="preserve">NC Колибри </v>
      </c>
      <c r="AF11" s="4" t="s">
        <v>5</v>
      </c>
      <c r="AG11" s="4" t="s">
        <v>416</v>
      </c>
      <c r="AI11" t="s">
        <v>4</v>
      </c>
      <c r="AM11" s="193">
        <v>323500</v>
      </c>
      <c r="AN11" s="2"/>
      <c r="AO11" t="s">
        <v>92</v>
      </c>
    </row>
    <row r="12" spans="1:42">
      <c r="A12">
        <v>11</v>
      </c>
      <c r="B12" t="s">
        <v>308</v>
      </c>
      <c r="C12" s="1" t="s">
        <v>334</v>
      </c>
      <c r="E12" s="117">
        <f>IF(ISNUMBER(SEARCH('Карта учёта'!$B$13,Расходка[[#This Row],[Наименование расходного материала]])),MAX($E$1:E11)+1,0)</f>
        <v>0</v>
      </c>
      <c r="F12" s="117">
        <f>IF(ISNUMBER(SEARCH('Карта учёта'!$B$14,Расходка[[#This Row],[Наименование расходного материала]])),MAX($F$1:F11)+1,0)</f>
        <v>0</v>
      </c>
      <c r="G12" s="117">
        <f>IF(ISNUMBER(SEARCH('Карта учёта'!$B$15,Расходка[Наименование расходного материала])),MAX($G$1:G11)+1,0)</f>
        <v>0</v>
      </c>
      <c r="H12" s="117">
        <f>IF(ISNUMBER(SEARCH('Карта учёта'!$B$16,Расходка[Наименование расходного материала])),MAX($H$1:H11)+1,0)</f>
        <v>0</v>
      </c>
      <c r="I12" s="117">
        <f>IF(ISNUMBER(SEARCH('Карта учёта'!$B$17,Расходка[Наименование расходного материала])),MAX($I$1:I11)+1,0)</f>
        <v>0</v>
      </c>
      <c r="J12" s="117">
        <f>IF(ISNUMBER(SEARCH('Карта учёта'!$B$18,Расходка[Наименование расходного материала])),MAX($J$1:J11)+1,0)</f>
        <v>0</v>
      </c>
      <c r="K12" s="117">
        <f>IF(ISNUMBER(SEARCH('Карта учёта'!$B$19,Расходка[Наименование расходного материала])),MAX($K$1:K11)+1,0)</f>
        <v>11</v>
      </c>
      <c r="L12" s="117">
        <f>IF(ISNUMBER(SEARCH('Карта учёта'!$B$20,Расходка[Наименование расходного материала])),MAX($L$1:L11)+1,0)</f>
        <v>11</v>
      </c>
      <c r="M12" s="117">
        <f>IF(ISNUMBER(SEARCH('Карта учёта'!$B$21,Расходка[Наименование расходного материала])),MAX($M$1:M11)+1,0)</f>
        <v>11</v>
      </c>
      <c r="N12" s="117">
        <f>IF(ISNUMBER(SEARCH('Карта учёта'!$B$22,Расходка[Наименование расходного материала])),MAX($N$1:N11)+1,0)</f>
        <v>11</v>
      </c>
      <c r="O12" s="117">
        <f>IF(ISNUMBER(SEARCH('Карта учёта'!$B$23,Расходка[Наименование расходного материала])),MAX($O$1:O11)+1,0)</f>
        <v>11</v>
      </c>
      <c r="P12" s="117">
        <f>IF(ISNUMBER(SEARCH('Карта учёта'!$B$24,Расходка[Наименование расходного материала])),MAX($P$1:P11)+1,0)</f>
        <v>11</v>
      </c>
      <c r="Q12" s="117">
        <f>IF(ISNUMBER(SEARCH('Карта учёта'!$B$25,Расходка[Наименование расходного материала])),MAX($Q$1:Q11)+1,0)</f>
        <v>11</v>
      </c>
      <c r="R12" s="116" t="str">
        <f>IFERROR(INDEX(Расходка[Наименование расходного материала],MATCH(Расходка[№],Поиск_расходки[Индекс1],0)),"")</f>
        <v/>
      </c>
      <c r="S12" s="116" t="str">
        <f>IFERROR(INDEX(Расходка[Наименование расходного материала],MATCH(Расходка[№],Поиск_расходки[Индекс2],0)),"")</f>
        <v/>
      </c>
      <c r="T12" s="116" t="str">
        <f>IFERROR(INDEX(Расходка[Наименование расходного материала],MATCH(Расходка[№],Поиск_расходки[Индекс3],0)),"")</f>
        <v/>
      </c>
      <c r="U12" s="116" t="str">
        <f>IFERROR(INDEX(Расходка[Наименование расходного материала],MATCH(Расходка[№],Поиск_расходки[Индекс4],0)),"")</f>
        <v/>
      </c>
      <c r="V12" s="116" t="str">
        <f>IFERROR(INDEX(Расходка[Наименование расходного материала],MATCH(Расходка[№],Поиск_расходки[Индекс5],0)),"")</f>
        <v/>
      </c>
      <c r="W12" s="116" t="str">
        <f>IFERROR(INDEX(Расходка[Наименование расходного материала],MATCH(Расходка[№],Поиск_расходки[Индекс6],0)),"")</f>
        <v/>
      </c>
      <c r="X12" s="116" t="str">
        <f>IFERROR(INDEX(Расходка[Наименование расходного материала],MATCH(Расходка[№],Поиск_расходки[Индекс7],0)),"")</f>
        <v>Nitrex 260</v>
      </c>
      <c r="Y12" s="116" t="str">
        <f>IFERROR(INDEX(Расходка[Наименование расходного материала],MATCH(Расходка[№],Поиск_расходки[Индекс8],0)),"")</f>
        <v>Nitrex 260</v>
      </c>
      <c r="Z12" s="116" t="str">
        <f>IFERROR(INDEX(Расходка[Наименование расходного материала],MATCH(Расходка[№],Поиск_расходки[Индекс9],0)),"")</f>
        <v>Nitrex 260</v>
      </c>
      <c r="AA12" s="116" t="str">
        <f>IFERROR(INDEX(Расходка[Наименование расходного материала],MATCH(Расходка[№],Поиск_расходки[Индекс10],0)),"")</f>
        <v>Nitrex 260</v>
      </c>
      <c r="AB12" s="116" t="str">
        <f>IFERROR(INDEX(Расходка[Наименование расходного материала],MATCH(Расходка[№],Поиск_расходки[Индекс11],0)),"")</f>
        <v>Nitrex 260</v>
      </c>
      <c r="AC12" s="116" t="str">
        <f>IFERROR(INDEX(Расходка[Наименование расходного материала],MATCH(Расходка[№],Поиск_расходки[Индекс12],0)),"")</f>
        <v>Nitrex 260</v>
      </c>
      <c r="AD12" s="116" t="str">
        <f>IFERROR(INDEX(Расходка[Наименование расходного материала],MATCH(Расходка[№],Поиск_расходки[Индекс13],0)),"")</f>
        <v>Nitrex 260</v>
      </c>
      <c r="AF12" s="4" t="s">
        <v>5</v>
      </c>
      <c r="AG12" s="4" t="s">
        <v>417</v>
      </c>
      <c r="AI12" t="s">
        <v>3</v>
      </c>
      <c r="AM12" s="193">
        <v>323510</v>
      </c>
      <c r="AN12" s="2"/>
      <c r="AO12" t="s">
        <v>93</v>
      </c>
    </row>
    <row r="13" spans="1:42">
      <c r="A13">
        <v>12</v>
      </c>
      <c r="B13" t="s">
        <v>308</v>
      </c>
      <c r="C13" t="s">
        <v>368</v>
      </c>
      <c r="D13" s="1"/>
      <c r="E13" s="117">
        <f>IF(ISNUMBER(SEARCH('Карта учёта'!$B$13,Расходка[[#This Row],[Наименование расходного материала]])),MAX($E$1:E12)+1,0)</f>
        <v>0</v>
      </c>
      <c r="F13" s="117">
        <f>IF(ISNUMBER(SEARCH('Карта учёта'!$B$14,Расходка[[#This Row],[Наименование расходного материала]])),MAX($F$1:F12)+1,0)</f>
        <v>0</v>
      </c>
      <c r="G13" s="117">
        <f>IF(ISNUMBER(SEARCH('Карта учёта'!$B$15,Расходка[Наименование расходного материала])),MAX($G$1:G12)+1,0)</f>
        <v>0</v>
      </c>
      <c r="H13" s="117">
        <f>IF(ISNUMBER(SEARCH('Карта учёта'!$B$16,Расходка[Наименование расходного материала])),MAX($H$1:H12)+1,0)</f>
        <v>0</v>
      </c>
      <c r="I13" s="117">
        <f>IF(ISNUMBER(SEARCH('Карта учёта'!$B$17,Расходка[Наименование расходного материала])),MAX($I$1:I12)+1,0)</f>
        <v>0</v>
      </c>
      <c r="J13" s="117">
        <f>IF(ISNUMBER(SEARCH('Карта учёта'!$B$18,Расходка[Наименование расходного материала])),MAX($J$1:J12)+1,0)</f>
        <v>0</v>
      </c>
      <c r="K13" s="117">
        <f>IF(ISNUMBER(SEARCH('Карта учёта'!$B$19,Расходка[Наименование расходного материала])),MAX($K$1:K12)+1,0)</f>
        <v>12</v>
      </c>
      <c r="L13" s="117">
        <f>IF(ISNUMBER(SEARCH('Карта учёта'!$B$20,Расходка[Наименование расходного материала])),MAX($L$1:L12)+1,0)</f>
        <v>12</v>
      </c>
      <c r="M13" s="117">
        <f>IF(ISNUMBER(SEARCH('Карта учёта'!$B$21,Расходка[Наименование расходного материала])),MAX($M$1:M12)+1,0)</f>
        <v>12</v>
      </c>
      <c r="N13" s="117">
        <f>IF(ISNUMBER(SEARCH('Карта учёта'!$B$22,Расходка[Наименование расходного материала])),MAX($N$1:N12)+1,0)</f>
        <v>12</v>
      </c>
      <c r="O13" s="117">
        <f>IF(ISNUMBER(SEARCH('Карта учёта'!$B$23,Расходка[Наименование расходного материала])),MAX($O$1:O12)+1,0)</f>
        <v>12</v>
      </c>
      <c r="P13" s="117">
        <f>IF(ISNUMBER(SEARCH('Карта учёта'!$B$24,Расходка[Наименование расходного материала])),MAX($P$1:P12)+1,0)</f>
        <v>12</v>
      </c>
      <c r="Q13" s="117">
        <f>IF(ISNUMBER(SEARCH('Карта учёта'!$B$25,Расходка[Наименование расходного материала])),MAX($Q$1:Q12)+1,0)</f>
        <v>12</v>
      </c>
      <c r="R13" s="116" t="str">
        <f>IFERROR(INDEX(Расходка[Наименование расходного материала],MATCH(Расходка[№],Поиск_расходки[Индекс1],0)),"")</f>
        <v/>
      </c>
      <c r="S13" s="116" t="str">
        <f>IFERROR(INDEX(Расходка[Наименование расходного материала],MATCH(Расходка[№],Поиск_расходки[Индекс2],0)),"")</f>
        <v/>
      </c>
      <c r="T13" s="116" t="str">
        <f>IFERROR(INDEX(Расходка[Наименование расходного материала],MATCH(Расходка[№],Поиск_расходки[Индекс3],0)),"")</f>
        <v/>
      </c>
      <c r="U13" s="116" t="str">
        <f>IFERROR(INDEX(Расходка[Наименование расходного материала],MATCH(Расходка[№],Поиск_расходки[Индекс4],0)),"")</f>
        <v/>
      </c>
      <c r="V13" s="116" t="str">
        <f>IFERROR(INDEX(Расходка[Наименование расходного материала],MATCH(Расходка[№],Поиск_расходки[Индекс5],0)),"")</f>
        <v/>
      </c>
      <c r="W13" s="116" t="str">
        <f>IFERROR(INDEX(Расходка[Наименование расходного материала],MATCH(Расходка[№],Поиск_расходки[Индекс6],0)),"")</f>
        <v/>
      </c>
      <c r="X13" s="116" t="str">
        <f>IFERROR(INDEX(Расходка[Наименование расходного материала],MATCH(Расходка[№],Поиск_расходки[Индекс7],0)),"")</f>
        <v>RadiFocus</v>
      </c>
      <c r="Y13" s="116" t="str">
        <f>IFERROR(INDEX(Расходка[Наименование расходного материала],MATCH(Расходка[№],Поиск_расходки[Индекс8],0)),"")</f>
        <v>RadiFocus</v>
      </c>
      <c r="Z13" s="116" t="str">
        <f>IFERROR(INDEX(Расходка[Наименование расходного материала],MATCH(Расходка[№],Поиск_расходки[Индекс9],0)),"")</f>
        <v>RadiFocus</v>
      </c>
      <c r="AA13" s="116" t="str">
        <f>IFERROR(INDEX(Расходка[Наименование расходного материала],MATCH(Расходка[№],Поиск_расходки[Индекс10],0)),"")</f>
        <v>RadiFocus</v>
      </c>
      <c r="AB13" s="116" t="str">
        <f>IFERROR(INDEX(Расходка[Наименование расходного материала],MATCH(Расходка[№],Поиск_расходки[Индекс11],0)),"")</f>
        <v>RadiFocus</v>
      </c>
      <c r="AC13" s="116" t="str">
        <f>IFERROR(INDEX(Расходка[Наименование расходного материала],MATCH(Расходка[№],Поиск_расходки[Индекс12],0)),"")</f>
        <v>RadiFocus</v>
      </c>
      <c r="AD13" s="116" t="str">
        <f>IFERROR(INDEX(Расходка[Наименование расходного материала],MATCH(Расходка[№],Поиск_расходки[Индекс13],0)),"")</f>
        <v>RadiFocus</v>
      </c>
      <c r="AF13" s="4" t="s">
        <v>5</v>
      </c>
      <c r="AG13" s="4" t="s">
        <v>418</v>
      </c>
      <c r="AI13" t="s">
        <v>6</v>
      </c>
      <c r="AN13" s="2"/>
    </row>
    <row r="14" spans="1:42">
      <c r="A14">
        <v>13</v>
      </c>
      <c r="B14" t="s">
        <v>306</v>
      </c>
      <c r="C14" t="s">
        <v>333</v>
      </c>
      <c r="E14" s="117">
        <f>IF(ISNUMBER(SEARCH('Карта учёта'!$B$13,Расходка[[#This Row],[Наименование расходного материала]])),MAX($E$1:E13)+1,0)</f>
        <v>0</v>
      </c>
      <c r="F14" s="117">
        <f>IF(ISNUMBER(SEARCH('Карта учёта'!$B$14,Расходка[[#This Row],[Наименование расходного материала]])),MAX($F$1:F13)+1,0)</f>
        <v>0</v>
      </c>
      <c r="G14" s="117">
        <f>IF(ISNUMBER(SEARCH('Карта учёта'!$B$15,Расходка[Наименование расходного материала])),MAX($G$1:G13)+1,0)</f>
        <v>0</v>
      </c>
      <c r="H14" s="117">
        <f>IF(ISNUMBER(SEARCH('Карта учёта'!$B$16,Расходка[Наименование расходного материала])),MAX($H$1:H13)+1,0)</f>
        <v>0</v>
      </c>
      <c r="I14" s="117">
        <f>IF(ISNUMBER(SEARCH('Карта учёта'!$B$17,Расходка[Наименование расходного материала])),MAX($I$1:I13)+1,0)</f>
        <v>0</v>
      </c>
      <c r="J14" s="117">
        <f>IF(ISNUMBER(SEARCH('Карта учёта'!$B$18,Расходка[Наименование расходного материала])),MAX($J$1:J13)+1,0)</f>
        <v>0</v>
      </c>
      <c r="K14" s="117">
        <f>IF(ISNUMBER(SEARCH('Карта учёта'!$B$19,Расходка[Наименование расходного материала])),MAX($K$1:K13)+1,0)</f>
        <v>13</v>
      </c>
      <c r="L14" s="117">
        <f>IF(ISNUMBER(SEARCH('Карта учёта'!$B$20,Расходка[Наименование расходного материала])),MAX($L$1:L13)+1,0)</f>
        <v>13</v>
      </c>
      <c r="M14" s="117">
        <f>IF(ISNUMBER(SEARCH('Карта учёта'!$B$21,Расходка[Наименование расходного материала])),MAX($M$1:M13)+1,0)</f>
        <v>13</v>
      </c>
      <c r="N14" s="117">
        <f>IF(ISNUMBER(SEARCH('Карта учёта'!$B$22,Расходка[Наименование расходного материала])),MAX($N$1:N13)+1,0)</f>
        <v>13</v>
      </c>
      <c r="O14" s="117">
        <f>IF(ISNUMBER(SEARCH('Карта учёта'!$B$23,Расходка[Наименование расходного материала])),MAX($O$1:O13)+1,0)</f>
        <v>13</v>
      </c>
      <c r="P14" s="117">
        <f>IF(ISNUMBER(SEARCH('Карта учёта'!$B$24,Расходка[Наименование расходного материала])),MAX($P$1:P13)+1,0)</f>
        <v>13</v>
      </c>
      <c r="Q14" s="117">
        <f>IF(ISNUMBER(SEARCH('Карта учёта'!$B$25,Расходка[Наименование расходного материала])),MAX($Q$1:Q13)+1,0)</f>
        <v>13</v>
      </c>
      <c r="R14" s="116" t="str">
        <f>IFERROR(INDEX(Расходка[Наименование расходного материала],MATCH(Расходка[№],Поиск_расходки[Индекс1],0)),"")</f>
        <v/>
      </c>
      <c r="S14" s="116" t="str">
        <f>IFERROR(INDEX(Расходка[Наименование расходного материала],MATCH(Расходка[№],Поиск_расходки[Индекс2],0)),"")</f>
        <v/>
      </c>
      <c r="T14" s="116" t="str">
        <f>IFERROR(INDEX(Расходка[Наименование расходного материала],MATCH(Расходка[№],Поиск_расходки[Индекс3],0)),"")</f>
        <v/>
      </c>
      <c r="U14" s="116" t="str">
        <f>IFERROR(INDEX(Расходка[Наименование расходного материала],MATCH(Расходка[№],Поиск_расходки[Индекс4],0)),"")</f>
        <v/>
      </c>
      <c r="V14" s="116" t="str">
        <f>IFERROR(INDEX(Расходка[Наименование расходного материала],MATCH(Расходка[№],Поиск_расходки[Индекс5],0)),"")</f>
        <v/>
      </c>
      <c r="W14" s="116" t="str">
        <f>IFERROR(INDEX(Расходка[Наименование расходного материала],MATCH(Расходка[№],Поиск_расходки[Индекс6],0)),"")</f>
        <v/>
      </c>
      <c r="X14" s="116" t="str">
        <f>IFERROR(INDEX(Расходка[Наименование расходного материала],MATCH(Расходка[№],Поиск_расходки[Индекс7],0)),"")</f>
        <v>BasixCOMPAK</v>
      </c>
      <c r="Y14" s="116" t="str">
        <f>IFERROR(INDEX(Расходка[Наименование расходного материала],MATCH(Расходка[№],Поиск_расходки[Индекс8],0)),"")</f>
        <v>BasixCOMPAK</v>
      </c>
      <c r="Z14" s="116" t="str">
        <f>IFERROR(INDEX(Расходка[Наименование расходного материала],MATCH(Расходка[№],Поиск_расходки[Индекс9],0)),"")</f>
        <v>BasixCOMPAK</v>
      </c>
      <c r="AA14" s="116" t="str">
        <f>IFERROR(INDEX(Расходка[Наименование расходного материала],MATCH(Расходка[№],Поиск_расходки[Индекс10],0)),"")</f>
        <v>BasixCOMPAK</v>
      </c>
      <c r="AB14" s="116" t="str">
        <f>IFERROR(INDEX(Расходка[Наименование расходного материала],MATCH(Расходка[№],Поиск_расходки[Индекс11],0)),"")</f>
        <v>BasixCOMPAK</v>
      </c>
      <c r="AC14" s="116" t="str">
        <f>IFERROR(INDEX(Расходка[Наименование расходного материала],MATCH(Расходка[№],Поиск_расходки[Индекс12],0)),"")</f>
        <v>BasixCOMPAK</v>
      </c>
      <c r="AD14" s="116" t="str">
        <f>IFERROR(INDEX(Расходка[Наименование расходного материала],MATCH(Расходка[№],Поиск_расходки[Индекс13],0)),"")</f>
        <v>BasixCOMPAK</v>
      </c>
      <c r="AF14" s="4" t="s">
        <v>5</v>
      </c>
      <c r="AG14" s="4" t="s">
        <v>497</v>
      </c>
      <c r="AI14" t="s">
        <v>5</v>
      </c>
      <c r="AM14" s="193"/>
      <c r="AN14" s="2"/>
    </row>
    <row r="15" spans="1:42">
      <c r="A15">
        <v>14</v>
      </c>
      <c r="B15" t="s">
        <v>306</v>
      </c>
      <c r="C15" t="s">
        <v>365</v>
      </c>
      <c r="E15" s="117">
        <f>IF(ISNUMBER(SEARCH('Карта учёта'!$B$13,Расходка[[#This Row],[Наименование расходного материала]])),MAX($E$1:E14)+1,0)</f>
        <v>0</v>
      </c>
      <c r="F15" s="117">
        <f>IF(ISNUMBER(SEARCH('Карта учёта'!$B$14,Расходка[[#This Row],[Наименование расходного материала]])),MAX($F$1:F14)+1,0)</f>
        <v>0</v>
      </c>
      <c r="G15" s="117">
        <f>IF(ISNUMBER(SEARCH('Карта учёта'!$B$15,Расходка[Наименование расходного материала])),MAX($G$1:G14)+1,0)</f>
        <v>0</v>
      </c>
      <c r="H15" s="117">
        <f>IF(ISNUMBER(SEARCH('Карта учёта'!$B$16,Расходка[Наименование расходного материала])),MAX($H$1:H14)+1,0)</f>
        <v>0</v>
      </c>
      <c r="I15" s="117">
        <f>IF(ISNUMBER(SEARCH('Карта учёта'!$B$17,Расходка[Наименование расходного материала])),MAX($I$1:I14)+1,0)</f>
        <v>0</v>
      </c>
      <c r="J15" s="117">
        <f>IF(ISNUMBER(SEARCH('Карта учёта'!$B$18,Расходка[Наименование расходного материала])),MAX($J$1:J14)+1,0)</f>
        <v>0</v>
      </c>
      <c r="K15" s="117">
        <f>IF(ISNUMBER(SEARCH('Карта учёта'!$B$19,Расходка[Наименование расходного материала])),MAX($K$1:K14)+1,0)</f>
        <v>14</v>
      </c>
      <c r="L15" s="117">
        <f>IF(ISNUMBER(SEARCH('Карта учёта'!$B$20,Расходка[Наименование расходного материала])),MAX($L$1:L14)+1,0)</f>
        <v>14</v>
      </c>
      <c r="M15" s="117">
        <f>IF(ISNUMBER(SEARCH('Карта учёта'!$B$21,Расходка[Наименование расходного материала])),MAX($M$1:M14)+1,0)</f>
        <v>14</v>
      </c>
      <c r="N15" s="117">
        <f>IF(ISNUMBER(SEARCH('Карта учёта'!$B$22,Расходка[Наименование расходного материала])),MAX($N$1:N14)+1,0)</f>
        <v>14</v>
      </c>
      <c r="O15" s="117">
        <f>IF(ISNUMBER(SEARCH('Карта учёта'!$B$23,Расходка[Наименование расходного материала])),MAX($O$1:O14)+1,0)</f>
        <v>14</v>
      </c>
      <c r="P15" s="117">
        <f>IF(ISNUMBER(SEARCH('Карта учёта'!$B$24,Расходка[Наименование расходного материала])),MAX($P$1:P14)+1,0)</f>
        <v>14</v>
      </c>
      <c r="Q15" s="117">
        <f>IF(ISNUMBER(SEARCH('Карта учёта'!$B$25,Расходка[Наименование расходного материала])),MAX($Q$1:Q14)+1,0)</f>
        <v>14</v>
      </c>
      <c r="R15" s="116" t="str">
        <f>IFERROR(INDEX(Расходка[Наименование расходного материала],MATCH(Расходка[№],Поиск_расходки[Индекс1],0)),"")</f>
        <v/>
      </c>
      <c r="S15" s="116" t="str">
        <f>IFERROR(INDEX(Расходка[Наименование расходного материала],MATCH(Расходка[№],Поиск_расходки[Индекс2],0)),"")</f>
        <v/>
      </c>
      <c r="T15" s="116" t="str">
        <f>IFERROR(INDEX(Расходка[Наименование расходного материала],MATCH(Расходка[№],Поиск_расходки[Индекс3],0)),"")</f>
        <v/>
      </c>
      <c r="U15" s="116" t="str">
        <f>IFERROR(INDEX(Расходка[Наименование расходного материала],MATCH(Расходка[№],Поиск_расходки[Индекс4],0)),"")</f>
        <v/>
      </c>
      <c r="V15" s="116" t="str">
        <f>IFERROR(INDEX(Расходка[Наименование расходного материала],MATCH(Расходка[№],Поиск_расходки[Индекс5],0)),"")</f>
        <v/>
      </c>
      <c r="W15" s="116" t="str">
        <f>IFERROR(INDEX(Расходка[Наименование расходного материала],MATCH(Расходка[№],Поиск_расходки[Индекс6],0)),"")</f>
        <v/>
      </c>
      <c r="X15" s="116" t="str">
        <f>IFERROR(INDEX(Расходка[Наименование расходного материала],MATCH(Расходка[№],Поиск_расходки[Индекс7],0)),"")</f>
        <v>BasixTOUCH</v>
      </c>
      <c r="Y15" s="116" t="str">
        <f>IFERROR(INDEX(Расходка[Наименование расходного материала],MATCH(Расходка[№],Поиск_расходки[Индекс8],0)),"")</f>
        <v>BasixTOUCH</v>
      </c>
      <c r="Z15" s="116" t="str">
        <f>IFERROR(INDEX(Расходка[Наименование расходного материала],MATCH(Расходка[№],Поиск_расходки[Индекс9],0)),"")</f>
        <v>BasixTOUCH</v>
      </c>
      <c r="AA15" s="116" t="str">
        <f>IFERROR(INDEX(Расходка[Наименование расходного материала],MATCH(Расходка[№],Поиск_расходки[Индекс10],0)),"")</f>
        <v>BasixTOUCH</v>
      </c>
      <c r="AB15" s="116" t="str">
        <f>IFERROR(INDEX(Расходка[Наименование расходного материала],MATCH(Расходка[№],Поиск_расходки[Индекс11],0)),"")</f>
        <v>BasixTOUCH</v>
      </c>
      <c r="AC15" s="116" t="str">
        <f>IFERROR(INDEX(Расходка[Наименование расходного материала],MATCH(Расходка[№],Поиск_расходки[Индекс12],0)),"")</f>
        <v>BasixTOUCH</v>
      </c>
      <c r="AD15" s="116" t="str">
        <f>IFERROR(INDEX(Расходка[Наименование расходного материала],MATCH(Расходка[№],Поиск_расходки[Индекс13],0)),"")</f>
        <v>BasixTOUCH</v>
      </c>
      <c r="AF15" s="4" t="s">
        <v>5</v>
      </c>
      <c r="AG15" s="4" t="s">
        <v>419</v>
      </c>
      <c r="AI15" t="s">
        <v>94</v>
      </c>
    </row>
    <row r="16" spans="1:42">
      <c r="A16">
        <v>15</v>
      </c>
      <c r="B16" t="s">
        <v>306</v>
      </c>
      <c r="C16" t="s">
        <v>355</v>
      </c>
      <c r="E16" s="117">
        <f>IF(ISNUMBER(SEARCH('Карта учёта'!$B$13,Расходка[[#This Row],[Наименование расходного материала]])),MAX($E$1:E15)+1,0)</f>
        <v>0</v>
      </c>
      <c r="F16" s="117">
        <f>IF(ISNUMBER(SEARCH('Карта учёта'!$B$14,Расходка[[#This Row],[Наименование расходного материала]])),MAX($F$1:F15)+1,0)</f>
        <v>0</v>
      </c>
      <c r="G16" s="117">
        <f>IF(ISNUMBER(SEARCH('Карта учёта'!$B$15,Расходка[Наименование расходного материала])),MAX($G$1:G15)+1,0)</f>
        <v>0</v>
      </c>
      <c r="H16" s="117">
        <f>IF(ISNUMBER(SEARCH('Карта учёта'!$B$16,Расходка[Наименование расходного материала])),MAX($H$1:H15)+1,0)</f>
        <v>0</v>
      </c>
      <c r="I16" s="117">
        <f>IF(ISNUMBER(SEARCH('Карта учёта'!$B$17,Расходка[Наименование расходного материала])),MAX($I$1:I15)+1,0)</f>
        <v>0</v>
      </c>
      <c r="J16" s="117">
        <f>IF(ISNUMBER(SEARCH('Карта учёта'!$B$18,Расходка[Наименование расходного материала])),MAX($J$1:J15)+1,0)</f>
        <v>0</v>
      </c>
      <c r="K16" s="117">
        <f>IF(ISNUMBER(SEARCH('Карта учёта'!$B$19,Расходка[Наименование расходного материала])),MAX($K$1:K15)+1,0)</f>
        <v>15</v>
      </c>
      <c r="L16" s="117">
        <f>IF(ISNUMBER(SEARCH('Карта учёта'!$B$20,Расходка[Наименование расходного материала])),MAX($L$1:L15)+1,0)</f>
        <v>15</v>
      </c>
      <c r="M16" s="117">
        <f>IF(ISNUMBER(SEARCH('Карта учёта'!$B$21,Расходка[Наименование расходного материала])),MAX($M$1:M15)+1,0)</f>
        <v>15</v>
      </c>
      <c r="N16" s="117">
        <f>IF(ISNUMBER(SEARCH('Карта учёта'!$B$22,Расходка[Наименование расходного материала])),MAX($N$1:N15)+1,0)</f>
        <v>15</v>
      </c>
      <c r="O16" s="117">
        <f>IF(ISNUMBER(SEARCH('Карта учёта'!$B$23,Расходка[Наименование расходного материала])),MAX($O$1:O15)+1,0)</f>
        <v>15</v>
      </c>
      <c r="P16" s="117">
        <f>IF(ISNUMBER(SEARCH('Карта учёта'!$B$24,Расходка[Наименование расходного материала])),MAX($P$1:P15)+1,0)</f>
        <v>15</v>
      </c>
      <c r="Q16" s="117">
        <f>IF(ISNUMBER(SEARCH('Карта учёта'!$B$25,Расходка[Наименование расходного материала])),MAX($Q$1:Q15)+1,0)</f>
        <v>15</v>
      </c>
      <c r="R16" s="116" t="str">
        <f>IFERROR(INDEX(Расходка[Наименование расходного материала],MATCH(Расходка[№],Поиск_расходки[Индекс1],0)),"")</f>
        <v/>
      </c>
      <c r="S16" s="116" t="str">
        <f>IFERROR(INDEX(Расходка[Наименование расходного материала],MATCH(Расходка[№],Поиск_расходки[Индекс2],0)),"")</f>
        <v/>
      </c>
      <c r="T16" s="116" t="str">
        <f>IFERROR(INDEX(Расходка[Наименование расходного материала],MATCH(Расходка[№],Поиск_расходки[Индекс3],0)),"")</f>
        <v/>
      </c>
      <c r="U16" s="116" t="str">
        <f>IFERROR(INDEX(Расходка[Наименование расходного материала],MATCH(Расходка[№],Поиск_расходки[Индекс4],0)),"")</f>
        <v/>
      </c>
      <c r="V16" s="116" t="str">
        <f>IFERROR(INDEX(Расходка[Наименование расходного материала],MATCH(Расходка[№],Поиск_расходки[Индекс5],0)),"")</f>
        <v/>
      </c>
      <c r="W16" s="116" t="str">
        <f>IFERROR(INDEX(Расходка[Наименование расходного материала],MATCH(Расходка[№],Поиск_расходки[Индекс6],0)),"")</f>
        <v/>
      </c>
      <c r="X16" s="116" t="str">
        <f>IFERROR(INDEX(Расходка[Наименование расходного материала],MATCH(Расходка[№],Поиск_расходки[Индекс7],0)),"")</f>
        <v>Dolphin</v>
      </c>
      <c r="Y16" s="116" t="str">
        <f>IFERROR(INDEX(Расходка[Наименование расходного материала],MATCH(Расходка[№],Поиск_расходки[Индекс8],0)),"")</f>
        <v>Dolphin</v>
      </c>
      <c r="Z16" s="116" t="str">
        <f>IFERROR(INDEX(Расходка[Наименование расходного материала],MATCH(Расходка[№],Поиск_расходки[Индекс9],0)),"")</f>
        <v>Dolphin</v>
      </c>
      <c r="AA16" s="116" t="str">
        <f>IFERROR(INDEX(Расходка[Наименование расходного материала],MATCH(Расходка[№],Поиск_расходки[Индекс10],0)),"")</f>
        <v>Dolphin</v>
      </c>
      <c r="AB16" s="116" t="str">
        <f>IFERROR(INDEX(Расходка[Наименование расходного материала],MATCH(Расходка[№],Поиск_расходки[Индекс11],0)),"")</f>
        <v>Dolphin</v>
      </c>
      <c r="AC16" s="116" t="str">
        <f>IFERROR(INDEX(Расходка[Наименование расходного материала],MATCH(Расходка[№],Поиск_расходки[Индекс12],0)),"")</f>
        <v>Dolphin</v>
      </c>
      <c r="AD16" s="116" t="str">
        <f>IFERROR(INDEX(Расходка[Наименование расходного материала],MATCH(Расходка[№],Поиск_расходки[Индекс13],0)),"")</f>
        <v>Dolphin</v>
      </c>
      <c r="AF16" s="4" t="s">
        <v>5</v>
      </c>
      <c r="AG16" s="4" t="s">
        <v>420</v>
      </c>
      <c r="AI16" t="s">
        <v>306</v>
      </c>
    </row>
    <row r="17" spans="1:35">
      <c r="A17">
        <v>16</v>
      </c>
      <c r="B17" t="s">
        <v>306</v>
      </c>
      <c r="C17" t="s">
        <v>379</v>
      </c>
      <c r="E17" s="117">
        <f>IF(ISNUMBER(SEARCH('Карта учёта'!$B$13,Расходка[[#This Row],[Наименование расходного материала]])),MAX($E$1:E16)+1,0)</f>
        <v>0</v>
      </c>
      <c r="F17" s="117">
        <f>IF(ISNUMBER(SEARCH('Карта учёта'!$B$14,Расходка[[#This Row],[Наименование расходного материала]])),MAX($F$1:F16)+1,0)</f>
        <v>0</v>
      </c>
      <c r="G17" s="117">
        <f>IF(ISNUMBER(SEARCH('Карта учёта'!$B$15,Расходка[Наименование расходного материала])),MAX($G$1:G16)+1,0)</f>
        <v>0</v>
      </c>
      <c r="H17" s="117">
        <f>IF(ISNUMBER(SEARCH('Карта учёта'!$B$16,Расходка[Наименование расходного материала])),MAX($H$1:H16)+1,0)</f>
        <v>0</v>
      </c>
      <c r="I17" s="117">
        <f>IF(ISNUMBER(SEARCH('Карта учёта'!$B$17,Расходка[Наименование расходного материала])),MAX($I$1:I16)+1,0)</f>
        <v>0</v>
      </c>
      <c r="J17" s="117">
        <f>IF(ISNUMBER(SEARCH('Карта учёта'!$B$18,Расходка[Наименование расходного материала])),MAX($J$1:J16)+1,0)</f>
        <v>0</v>
      </c>
      <c r="K17" s="117">
        <f>IF(ISNUMBER(SEARCH('Карта учёта'!$B$19,Расходка[Наименование расходного материала])),MAX($K$1:K16)+1,0)</f>
        <v>16</v>
      </c>
      <c r="L17" s="117">
        <f>IF(ISNUMBER(SEARCH('Карта учёта'!$B$20,Расходка[Наименование расходного материала])),MAX($L$1:L16)+1,0)</f>
        <v>16</v>
      </c>
      <c r="M17" s="117">
        <f>IF(ISNUMBER(SEARCH('Карта учёта'!$B$21,Расходка[Наименование расходного материала])),MAX($M$1:M16)+1,0)</f>
        <v>16</v>
      </c>
      <c r="N17" s="117">
        <f>IF(ISNUMBER(SEARCH('Карта учёта'!$B$22,Расходка[Наименование расходного материала])),MAX($N$1:N16)+1,0)</f>
        <v>16</v>
      </c>
      <c r="O17" s="117">
        <f>IF(ISNUMBER(SEARCH('Карта учёта'!$B$23,Расходка[Наименование расходного материала])),MAX($O$1:O16)+1,0)</f>
        <v>16</v>
      </c>
      <c r="P17" s="117">
        <f>IF(ISNUMBER(SEARCH('Карта учёта'!$B$24,Расходка[Наименование расходного материала])),MAX($P$1:P16)+1,0)</f>
        <v>16</v>
      </c>
      <c r="Q17" s="117">
        <f>IF(ISNUMBER(SEARCH('Карта учёта'!$B$25,Расходка[Наименование расходного материала])),MAX($Q$1:Q16)+1,0)</f>
        <v>16</v>
      </c>
      <c r="R17" s="116" t="str">
        <f>IFERROR(INDEX(Расходка[Наименование расходного материала],MATCH(Расходка[№],Поиск_расходки[Индекс1],0)),"")</f>
        <v/>
      </c>
      <c r="S17" s="116" t="str">
        <f>IFERROR(INDEX(Расходка[Наименование расходного материала],MATCH(Расходка[№],Поиск_расходки[Индекс2],0)),"")</f>
        <v/>
      </c>
      <c r="T17" s="116" t="str">
        <f>IFERROR(INDEX(Расходка[Наименование расходного материала],MATCH(Расходка[№],Поиск_расходки[Индекс3],0)),"")</f>
        <v/>
      </c>
      <c r="U17" s="116" t="str">
        <f>IFERROR(INDEX(Расходка[Наименование расходного материала],MATCH(Расходка[№],Поиск_расходки[Индекс4],0)),"")</f>
        <v/>
      </c>
      <c r="V17" s="116" t="str">
        <f>IFERROR(INDEX(Расходка[Наименование расходного материала],MATCH(Расходка[№],Поиск_расходки[Индекс5],0)),"")</f>
        <v/>
      </c>
      <c r="W17" s="116" t="str">
        <f>IFERROR(INDEX(Расходка[Наименование расходного материала],MATCH(Расходка[№],Поиск_расходки[Индекс6],0)),"")</f>
        <v/>
      </c>
      <c r="X17" s="116" t="str">
        <f>IFERROR(INDEX(Расходка[Наименование расходного материала],MATCH(Расходка[№],Поиск_расходки[Индекс7],0)),"")</f>
        <v>Lepu Medical</v>
      </c>
      <c r="Y17" s="116" t="str">
        <f>IFERROR(INDEX(Расходка[Наименование расходного материала],MATCH(Расходка[№],Поиск_расходки[Индекс8],0)),"")</f>
        <v>Lepu Medical</v>
      </c>
      <c r="Z17" s="116" t="str">
        <f>IFERROR(INDEX(Расходка[Наименование расходного материала],MATCH(Расходка[№],Поиск_расходки[Индекс9],0)),"")</f>
        <v>Lepu Medical</v>
      </c>
      <c r="AA17" s="116" t="str">
        <f>IFERROR(INDEX(Расходка[Наименование расходного материала],MATCH(Расходка[№],Поиск_расходки[Индекс10],0)),"")</f>
        <v>Lepu Medical</v>
      </c>
      <c r="AB17" s="116" t="str">
        <f>IFERROR(INDEX(Расходка[Наименование расходного материала],MATCH(Расходка[№],Поиск_расходки[Индекс11],0)),"")</f>
        <v>Lepu Medical</v>
      </c>
      <c r="AC17" s="116" t="str">
        <f>IFERROR(INDEX(Расходка[Наименование расходного материала],MATCH(Расходка[№],Поиск_расходки[Индекс12],0)),"")</f>
        <v>Lepu Medical</v>
      </c>
      <c r="AD17" s="116" t="str">
        <f>IFERROR(INDEX(Расходка[Наименование расходного материала],MATCH(Расходка[№],Поиск_расходки[Индекс13],0)),"")</f>
        <v>Lepu Medical</v>
      </c>
      <c r="AF17" s="4" t="s">
        <v>5</v>
      </c>
      <c r="AG17" s="4" t="s">
        <v>421</v>
      </c>
      <c r="AI17" t="s">
        <v>206</v>
      </c>
    </row>
    <row r="18" spans="1:35">
      <c r="A18">
        <v>17</v>
      </c>
      <c r="B18" t="s">
        <v>306</v>
      </c>
      <c r="C18" t="s">
        <v>370</v>
      </c>
      <c r="D18" s="1"/>
      <c r="E18" s="117">
        <f>IF(ISNUMBER(SEARCH('Карта учёта'!$B$13,Расходка[[#This Row],[Наименование расходного материала]])),MAX($E$1:E17)+1,0)</f>
        <v>0</v>
      </c>
      <c r="F18" s="117">
        <f>IF(ISNUMBER(SEARCH('Карта учёта'!$B$14,Расходка[[#This Row],[Наименование расходного материала]])),MAX($F$1:F17)+1,0)</f>
        <v>0</v>
      </c>
      <c r="G18" s="117">
        <f>IF(ISNUMBER(SEARCH('Карта учёта'!$B$15,Расходка[Наименование расходного материала])),MAX($G$1:G17)+1,0)</f>
        <v>0</v>
      </c>
      <c r="H18" s="117">
        <f>IF(ISNUMBER(SEARCH('Карта учёта'!$B$16,Расходка[Наименование расходного материала])),MAX($H$1:H17)+1,0)</f>
        <v>0</v>
      </c>
      <c r="I18" s="117">
        <f>IF(ISNUMBER(SEARCH('Карта учёта'!$B$17,Расходка[Наименование расходного материала])),MAX($I$1:I17)+1,0)</f>
        <v>0</v>
      </c>
      <c r="J18" s="117">
        <f>IF(ISNUMBER(SEARCH('Карта учёта'!$B$18,Расходка[Наименование расходного материала])),MAX($J$1:J17)+1,0)</f>
        <v>0</v>
      </c>
      <c r="K18" s="117">
        <f>IF(ISNUMBER(SEARCH('Карта учёта'!$B$19,Расходка[Наименование расходного материала])),MAX($K$1:K17)+1,0)</f>
        <v>17</v>
      </c>
      <c r="L18" s="117">
        <f>IF(ISNUMBER(SEARCH('Карта учёта'!$B$20,Расходка[Наименование расходного материала])),MAX($L$1:L17)+1,0)</f>
        <v>17</v>
      </c>
      <c r="M18" s="117">
        <f>IF(ISNUMBER(SEARCH('Карта учёта'!$B$21,Расходка[Наименование расходного материала])),MAX($M$1:M17)+1,0)</f>
        <v>17</v>
      </c>
      <c r="N18" s="117">
        <f>IF(ISNUMBER(SEARCH('Карта учёта'!$B$22,Расходка[Наименование расходного материала])),MAX($N$1:N17)+1,0)</f>
        <v>17</v>
      </c>
      <c r="O18" s="117">
        <f>IF(ISNUMBER(SEARCH('Карта учёта'!$B$23,Расходка[Наименование расходного материала])),MAX($O$1:O17)+1,0)</f>
        <v>17</v>
      </c>
      <c r="P18" s="117">
        <f>IF(ISNUMBER(SEARCH('Карта учёта'!$B$24,Расходка[Наименование расходного материала])),MAX($P$1:P17)+1,0)</f>
        <v>17</v>
      </c>
      <c r="Q18" s="117">
        <f>IF(ISNUMBER(SEARCH('Карта учёта'!$B$25,Расходка[Наименование расходного материала])),MAX($Q$1:Q17)+1,0)</f>
        <v>17</v>
      </c>
      <c r="R18" s="116" t="str">
        <f>IFERROR(INDEX(Расходка[Наименование расходного материала],MATCH(Расходка[№],Поиск_расходки[Индекс1],0)),"")</f>
        <v/>
      </c>
      <c r="S18" s="116" t="str">
        <f>IFERROR(INDEX(Расходка[Наименование расходного материала],MATCH(Расходка[№],Поиск_расходки[Индекс2],0)),"")</f>
        <v/>
      </c>
      <c r="T18" s="116" t="str">
        <f>IFERROR(INDEX(Расходка[Наименование расходного материала],MATCH(Расходка[№],Поиск_расходки[Индекс3],0)),"")</f>
        <v/>
      </c>
      <c r="U18" s="116" t="str">
        <f>IFERROR(INDEX(Расходка[Наименование расходного материала],MATCH(Расходка[№],Поиск_расходки[Индекс4],0)),"")</f>
        <v/>
      </c>
      <c r="V18" s="116" t="str">
        <f>IFERROR(INDEX(Расходка[Наименование расходного материала],MATCH(Расходка[№],Поиск_расходки[Индекс5],0)),"")</f>
        <v/>
      </c>
      <c r="W18" s="116" t="str">
        <f>IFERROR(INDEX(Расходка[Наименование расходного материала],MATCH(Расходка[№],Поиск_расходки[Индекс6],0)),"")</f>
        <v/>
      </c>
      <c r="X18" s="116" t="str">
        <f>IFERROR(INDEX(Расходка[Наименование расходного материала],MATCH(Расходка[№],Поиск_расходки[Индекс7],0)),"")</f>
        <v>Perouse Medical FLAMINGO</v>
      </c>
      <c r="Y18" s="116" t="str">
        <f>IFERROR(INDEX(Расходка[Наименование расходного материала],MATCH(Расходка[№],Поиск_расходки[Индекс8],0)),"")</f>
        <v>Perouse Medical FLAMINGO</v>
      </c>
      <c r="Z18" s="116" t="str">
        <f>IFERROR(INDEX(Расходка[Наименование расходного материала],MATCH(Расходка[№],Поиск_расходки[Индекс9],0)),"")</f>
        <v>Perouse Medical FLAMINGO</v>
      </c>
      <c r="AA18" s="116" t="str">
        <f>IFERROR(INDEX(Расходка[Наименование расходного материала],MATCH(Расходка[№],Поиск_расходки[Индекс10],0)),"")</f>
        <v>Perouse Medical FLAMINGO</v>
      </c>
      <c r="AB18" s="116" t="str">
        <f>IFERROR(INDEX(Расходка[Наименование расходного материала],MATCH(Расходка[№],Поиск_расходки[Индекс11],0)),"")</f>
        <v>Perouse Medical FLAMINGO</v>
      </c>
      <c r="AC18" s="116" t="str">
        <f>IFERROR(INDEX(Расходка[Наименование расходного материала],MATCH(Расходка[№],Поиск_расходки[Индекс12],0)),"")</f>
        <v>Perouse Medical FLAMINGO</v>
      </c>
      <c r="AD18" s="116" t="str">
        <f>IFERROR(INDEX(Расходка[Наименование расходного материала],MATCH(Расходка[№],Поиск_расходки[Индекс13],0)),"")</f>
        <v>Perouse Medical FLAMINGO</v>
      </c>
      <c r="AF18" s="4" t="s">
        <v>5</v>
      </c>
      <c r="AG18" s="4" t="s">
        <v>422</v>
      </c>
      <c r="AI18" t="s">
        <v>95</v>
      </c>
    </row>
    <row r="19" spans="1:35">
      <c r="A19">
        <v>18</v>
      </c>
      <c r="B19" t="s">
        <v>306</v>
      </c>
      <c r="C19" t="s">
        <v>510</v>
      </c>
      <c r="E19" s="117">
        <f>IF(ISNUMBER(SEARCH('Карта учёта'!$B$13,Расходка[[#This Row],[Наименование расходного материала]])),MAX($E$1:E18)+1,0)</f>
        <v>0</v>
      </c>
      <c r="F19" s="117">
        <f>IF(ISNUMBER(SEARCH('Карта учёта'!$B$14,Расходка[[#This Row],[Наименование расходного материала]])),MAX($F$1:F18)+1,0)</f>
        <v>0</v>
      </c>
      <c r="G19" s="117">
        <f>IF(ISNUMBER(SEARCH('Карта учёта'!$B$15,Расходка[Наименование расходного материала])),MAX($G$1:G18)+1,0)</f>
        <v>0</v>
      </c>
      <c r="H19" s="117">
        <f>IF(ISNUMBER(SEARCH('Карта учёта'!$B$16,Расходка[Наименование расходного материала])),MAX($H$1:H18)+1,0)</f>
        <v>0</v>
      </c>
      <c r="I19" s="117">
        <f>IF(ISNUMBER(SEARCH('Карта учёта'!$B$17,Расходка[Наименование расходного материала])),MAX($I$1:I18)+1,0)</f>
        <v>0</v>
      </c>
      <c r="J19" s="117">
        <f>IF(ISNUMBER(SEARCH('Карта учёта'!$B$18,Расходка[Наименование расходного материала])),MAX($J$1:J18)+1,0)</f>
        <v>0</v>
      </c>
      <c r="K19" s="117">
        <f>IF(ISNUMBER(SEARCH('Карта учёта'!$B$19,Расходка[Наименование расходного материала])),MAX($K$1:K18)+1,0)</f>
        <v>18</v>
      </c>
      <c r="L19" s="117">
        <f>IF(ISNUMBER(SEARCH('Карта учёта'!$B$20,Расходка[Наименование расходного материала])),MAX($L$1:L18)+1,0)</f>
        <v>18</v>
      </c>
      <c r="M19" s="117">
        <f>IF(ISNUMBER(SEARCH('Карта учёта'!$B$21,Расходка[Наименование расходного материала])),MAX($M$1:M18)+1,0)</f>
        <v>18</v>
      </c>
      <c r="N19" s="117">
        <f>IF(ISNUMBER(SEARCH('Карта учёта'!$B$22,Расходка[Наименование расходного материала])),MAX($N$1:N18)+1,0)</f>
        <v>18</v>
      </c>
      <c r="O19" s="117">
        <f>IF(ISNUMBER(SEARCH('Карта учёта'!$B$23,Расходка[Наименование расходного материала])),MAX($O$1:O18)+1,0)</f>
        <v>18</v>
      </c>
      <c r="P19" s="117">
        <f>IF(ISNUMBER(SEARCH('Карта учёта'!$B$24,Расходка[Наименование расходного материала])),MAX($P$1:P18)+1,0)</f>
        <v>18</v>
      </c>
      <c r="Q19" s="117">
        <f>IF(ISNUMBER(SEARCH('Карта учёта'!$B$25,Расходка[Наименование расходного материала])),MAX($Q$1:Q18)+1,0)</f>
        <v>18</v>
      </c>
      <c r="R19" s="116" t="str">
        <f>IFERROR(INDEX(Расходка[Наименование расходного материала],MATCH(Расходка[№],Поиск_расходки[Индекс1],0)),"")</f>
        <v/>
      </c>
      <c r="S19" s="116" t="str">
        <f>IFERROR(INDEX(Расходка[Наименование расходного материала],MATCH(Расходка[№],Поиск_расходки[Индекс2],0)),"")</f>
        <v/>
      </c>
      <c r="T19" s="116" t="str">
        <f>IFERROR(INDEX(Расходка[Наименование расходного материала],MATCH(Расходка[№],Поиск_расходки[Индекс3],0)),"")</f>
        <v/>
      </c>
      <c r="U19" s="116" t="str">
        <f>IFERROR(INDEX(Расходка[Наименование расходного материала],MATCH(Расходка[№],Поиск_расходки[Индекс4],0)),"")</f>
        <v/>
      </c>
      <c r="V19" s="116" t="str">
        <f>IFERROR(INDEX(Расходка[Наименование расходного материала],MATCH(Расходка[№],Поиск_расходки[Индекс5],0)),"")</f>
        <v/>
      </c>
      <c r="W19" s="116" t="str">
        <f>IFERROR(INDEX(Расходка[Наименование расходного материала],MATCH(Расходка[№],Поиск_расходки[Индекс6],0)),"")</f>
        <v/>
      </c>
      <c r="X19" s="116" t="str">
        <f>IFERROR(INDEX(Расходка[Наименование расходного материала],MATCH(Расходка[№],Поиск_расходки[Индекс7],0)),"")</f>
        <v>Demax</v>
      </c>
      <c r="Y19" s="116" t="str">
        <f>IFERROR(INDEX(Расходка[Наименование расходного материала],MATCH(Расходка[№],Поиск_расходки[Индекс8],0)),"")</f>
        <v>Demax</v>
      </c>
      <c r="Z19" s="116" t="str">
        <f>IFERROR(INDEX(Расходка[Наименование расходного материала],MATCH(Расходка[№],Поиск_расходки[Индекс9],0)),"")</f>
        <v>Demax</v>
      </c>
      <c r="AA19" s="116" t="str">
        <f>IFERROR(INDEX(Расходка[Наименование расходного материала],MATCH(Расходка[№],Поиск_расходки[Индекс10],0)),"")</f>
        <v>Demax</v>
      </c>
      <c r="AB19" s="116" t="str">
        <f>IFERROR(INDEX(Расходка[Наименование расходного материала],MATCH(Расходка[№],Поиск_расходки[Индекс11],0)),"")</f>
        <v>Demax</v>
      </c>
      <c r="AC19" s="116" t="str">
        <f>IFERROR(INDEX(Расходка[Наименование расходного материала],MATCH(Расходка[№],Поиск_расходки[Индекс12],0)),"")</f>
        <v>Demax</v>
      </c>
      <c r="AD19" s="116" t="str">
        <f>IFERROR(INDEX(Расходка[Наименование расходного материала],MATCH(Расходка[№],Поиск_расходки[Индекс13],0)),"")</f>
        <v>Demax</v>
      </c>
      <c r="AF19" s="4" t="s">
        <v>5</v>
      </c>
      <c r="AG19" s="4" t="s">
        <v>423</v>
      </c>
      <c r="AI19" t="s">
        <v>301</v>
      </c>
    </row>
    <row r="20" spans="1:35">
      <c r="A20">
        <v>19</v>
      </c>
      <c r="B20" t="s">
        <v>306</v>
      </c>
      <c r="C20" t="s">
        <v>514</v>
      </c>
      <c r="E20" s="117">
        <f>IF(ISNUMBER(SEARCH('Карта учёта'!$B$13,Расходка[[#This Row],[Наименование расходного материала]])),MAX($E$1:E19)+1,0)</f>
        <v>1</v>
      </c>
      <c r="F20" s="117">
        <f>IF(ISNUMBER(SEARCH('Карта учёта'!$B$14,Расходка[[#This Row],[Наименование расходного материала]])),MAX($F$1:F19)+1,0)</f>
        <v>0</v>
      </c>
      <c r="G20" s="117">
        <f>IF(ISNUMBER(SEARCH('Карта учёта'!$B$15,Расходка[Наименование расходного материала])),MAX($G$1:G19)+1,0)</f>
        <v>0</v>
      </c>
      <c r="H20" s="117">
        <f>IF(ISNUMBER(SEARCH('Карта учёта'!$B$16,Расходка[Наименование расходного материала])),MAX($H$1:H19)+1,0)</f>
        <v>0</v>
      </c>
      <c r="I20" s="117">
        <f>IF(ISNUMBER(SEARCH('Карта учёта'!$B$17,Расходка[Наименование расходного материала])),MAX($I$1:I19)+1,0)</f>
        <v>0</v>
      </c>
      <c r="J20" s="117">
        <f>IF(ISNUMBER(SEARCH('Карта учёта'!$B$18,Расходка[Наименование расходного материала])),MAX($J$1:J19)+1,0)</f>
        <v>0</v>
      </c>
      <c r="K20" s="117">
        <f>IF(ISNUMBER(SEARCH('Карта учёта'!$B$19,Расходка[Наименование расходного материала])),MAX($K$1:K19)+1,0)</f>
        <v>19</v>
      </c>
      <c r="L20" s="117">
        <f>IF(ISNUMBER(SEARCH('Карта учёта'!$B$20,Расходка[Наименование расходного материала])),MAX($L$1:L19)+1,0)</f>
        <v>19</v>
      </c>
      <c r="M20" s="117">
        <f>IF(ISNUMBER(SEARCH('Карта учёта'!$B$21,Расходка[Наименование расходного материала])),MAX($M$1:M19)+1,0)</f>
        <v>19</v>
      </c>
      <c r="N20" s="117">
        <f>IF(ISNUMBER(SEARCH('Карта учёта'!$B$22,Расходка[Наименование расходного материала])),MAX($N$1:N19)+1,0)</f>
        <v>19</v>
      </c>
      <c r="O20" s="117">
        <f>IF(ISNUMBER(SEARCH('Карта учёта'!$B$23,Расходка[Наименование расходного материала])),MAX($O$1:O19)+1,0)</f>
        <v>19</v>
      </c>
      <c r="P20" s="117">
        <f>IF(ISNUMBER(SEARCH('Карта учёта'!$B$24,Расходка[Наименование расходного материала])),MAX($P$1:P19)+1,0)</f>
        <v>19</v>
      </c>
      <c r="Q20" s="117">
        <f>IF(ISNUMBER(SEARCH('Карта учёта'!$B$25,Расходка[Наименование расходного материала])),MAX($Q$1:Q19)+1,0)</f>
        <v>19</v>
      </c>
      <c r="R20" s="116" t="str">
        <f>IFERROR(INDEX(Расходка[Наименование расходного материала],MATCH(Расходка[№],Поиск_расходки[Индекс1],0)),"")</f>
        <v/>
      </c>
      <c r="S20" s="116" t="str">
        <f>IFERROR(INDEX(Расходка[Наименование расходного материала],MATCH(Расходка[№],Поиск_расходки[Индекс2],0)),"")</f>
        <v/>
      </c>
      <c r="T20" s="116" t="str">
        <f>IFERROR(INDEX(Расходка[Наименование расходного материала],MATCH(Расходка[№],Поиск_расходки[Индекс3],0)),"")</f>
        <v/>
      </c>
      <c r="U20" s="116" t="str">
        <f>IFERROR(INDEX(Расходка[Наименование расходного материала],MATCH(Расходка[№],Поиск_расходки[Индекс4],0)),"")</f>
        <v/>
      </c>
      <c r="V20" s="116" t="str">
        <f>IFERROR(INDEX(Расходка[Наименование расходного материала],MATCH(Расходка[№],Поиск_расходки[Индекс5],0)),"")</f>
        <v/>
      </c>
      <c r="W20" s="116" t="str">
        <f>IFERROR(INDEX(Расходка[Наименование расходного материала],MATCH(Расходка[№],Поиск_расходки[Индекс6],0)),"")</f>
        <v/>
      </c>
      <c r="X20" s="116" t="str">
        <f>IFERROR(INDEX(Расходка[Наименование расходного материала],MATCH(Расходка[№],Поиск_расходки[Индекс7],0)),"")</f>
        <v>"МИМ". Тюмень.</v>
      </c>
      <c r="Y20" s="116" t="str">
        <f>IFERROR(INDEX(Расходка[Наименование расходного материала],MATCH(Расходка[№],Поиск_расходки[Индекс8],0)),"")</f>
        <v>"МИМ". Тюмень.</v>
      </c>
      <c r="Z20" s="116" t="str">
        <f>IFERROR(INDEX(Расходка[Наименование расходного материала],MATCH(Расходка[№],Поиск_расходки[Индекс9],0)),"")</f>
        <v>"МИМ". Тюмень.</v>
      </c>
      <c r="AA20" s="116" t="str">
        <f>IFERROR(INDEX(Расходка[Наименование расходного материала],MATCH(Расходка[№],Поиск_расходки[Индекс10],0)),"")</f>
        <v>"МИМ". Тюмень.</v>
      </c>
      <c r="AB20" s="116" t="str">
        <f>IFERROR(INDEX(Расходка[Наименование расходного материала],MATCH(Расходка[№],Поиск_расходки[Индекс11],0)),"")</f>
        <v>"МИМ". Тюмень.</v>
      </c>
      <c r="AC20" s="116" t="str">
        <f>IFERROR(INDEX(Расходка[Наименование расходного материала],MATCH(Расходка[№],Поиск_расходки[Индекс12],0)),"")</f>
        <v>"МИМ". Тюмень.</v>
      </c>
      <c r="AD20" s="116" t="str">
        <f>IFERROR(INDEX(Расходка[Наименование расходного материала],MATCH(Расходка[№],Поиск_расходки[Индекс13],0)),"")</f>
        <v>"МИМ". Тюмень.</v>
      </c>
      <c r="AF20" s="4" t="s">
        <v>5</v>
      </c>
      <c r="AG20" s="4" t="s">
        <v>424</v>
      </c>
      <c r="AI20" t="s">
        <v>308</v>
      </c>
    </row>
    <row r="21" spans="1:35">
      <c r="A21">
        <v>20</v>
      </c>
      <c r="B21" t="s">
        <v>206</v>
      </c>
      <c r="C21" s="1" t="s">
        <v>339</v>
      </c>
      <c r="E21" s="117">
        <f>IF(ISNUMBER(SEARCH('Карта учёта'!$B$13,Расходка[[#This Row],[Наименование расходного материала]])),MAX($E$1:E20)+1,0)</f>
        <v>0</v>
      </c>
      <c r="F21" s="117">
        <f>IF(ISNUMBER(SEARCH('Карта учёта'!$B$14,Расходка[[#This Row],[Наименование расходного материала]])),MAX($F$1:F20)+1,0)</f>
        <v>0</v>
      </c>
      <c r="G21" s="117">
        <f>IF(ISNUMBER(SEARCH('Карта учёта'!$B$15,Расходка[Наименование расходного материала])),MAX($G$1:G20)+1,0)</f>
        <v>0</v>
      </c>
      <c r="H21" s="117">
        <f>IF(ISNUMBER(SEARCH('Карта учёта'!$B$16,Расходка[Наименование расходного материала])),MAX($H$1:H20)+1,0)</f>
        <v>0</v>
      </c>
      <c r="I21" s="117">
        <f>IF(ISNUMBER(SEARCH('Карта учёта'!$B$17,Расходка[Наименование расходного материала])),MAX($I$1:I20)+1,0)</f>
        <v>0</v>
      </c>
      <c r="J21" s="117">
        <f>IF(ISNUMBER(SEARCH('Карта учёта'!$B$18,Расходка[Наименование расходного материала])),MAX($J$1:J20)+1,0)</f>
        <v>0</v>
      </c>
      <c r="K21" s="117">
        <f>IF(ISNUMBER(SEARCH('Карта учёта'!$B$19,Расходка[Наименование расходного материала])),MAX($K$1:K20)+1,0)</f>
        <v>20</v>
      </c>
      <c r="L21" s="117">
        <f>IF(ISNUMBER(SEARCH('Карта учёта'!$B$20,Расходка[Наименование расходного материала])),MAX($L$1:L20)+1,0)</f>
        <v>20</v>
      </c>
      <c r="M21" s="117">
        <f>IF(ISNUMBER(SEARCH('Карта учёта'!$B$21,Расходка[Наименование расходного материала])),MAX($M$1:M20)+1,0)</f>
        <v>20</v>
      </c>
      <c r="N21" s="117">
        <f>IF(ISNUMBER(SEARCH('Карта учёта'!$B$22,Расходка[Наименование расходного материала])),MAX($N$1:N20)+1,0)</f>
        <v>20</v>
      </c>
      <c r="O21" s="117">
        <f>IF(ISNUMBER(SEARCH('Карта учёта'!$B$23,Расходка[Наименование расходного материала])),MAX($O$1:O20)+1,0)</f>
        <v>20</v>
      </c>
      <c r="P21" s="117">
        <f>IF(ISNUMBER(SEARCH('Карта учёта'!$B$24,Расходка[Наименование расходного материала])),MAX($P$1:P20)+1,0)</f>
        <v>20</v>
      </c>
      <c r="Q21" s="117">
        <f>IF(ISNUMBER(SEARCH('Карта учёта'!$B$25,Расходка[Наименование расходного материала])),MAX($Q$1:Q20)+1,0)</f>
        <v>20</v>
      </c>
      <c r="R21" s="116" t="str">
        <f>IFERROR(INDEX(Расходка[Наименование расходного материала],MATCH(Расходка[№],Поиск_расходки[Индекс1],0)),"")</f>
        <v/>
      </c>
      <c r="S21" s="116" t="str">
        <f>IFERROR(INDEX(Расходка[Наименование расходного материала],MATCH(Расходка[№],Поиск_расходки[Индекс2],0)),"")</f>
        <v/>
      </c>
      <c r="T21" s="116" t="str">
        <f>IFERROR(INDEX(Расходка[Наименование расходного материала],MATCH(Расходка[№],Поиск_расходки[Индекс3],0)),"")</f>
        <v/>
      </c>
      <c r="U21" s="116" t="str">
        <f>IFERROR(INDEX(Расходка[Наименование расходного материала],MATCH(Расходка[№],Поиск_расходки[Индекс4],0)),"")</f>
        <v/>
      </c>
      <c r="V21" s="116" t="str">
        <f>IFERROR(INDEX(Расходка[Наименование расходного материала],MATCH(Расходка[№],Поиск_расходки[Индекс5],0)),"")</f>
        <v/>
      </c>
      <c r="W21" s="116" t="str">
        <f>IFERROR(INDEX(Расходка[Наименование расходного материала],MATCH(Расходка[№],Поиск_расходки[Индекс6],0)),"")</f>
        <v/>
      </c>
      <c r="X21" s="116" t="str">
        <f>IFERROR(INDEX(Расходка[Наименование расходного материала],MATCH(Расходка[№],Поиск_расходки[Индекс7],0)),"")</f>
        <v>Oscor 7F</v>
      </c>
      <c r="Y21" s="116" t="str">
        <f>IFERROR(INDEX(Расходка[Наименование расходного материала],MATCH(Расходка[№],Поиск_расходки[Индекс8],0)),"")</f>
        <v>Oscor 7F</v>
      </c>
      <c r="Z21" s="116" t="str">
        <f>IFERROR(INDEX(Расходка[Наименование расходного материала],MATCH(Расходка[№],Поиск_расходки[Индекс9],0)),"")</f>
        <v>Oscor 7F</v>
      </c>
      <c r="AA21" s="116" t="str">
        <f>IFERROR(INDEX(Расходка[Наименование расходного материала],MATCH(Расходка[№],Поиск_расходки[Индекс10],0)),"")</f>
        <v>Oscor 7F</v>
      </c>
      <c r="AB21" s="116" t="str">
        <f>IFERROR(INDEX(Расходка[Наименование расходного материала],MATCH(Расходка[№],Поиск_расходки[Индекс11],0)),"")</f>
        <v>Oscor 7F</v>
      </c>
      <c r="AC21" s="116" t="str">
        <f>IFERROR(INDEX(Расходка[Наименование расходного материала],MATCH(Расходка[№],Поиск_расходки[Индекс12],0)),"")</f>
        <v>Oscor 7F</v>
      </c>
      <c r="AD21" s="116" t="str">
        <f>IFERROR(INDEX(Расходка[Наименование расходного материала],MATCH(Расходка[№],Поиск_расходки[Индекс13],0)),"")</f>
        <v>Oscor 7F</v>
      </c>
      <c r="AF21" s="4" t="s">
        <v>5</v>
      </c>
      <c r="AG21" s="4" t="s">
        <v>425</v>
      </c>
    </row>
    <row r="22" spans="1:35">
      <c r="A22">
        <v>21</v>
      </c>
      <c r="B22" t="s">
        <v>3</v>
      </c>
      <c r="C22" t="s">
        <v>322</v>
      </c>
      <c r="E22" s="117">
        <f>IF(ISNUMBER(SEARCH('Карта учёта'!$B$13,Расходка[[#This Row],[Наименование расходного материала]])),MAX($E$1:E21)+1,0)</f>
        <v>0</v>
      </c>
      <c r="F22" s="117">
        <f>IF(ISNUMBER(SEARCH('Карта учёта'!$B$14,Расходка[[#This Row],[Наименование расходного материала]])),MAX($F$1:F21)+1,0)</f>
        <v>0</v>
      </c>
      <c r="G22" s="117">
        <f>IF(ISNUMBER(SEARCH('Карта учёта'!$B$15,Расходка[Наименование расходного материала])),MAX($G$1:G21)+1,0)</f>
        <v>0</v>
      </c>
      <c r="H22" s="117">
        <f>IF(ISNUMBER(SEARCH('Карта учёта'!$B$16,Расходка[Наименование расходного материала])),MAX($H$1:H21)+1,0)</f>
        <v>0</v>
      </c>
      <c r="I22" s="117">
        <f>IF(ISNUMBER(SEARCH('Карта учёта'!$B$17,Расходка[Наименование расходного материала])),MAX($I$1:I21)+1,0)</f>
        <v>0</v>
      </c>
      <c r="J22" s="117">
        <f>IF(ISNUMBER(SEARCH('Карта учёта'!$B$18,Расходка[Наименование расходного материала])),MAX($J$1:J21)+1,0)</f>
        <v>0</v>
      </c>
      <c r="K22" s="117">
        <f>IF(ISNUMBER(SEARCH('Карта учёта'!$B$19,Расходка[Наименование расходного материала])),MAX($K$1:K21)+1,0)</f>
        <v>21</v>
      </c>
      <c r="L22" s="117">
        <f>IF(ISNUMBER(SEARCH('Карта учёта'!$B$20,Расходка[Наименование расходного материала])),MAX($L$1:L21)+1,0)</f>
        <v>21</v>
      </c>
      <c r="M22" s="117">
        <f>IF(ISNUMBER(SEARCH('Карта учёта'!$B$21,Расходка[Наименование расходного материала])),MAX($M$1:M21)+1,0)</f>
        <v>21</v>
      </c>
      <c r="N22" s="117">
        <f>IF(ISNUMBER(SEARCH('Карта учёта'!$B$22,Расходка[Наименование расходного материала])),MAX($N$1:N21)+1,0)</f>
        <v>21</v>
      </c>
      <c r="O22" s="117">
        <f>IF(ISNUMBER(SEARCH('Карта учёта'!$B$23,Расходка[Наименование расходного материала])),MAX($O$1:O21)+1,0)</f>
        <v>21</v>
      </c>
      <c r="P22" s="117">
        <f>IF(ISNUMBER(SEARCH('Карта учёта'!$B$24,Расходка[Наименование расходного материала])),MAX($P$1:P21)+1,0)</f>
        <v>21</v>
      </c>
      <c r="Q22" s="117">
        <f>IF(ISNUMBER(SEARCH('Карта учёта'!$B$25,Расходка[Наименование расходного материала])),MAX($Q$1:Q21)+1,0)</f>
        <v>21</v>
      </c>
      <c r="R22" s="116" t="str">
        <f>IFERROR(INDEX(Расходка[Наименование расходного материала],MATCH(Расходка[№],Поиск_расходки[Индекс1],0)),"")</f>
        <v/>
      </c>
      <c r="S22" s="116" t="str">
        <f>IFERROR(INDEX(Расходка[Наименование расходного материала],MATCH(Расходка[№],Поиск_расходки[Индекс2],0)),"")</f>
        <v/>
      </c>
      <c r="T22" s="116" t="str">
        <f>IFERROR(INDEX(Расходка[Наименование расходного материала],MATCH(Расходка[№],Поиск_расходки[Индекс3],0)),"")</f>
        <v/>
      </c>
      <c r="U22" s="116" t="str">
        <f>IFERROR(INDEX(Расходка[Наименование расходного материала],MATCH(Расходка[№],Поиск_расходки[Индекс4],0)),"")</f>
        <v/>
      </c>
      <c r="V22" s="116" t="str">
        <f>IFERROR(INDEX(Расходка[Наименование расходного материала],MATCH(Расходка[№],Поиск_расходки[Индекс5],0)),"")</f>
        <v/>
      </c>
      <c r="W22" s="116" t="str">
        <f>IFERROR(INDEX(Расходка[Наименование расходного материала],MATCH(Расходка[№],Поиск_расходки[Индекс6],0)),"")</f>
        <v/>
      </c>
      <c r="X22" s="116" t="str">
        <f>IFERROR(INDEX(Расходка[Наименование расходного материала],MATCH(Расходка[№],Поиск_расходки[Индекс7],0)),"")</f>
        <v>Cougar LS Hydro-Track®</v>
      </c>
      <c r="Y22" s="116" t="str">
        <f>IFERROR(INDEX(Расходка[Наименование расходного материала],MATCH(Расходка[№],Поиск_расходки[Индекс8],0)),"")</f>
        <v>Cougar LS Hydro-Track®</v>
      </c>
      <c r="Z22" s="116" t="str">
        <f>IFERROR(INDEX(Расходка[Наименование расходного материала],MATCH(Расходка[№],Поиск_расходки[Индекс9],0)),"")</f>
        <v>Cougar LS Hydro-Track®</v>
      </c>
      <c r="AA22" s="116" t="str">
        <f>IFERROR(INDEX(Расходка[Наименование расходного материала],MATCH(Расходка[№],Поиск_расходки[Индекс10],0)),"")</f>
        <v>Cougar LS Hydro-Track®</v>
      </c>
      <c r="AB22" s="116" t="str">
        <f>IFERROR(INDEX(Расходка[Наименование расходного материала],MATCH(Расходка[№],Поиск_расходки[Индекс11],0)),"")</f>
        <v>Cougar LS Hydro-Track®</v>
      </c>
      <c r="AC22" s="116" t="str">
        <f>IFERROR(INDEX(Расходка[Наименование расходного материала],MATCH(Расходка[№],Поиск_расходки[Индекс12],0)),"")</f>
        <v>Cougar LS Hydro-Track®</v>
      </c>
      <c r="AD22" s="116" t="str">
        <f>IFERROR(INDEX(Расходка[Наименование расходного материала],MATCH(Расходка[№],Поиск_расходки[Индекс13],0)),"")</f>
        <v>Cougar LS Hydro-Track®</v>
      </c>
      <c r="AF22" s="4" t="s">
        <v>5</v>
      </c>
      <c r="AG22" s="4" t="s">
        <v>426</v>
      </c>
    </row>
    <row r="23" spans="1:35">
      <c r="A23">
        <v>22</v>
      </c>
      <c r="B23" t="s">
        <v>3</v>
      </c>
      <c r="C23" t="s">
        <v>343</v>
      </c>
      <c r="E23" s="117">
        <f>IF(ISNUMBER(SEARCH('Карта учёта'!$B$13,Расходка[[#This Row],[Наименование расходного материала]])),MAX($E$1:E22)+1,0)</f>
        <v>0</v>
      </c>
      <c r="F23" s="117">
        <f>IF(ISNUMBER(SEARCH('Карта учёта'!$B$14,Расходка[[#This Row],[Наименование расходного материала]])),MAX($F$1:F22)+1,0)</f>
        <v>0</v>
      </c>
      <c r="G23" s="117">
        <f>IF(ISNUMBER(SEARCH('Карта учёта'!$B$15,Расходка[Наименование расходного материала])),MAX($G$1:G22)+1,0)</f>
        <v>0</v>
      </c>
      <c r="H23" s="117">
        <f>IF(ISNUMBER(SEARCH('Карта учёта'!$B$16,Расходка[Наименование расходного материала])),MAX($H$1:H22)+1,0)</f>
        <v>0</v>
      </c>
      <c r="I23" s="117">
        <f>IF(ISNUMBER(SEARCH('Карта учёта'!$B$17,Расходка[Наименование расходного материала])),MAX($I$1:I22)+1,0)</f>
        <v>0</v>
      </c>
      <c r="J23" s="117">
        <f>IF(ISNUMBER(SEARCH('Карта учёта'!$B$18,Расходка[Наименование расходного материала])),MAX($J$1:J22)+1,0)</f>
        <v>0</v>
      </c>
      <c r="K23" s="117">
        <f>IF(ISNUMBER(SEARCH('Карта учёта'!$B$19,Расходка[Наименование расходного материала])),MAX($K$1:K22)+1,0)</f>
        <v>22</v>
      </c>
      <c r="L23" s="117">
        <f>IF(ISNUMBER(SEARCH('Карта учёта'!$B$20,Расходка[Наименование расходного материала])),MAX($L$1:L22)+1,0)</f>
        <v>22</v>
      </c>
      <c r="M23" s="117">
        <f>IF(ISNUMBER(SEARCH('Карта учёта'!$B$21,Расходка[Наименование расходного материала])),MAX($M$1:M22)+1,0)</f>
        <v>22</v>
      </c>
      <c r="N23" s="117">
        <f>IF(ISNUMBER(SEARCH('Карта учёта'!$B$22,Расходка[Наименование расходного материала])),MAX($N$1:N22)+1,0)</f>
        <v>22</v>
      </c>
      <c r="O23" s="117">
        <f>IF(ISNUMBER(SEARCH('Карта учёта'!$B$23,Расходка[Наименование расходного материала])),MAX($O$1:O22)+1,0)</f>
        <v>22</v>
      </c>
      <c r="P23" s="117">
        <f>IF(ISNUMBER(SEARCH('Карта учёта'!$B$24,Расходка[Наименование расходного материала])),MAX($P$1:P22)+1,0)</f>
        <v>22</v>
      </c>
      <c r="Q23" s="117">
        <f>IF(ISNUMBER(SEARCH('Карта учёта'!$B$25,Расходка[Наименование расходного материала])),MAX($Q$1:Q22)+1,0)</f>
        <v>22</v>
      </c>
      <c r="R23" s="116" t="str">
        <f>IFERROR(INDEX(Расходка[Наименование расходного материала],MATCH(Расходка[№],Поиск_расходки[Индекс1],0)),"")</f>
        <v/>
      </c>
      <c r="S23" s="116" t="str">
        <f>IFERROR(INDEX(Расходка[Наименование расходного материала],MATCH(Расходка[№],Поиск_расходки[Индекс2],0)),"")</f>
        <v/>
      </c>
      <c r="T23" s="116" t="str">
        <f>IFERROR(INDEX(Расходка[Наименование расходного материала],MATCH(Расходка[№],Поиск_расходки[Индекс3],0)),"")</f>
        <v/>
      </c>
      <c r="U23" s="116" t="str">
        <f>IFERROR(INDEX(Расходка[Наименование расходного материала],MATCH(Расходка[№],Поиск_расходки[Индекс4],0)),"")</f>
        <v/>
      </c>
      <c r="V23" s="116" t="str">
        <f>IFERROR(INDEX(Расходка[Наименование расходного материала],MATCH(Расходка[№],Поиск_расходки[Индекс5],0)),"")</f>
        <v/>
      </c>
      <c r="W23" s="116" t="str">
        <f>IFERROR(INDEX(Расходка[Наименование расходного материала],MATCH(Расходка[№],Поиск_расходки[Индекс6],0)),"")</f>
        <v/>
      </c>
      <c r="X23" s="116" t="str">
        <f>IFERROR(INDEX(Расходка[Наименование расходного материала],MATCH(Расходка[№],Поиск_расходки[Индекс7],0)),"")</f>
        <v>Cougar XT Hydro-Track®</v>
      </c>
      <c r="Y23" s="116" t="str">
        <f>IFERROR(INDEX(Расходка[Наименование расходного материала],MATCH(Расходка[№],Поиск_расходки[Индекс8],0)),"")</f>
        <v>Cougar XT Hydro-Track®</v>
      </c>
      <c r="Z23" s="116" t="str">
        <f>IFERROR(INDEX(Расходка[Наименование расходного материала],MATCH(Расходка[№],Поиск_расходки[Индекс9],0)),"")</f>
        <v>Cougar XT Hydro-Track®</v>
      </c>
      <c r="AA23" s="116" t="str">
        <f>IFERROR(INDEX(Расходка[Наименование расходного материала],MATCH(Расходка[№],Поиск_расходки[Индекс10],0)),"")</f>
        <v>Cougar XT Hydro-Track®</v>
      </c>
      <c r="AB23" s="116" t="str">
        <f>IFERROR(INDEX(Расходка[Наименование расходного материала],MATCH(Расходка[№],Поиск_расходки[Индекс11],0)),"")</f>
        <v>Cougar XT Hydro-Track®</v>
      </c>
      <c r="AC23" s="116" t="str">
        <f>IFERROR(INDEX(Расходка[Наименование расходного материала],MATCH(Расходка[№],Поиск_расходки[Индекс12],0)),"")</f>
        <v>Cougar XT Hydro-Track®</v>
      </c>
      <c r="AD23" s="116" t="str">
        <f>IFERROR(INDEX(Расходка[Наименование расходного материала],MATCH(Расходка[№],Поиск_расходки[Индекс13],0)),"")</f>
        <v>Cougar XT Hydro-Track®</v>
      </c>
      <c r="AF23" s="4" t="s">
        <v>5</v>
      </c>
      <c r="AG23" s="4" t="s">
        <v>427</v>
      </c>
    </row>
    <row r="24" spans="1:35">
      <c r="A24">
        <v>23</v>
      </c>
      <c r="B24" t="s">
        <v>3</v>
      </c>
      <c r="C24" t="s">
        <v>315</v>
      </c>
      <c r="E24" s="117">
        <f>IF(ISNUMBER(SEARCH('Карта учёта'!$B$13,Расходка[[#This Row],[Наименование расходного материала]])),MAX($E$1:E23)+1,0)</f>
        <v>0</v>
      </c>
      <c r="F24" s="117">
        <f>IF(ISNUMBER(SEARCH('Карта учёта'!$B$14,Расходка[[#This Row],[Наименование расходного материала]])),MAX($F$1:F23)+1,0)</f>
        <v>1</v>
      </c>
      <c r="G24" s="117">
        <f>IF(ISNUMBER(SEARCH('Карта учёта'!$B$15,Расходка[Наименование расходного материала])),MAX($G$1:G23)+1,0)</f>
        <v>0</v>
      </c>
      <c r="H24" s="117">
        <f>IF(ISNUMBER(SEARCH('Карта учёта'!$B$16,Расходка[Наименование расходного материала])),MAX($H$1:H23)+1,0)</f>
        <v>0</v>
      </c>
      <c r="I24" s="117">
        <f>IF(ISNUMBER(SEARCH('Карта учёта'!$B$17,Расходка[Наименование расходного материала])),MAX($I$1:I23)+1,0)</f>
        <v>0</v>
      </c>
      <c r="J24" s="117">
        <f>IF(ISNUMBER(SEARCH('Карта учёта'!$B$18,Расходка[Наименование расходного материала])),MAX($J$1:J23)+1,0)</f>
        <v>0</v>
      </c>
      <c r="K24" s="117">
        <f>IF(ISNUMBER(SEARCH('Карта учёта'!$B$19,Расходка[Наименование расходного материала])),MAX($K$1:K23)+1,0)</f>
        <v>23</v>
      </c>
      <c r="L24" s="117">
        <f>IF(ISNUMBER(SEARCH('Карта учёта'!$B$20,Расходка[Наименование расходного материала])),MAX($L$1:L23)+1,0)</f>
        <v>23</v>
      </c>
      <c r="M24" s="117">
        <f>IF(ISNUMBER(SEARCH('Карта учёта'!$B$21,Расходка[Наименование расходного материала])),MAX($M$1:M23)+1,0)</f>
        <v>23</v>
      </c>
      <c r="N24" s="117">
        <f>IF(ISNUMBER(SEARCH('Карта учёта'!$B$22,Расходка[Наименование расходного материала])),MAX($N$1:N23)+1,0)</f>
        <v>23</v>
      </c>
      <c r="O24" s="117">
        <f>IF(ISNUMBER(SEARCH('Карта учёта'!$B$23,Расходка[Наименование расходного материала])),MAX($O$1:O23)+1,0)</f>
        <v>23</v>
      </c>
      <c r="P24" s="117">
        <f>IF(ISNUMBER(SEARCH('Карта учёта'!$B$24,Расходка[Наименование расходного материала])),MAX($P$1:P23)+1,0)</f>
        <v>23</v>
      </c>
      <c r="Q24" s="117">
        <f>IF(ISNUMBER(SEARCH('Карта учёта'!$B$25,Расходка[Наименование расходного материала])),MAX($Q$1:Q23)+1,0)</f>
        <v>23</v>
      </c>
      <c r="R24" s="116" t="str">
        <f>IFERROR(INDEX(Расходка[Наименование расходного материала],MATCH(Расходка[№],Поиск_расходки[Индекс1],0)),"")</f>
        <v/>
      </c>
      <c r="S24" s="116" t="str">
        <f>IFERROR(INDEX(Расходка[Наименование расходного материала],MATCH(Расходка[№],Поиск_расходки[Индекс2],0)),"")</f>
        <v/>
      </c>
      <c r="T24" s="116" t="str">
        <f>IFERROR(INDEX(Расходка[Наименование расходного материала],MATCH(Расходка[№],Поиск_расходки[Индекс3],0)),"")</f>
        <v/>
      </c>
      <c r="U24" s="116" t="str">
        <f>IFERROR(INDEX(Расходка[Наименование расходного материала],MATCH(Расходка[№],Поиск_расходки[Индекс4],0)),"")</f>
        <v/>
      </c>
      <c r="V24" s="116" t="str">
        <f>IFERROR(INDEX(Расходка[Наименование расходного материала],MATCH(Расходка[№],Поиск_расходки[Индекс5],0)),"")</f>
        <v/>
      </c>
      <c r="W24" s="116" t="str">
        <f>IFERROR(INDEX(Расходка[Наименование расходного материала],MATCH(Расходка[№],Поиск_расходки[Индекс6],0)),"")</f>
        <v/>
      </c>
      <c r="X24" s="116" t="str">
        <f>IFERROR(INDEX(Расходка[Наименование расходного материала],MATCH(Расходка[№],Поиск_расходки[Индекс7],0)),"")</f>
        <v>Fielder</v>
      </c>
      <c r="Y24" s="116" t="str">
        <f>IFERROR(INDEX(Расходка[Наименование расходного материала],MATCH(Расходка[№],Поиск_расходки[Индекс8],0)),"")</f>
        <v>Fielder</v>
      </c>
      <c r="Z24" s="116" t="str">
        <f>IFERROR(INDEX(Расходка[Наименование расходного материала],MATCH(Расходка[№],Поиск_расходки[Индекс9],0)),"")</f>
        <v>Fielder</v>
      </c>
      <c r="AA24" s="116" t="str">
        <f>IFERROR(INDEX(Расходка[Наименование расходного материала],MATCH(Расходка[№],Поиск_расходки[Индекс10],0)),"")</f>
        <v>Fielder</v>
      </c>
      <c r="AB24" s="116" t="str">
        <f>IFERROR(INDEX(Расходка[Наименование расходного материала],MATCH(Расходка[№],Поиск_расходки[Индекс11],0)),"")</f>
        <v>Fielder</v>
      </c>
      <c r="AC24" s="116" t="str">
        <f>IFERROR(INDEX(Расходка[Наименование расходного материала],MATCH(Расходка[№],Поиск_расходки[Индекс12],0)),"")</f>
        <v>Fielder</v>
      </c>
      <c r="AD24" s="116" t="str">
        <f>IFERROR(INDEX(Расходка[Наименование расходного материала],MATCH(Расходка[№],Поиск_расходки[Индекс13],0)),"")</f>
        <v>Fielder</v>
      </c>
      <c r="AF24" s="4" t="s">
        <v>5</v>
      </c>
      <c r="AG24" s="4" t="s">
        <v>428</v>
      </c>
    </row>
    <row r="25" spans="1:35">
      <c r="A25">
        <v>24</v>
      </c>
      <c r="B25" t="s">
        <v>3</v>
      </c>
      <c r="C25" t="s">
        <v>376</v>
      </c>
      <c r="E25" s="117">
        <f>IF(ISNUMBER(SEARCH('Карта учёта'!$B$13,Расходка[[#This Row],[Наименование расходного материала]])),MAX($E$1:E24)+1,0)</f>
        <v>0</v>
      </c>
      <c r="F25" s="117">
        <f>IF(ISNUMBER(SEARCH('Карта учёта'!$B$14,Расходка[[#This Row],[Наименование расходного материала]])),MAX($F$1:F24)+1,0)</f>
        <v>2</v>
      </c>
      <c r="G25" s="117">
        <f>IF(ISNUMBER(SEARCH('Карта учёта'!$B$15,Расходка[Наименование расходного материала])),MAX($G$1:G24)+1,0)</f>
        <v>0</v>
      </c>
      <c r="H25" s="117">
        <f>IF(ISNUMBER(SEARCH('Карта учёта'!$B$16,Расходка[Наименование расходного материала])),MAX($H$1:H24)+1,0)</f>
        <v>0</v>
      </c>
      <c r="I25" s="117">
        <f>IF(ISNUMBER(SEARCH('Карта учёта'!$B$17,Расходка[Наименование расходного материала])),MAX($I$1:I24)+1,0)</f>
        <v>0</v>
      </c>
      <c r="J25" s="117">
        <f>IF(ISNUMBER(SEARCH('Карта учёта'!$B$18,Расходка[Наименование расходного материала])),MAX($J$1:J24)+1,0)</f>
        <v>0</v>
      </c>
      <c r="K25" s="117">
        <f>IF(ISNUMBER(SEARCH('Карта учёта'!$B$19,Расходка[Наименование расходного материала])),MAX($K$1:K24)+1,0)</f>
        <v>24</v>
      </c>
      <c r="L25" s="117">
        <f>IF(ISNUMBER(SEARCH('Карта учёта'!$B$20,Расходка[Наименование расходного материала])),MAX($L$1:L24)+1,0)</f>
        <v>24</v>
      </c>
      <c r="M25" s="117">
        <f>IF(ISNUMBER(SEARCH('Карта учёта'!$B$21,Расходка[Наименование расходного материала])),MAX($M$1:M24)+1,0)</f>
        <v>24</v>
      </c>
      <c r="N25" s="117">
        <f>IF(ISNUMBER(SEARCH('Карта учёта'!$B$22,Расходка[Наименование расходного материала])),MAX($N$1:N24)+1,0)</f>
        <v>24</v>
      </c>
      <c r="O25" s="117">
        <f>IF(ISNUMBER(SEARCH('Карта учёта'!$B$23,Расходка[Наименование расходного материала])),MAX($O$1:O24)+1,0)</f>
        <v>24</v>
      </c>
      <c r="P25" s="117">
        <f>IF(ISNUMBER(SEARCH('Карта учёта'!$B$24,Расходка[Наименование расходного материала])),MAX($P$1:P24)+1,0)</f>
        <v>24</v>
      </c>
      <c r="Q25" s="117">
        <f>IF(ISNUMBER(SEARCH('Карта учёта'!$B$25,Расходка[Наименование расходного материала])),MAX($Q$1:Q24)+1,0)</f>
        <v>24</v>
      </c>
      <c r="R25" s="116" t="str">
        <f>IFERROR(INDEX(Расходка[Наименование расходного материала],MATCH(Расходка[№],Поиск_расходки[Индекс1],0)),"")</f>
        <v/>
      </c>
      <c r="S25" s="116" t="str">
        <f>IFERROR(INDEX(Расходка[Наименование расходного материала],MATCH(Расходка[№],Поиск_расходки[Индекс2],0)),"")</f>
        <v/>
      </c>
      <c r="T25" s="116" t="str">
        <f>IFERROR(INDEX(Расходка[Наименование расходного материала],MATCH(Расходка[№],Поиск_расходки[Индекс3],0)),"")</f>
        <v/>
      </c>
      <c r="U25" s="116" t="str">
        <f>IFERROR(INDEX(Расходка[Наименование расходного материала],MATCH(Расходка[№],Поиск_расходки[Индекс4],0)),"")</f>
        <v/>
      </c>
      <c r="V25" s="116" t="str">
        <f>IFERROR(INDEX(Расходка[Наименование расходного материала],MATCH(Расходка[№],Поиск_расходки[Индекс5],0)),"")</f>
        <v/>
      </c>
      <c r="W25" s="116" t="str">
        <f>IFERROR(INDEX(Расходка[Наименование расходного материала],MATCH(Расходка[№],Поиск_расходки[Индекс6],0)),"")</f>
        <v/>
      </c>
      <c r="X25" s="116" t="str">
        <f>IFERROR(INDEX(Расходка[Наименование расходного материала],MATCH(Расходка[№],Поиск_расходки[Индекс7],0)),"")</f>
        <v>Fielder XT-A</v>
      </c>
      <c r="Y25" s="116" t="str">
        <f>IFERROR(INDEX(Расходка[Наименование расходного материала],MATCH(Расходка[№],Поиск_расходки[Индекс8],0)),"")</f>
        <v>Fielder XT-A</v>
      </c>
      <c r="Z25" s="116" t="str">
        <f>IFERROR(INDEX(Расходка[Наименование расходного материала],MATCH(Расходка[№],Поиск_расходки[Индекс9],0)),"")</f>
        <v>Fielder XT-A</v>
      </c>
      <c r="AA25" s="116" t="str">
        <f>IFERROR(INDEX(Расходка[Наименование расходного материала],MATCH(Расходка[№],Поиск_расходки[Индекс10],0)),"")</f>
        <v>Fielder XT-A</v>
      </c>
      <c r="AB25" s="116" t="str">
        <f>IFERROR(INDEX(Расходка[Наименование расходного материала],MATCH(Расходка[№],Поиск_расходки[Индекс11],0)),"")</f>
        <v>Fielder XT-A</v>
      </c>
      <c r="AC25" s="116" t="str">
        <f>IFERROR(INDEX(Расходка[Наименование расходного материала],MATCH(Расходка[№],Поиск_расходки[Индекс12],0)),"")</f>
        <v>Fielder XT-A</v>
      </c>
      <c r="AD25" s="116" t="str">
        <f>IFERROR(INDEX(Расходка[Наименование расходного материала],MATCH(Расходка[№],Поиск_расходки[Индекс13],0)),"")</f>
        <v>Fielder XT-A</v>
      </c>
      <c r="AF25" s="4" t="s">
        <v>5</v>
      </c>
      <c r="AG25" s="4" t="s">
        <v>429</v>
      </c>
    </row>
    <row r="26" spans="1:35">
      <c r="A26">
        <v>25</v>
      </c>
      <c r="B26" t="s">
        <v>3</v>
      </c>
      <c r="C26" t="s">
        <v>377</v>
      </c>
      <c r="E26" s="117">
        <f>IF(ISNUMBER(SEARCH('Карта учёта'!$B$13,Расходка[[#This Row],[Наименование расходного материала]])),MAX($E$1:E25)+1,0)</f>
        <v>0</v>
      </c>
      <c r="F26" s="117">
        <f>IF(ISNUMBER(SEARCH('Карта учёта'!$B$14,Расходка[[#This Row],[Наименование расходного материала]])),MAX($F$1:F25)+1,0)</f>
        <v>3</v>
      </c>
      <c r="G26" s="117">
        <f>IF(ISNUMBER(SEARCH('Карта учёта'!$B$15,Расходка[Наименование расходного материала])),MAX($G$1:G25)+1,0)</f>
        <v>0</v>
      </c>
      <c r="H26" s="117">
        <f>IF(ISNUMBER(SEARCH('Карта учёта'!$B$16,Расходка[Наименование расходного материала])),MAX($H$1:H25)+1,0)</f>
        <v>0</v>
      </c>
      <c r="I26" s="117">
        <f>IF(ISNUMBER(SEARCH('Карта учёта'!$B$17,Расходка[Наименование расходного материала])),MAX($I$1:I25)+1,0)</f>
        <v>0</v>
      </c>
      <c r="J26" s="117">
        <f>IF(ISNUMBER(SEARCH('Карта учёта'!$B$18,Расходка[Наименование расходного материала])),MAX($J$1:J25)+1,0)</f>
        <v>0</v>
      </c>
      <c r="K26" s="117">
        <f>IF(ISNUMBER(SEARCH('Карта учёта'!$B$19,Расходка[Наименование расходного материала])),MAX($K$1:K25)+1,0)</f>
        <v>25</v>
      </c>
      <c r="L26" s="117">
        <f>IF(ISNUMBER(SEARCH('Карта учёта'!$B$20,Расходка[Наименование расходного материала])),MAX($L$1:L25)+1,0)</f>
        <v>25</v>
      </c>
      <c r="M26" s="117">
        <f>IF(ISNUMBER(SEARCH('Карта учёта'!$B$21,Расходка[Наименование расходного материала])),MAX($M$1:M25)+1,0)</f>
        <v>25</v>
      </c>
      <c r="N26" s="117">
        <f>IF(ISNUMBER(SEARCH('Карта учёта'!$B$22,Расходка[Наименование расходного материала])),MAX($N$1:N25)+1,0)</f>
        <v>25</v>
      </c>
      <c r="O26" s="117">
        <f>IF(ISNUMBER(SEARCH('Карта учёта'!$B$23,Расходка[Наименование расходного материала])),MAX($O$1:O25)+1,0)</f>
        <v>25</v>
      </c>
      <c r="P26" s="117">
        <f>IF(ISNUMBER(SEARCH('Карта учёта'!$B$24,Расходка[Наименование расходного материала])),MAX($P$1:P25)+1,0)</f>
        <v>25</v>
      </c>
      <c r="Q26" s="117">
        <f>IF(ISNUMBER(SEARCH('Карта учёта'!$B$25,Расходка[Наименование расходного материала])),MAX($Q$1:Q25)+1,0)</f>
        <v>25</v>
      </c>
      <c r="R26" s="116" t="str">
        <f>IFERROR(INDEX(Расходка[Наименование расходного материала],MATCH(Расходка[№],Поиск_расходки[Индекс1],0)),"")</f>
        <v/>
      </c>
      <c r="S26" s="116" t="str">
        <f>IFERROR(INDEX(Расходка[Наименование расходного материала],MATCH(Расходка[№],Поиск_расходки[Индекс2],0)),"")</f>
        <v/>
      </c>
      <c r="T26" s="116" t="str">
        <f>IFERROR(INDEX(Расходка[Наименование расходного материала],MATCH(Расходка[№],Поиск_расходки[Индекс3],0)),"")</f>
        <v/>
      </c>
      <c r="U26" s="116" t="str">
        <f>IFERROR(INDEX(Расходка[Наименование расходного материала],MATCH(Расходка[№],Поиск_расходки[Индекс4],0)),"")</f>
        <v/>
      </c>
      <c r="V26" s="116" t="str">
        <f>IFERROR(INDEX(Расходка[Наименование расходного материала],MATCH(Расходка[№],Поиск_расходки[Индекс5],0)),"")</f>
        <v/>
      </c>
      <c r="W26" s="116" t="str">
        <f>IFERROR(INDEX(Расходка[Наименование расходного материала],MATCH(Расходка[№],Поиск_расходки[Индекс6],0)),"")</f>
        <v/>
      </c>
      <c r="X26" s="116" t="str">
        <f>IFERROR(INDEX(Расходка[Наименование расходного материала],MATCH(Расходка[№],Поиск_расходки[Индекс7],0)),"")</f>
        <v>Fielder XT-R</v>
      </c>
      <c r="Y26" s="116" t="str">
        <f>IFERROR(INDEX(Расходка[Наименование расходного материала],MATCH(Расходка[№],Поиск_расходки[Индекс8],0)),"")</f>
        <v>Fielder XT-R</v>
      </c>
      <c r="Z26" s="116" t="str">
        <f>IFERROR(INDEX(Расходка[Наименование расходного материала],MATCH(Расходка[№],Поиск_расходки[Индекс9],0)),"")</f>
        <v>Fielder XT-R</v>
      </c>
      <c r="AA26" s="116" t="str">
        <f>IFERROR(INDEX(Расходка[Наименование расходного материала],MATCH(Расходка[№],Поиск_расходки[Индекс10],0)),"")</f>
        <v>Fielder XT-R</v>
      </c>
      <c r="AB26" s="116" t="str">
        <f>IFERROR(INDEX(Расходка[Наименование расходного материала],MATCH(Расходка[№],Поиск_расходки[Индекс11],0)),"")</f>
        <v>Fielder XT-R</v>
      </c>
      <c r="AC26" s="116" t="str">
        <f>IFERROR(INDEX(Расходка[Наименование расходного материала],MATCH(Расходка[№],Поиск_расходки[Индекс12],0)),"")</f>
        <v>Fielder XT-R</v>
      </c>
      <c r="AD26" s="116" t="str">
        <f>IFERROR(INDEX(Расходка[Наименование расходного материала],MATCH(Расходка[№],Поиск_расходки[Индекс13],0)),"")</f>
        <v>Fielder XT-R</v>
      </c>
      <c r="AF26" s="4" t="s">
        <v>5</v>
      </c>
      <c r="AG26" s="4" t="s">
        <v>430</v>
      </c>
    </row>
    <row r="27" spans="1:35">
      <c r="A27">
        <v>26</v>
      </c>
      <c r="B27" t="s">
        <v>3</v>
      </c>
      <c r="C27" s="1" t="s">
        <v>360</v>
      </c>
      <c r="E27" s="117">
        <f>IF(ISNUMBER(SEARCH('Карта учёта'!$B$13,Расходка[[#This Row],[Наименование расходного материала]])),MAX($E$1:E26)+1,0)</f>
        <v>0</v>
      </c>
      <c r="F27" s="117">
        <f>IF(ISNUMBER(SEARCH('Карта учёта'!$B$14,Расходка[[#This Row],[Наименование расходного материала]])),MAX($F$1:F26)+1,0)</f>
        <v>0</v>
      </c>
      <c r="G27" s="117">
        <f>IF(ISNUMBER(SEARCH('Карта учёта'!$B$15,Расходка[Наименование расходного материала])),MAX($G$1:G26)+1,0)</f>
        <v>0</v>
      </c>
      <c r="H27" s="117">
        <f>IF(ISNUMBER(SEARCH('Карта учёта'!$B$16,Расходка[Наименование расходного материала])),MAX($H$1:H26)+1,0)</f>
        <v>0</v>
      </c>
      <c r="I27" s="117">
        <f>IF(ISNUMBER(SEARCH('Карта учёта'!$B$17,Расходка[Наименование расходного материала])),MAX($I$1:I26)+1,0)</f>
        <v>0</v>
      </c>
      <c r="J27" s="117">
        <f>IF(ISNUMBER(SEARCH('Карта учёта'!$B$18,Расходка[Наименование расходного материала])),MAX($J$1:J26)+1,0)</f>
        <v>0</v>
      </c>
      <c r="K27" s="117">
        <f>IF(ISNUMBER(SEARCH('Карта учёта'!$B$19,Расходка[Наименование расходного материала])),MAX($K$1:K26)+1,0)</f>
        <v>26</v>
      </c>
      <c r="L27" s="117">
        <f>IF(ISNUMBER(SEARCH('Карта учёта'!$B$20,Расходка[Наименование расходного материала])),MAX($L$1:L26)+1,0)</f>
        <v>26</v>
      </c>
      <c r="M27" s="117">
        <f>IF(ISNUMBER(SEARCH('Карта учёта'!$B$21,Расходка[Наименование расходного материала])),MAX($M$1:M26)+1,0)</f>
        <v>26</v>
      </c>
      <c r="N27" s="117">
        <f>IF(ISNUMBER(SEARCH('Карта учёта'!$B$22,Расходка[Наименование расходного материала])),MAX($N$1:N26)+1,0)</f>
        <v>26</v>
      </c>
      <c r="O27" s="117">
        <f>IF(ISNUMBER(SEARCH('Карта учёта'!$B$23,Расходка[Наименование расходного материала])),MAX($O$1:O26)+1,0)</f>
        <v>26</v>
      </c>
      <c r="P27" s="117">
        <f>IF(ISNUMBER(SEARCH('Карта учёта'!$B$24,Расходка[Наименование расходного материала])),MAX($P$1:P26)+1,0)</f>
        <v>26</v>
      </c>
      <c r="Q27" s="117">
        <f>IF(ISNUMBER(SEARCH('Карта учёта'!$B$25,Расходка[Наименование расходного материала])),MAX($Q$1:Q26)+1,0)</f>
        <v>26</v>
      </c>
      <c r="R27" s="116" t="str">
        <f>IFERROR(INDEX(Расходка[Наименование расходного материала],MATCH(Расходка[№],Поиск_расходки[Индекс1],0)),"")</f>
        <v/>
      </c>
      <c r="S27" s="116" t="str">
        <f>IFERROR(INDEX(Расходка[Наименование расходного материала],MATCH(Расходка[№],Поиск_расходки[Индекс2],0)),"")</f>
        <v/>
      </c>
      <c r="T27" s="116" t="str">
        <f>IFERROR(INDEX(Расходка[Наименование расходного материала],MATCH(Расходка[№],Поиск_расходки[Индекс3],0)),"")</f>
        <v/>
      </c>
      <c r="U27" s="116" t="str">
        <f>IFERROR(INDEX(Расходка[Наименование расходного материала],MATCH(Расходка[№],Поиск_расходки[Индекс4],0)),"")</f>
        <v/>
      </c>
      <c r="V27" s="116" t="str">
        <f>IFERROR(INDEX(Расходка[Наименование расходного материала],MATCH(Расходка[№],Поиск_расходки[Индекс5],0)),"")</f>
        <v/>
      </c>
      <c r="W27" s="116" t="str">
        <f>IFERROR(INDEX(Расходка[Наименование расходного материала],MATCH(Расходка[№],Поиск_расходки[Индекс6],0)),"")</f>
        <v/>
      </c>
      <c r="X27" s="116" t="str">
        <f>IFERROR(INDEX(Расходка[Наименование расходного материала],MATCH(Расходка[№],Поиск_расходки[Индекс7],0)),"")</f>
        <v>Gaia Second</v>
      </c>
      <c r="Y27" s="116" t="str">
        <f>IFERROR(INDEX(Расходка[Наименование расходного материала],MATCH(Расходка[№],Поиск_расходки[Индекс8],0)),"")</f>
        <v>Gaia Second</v>
      </c>
      <c r="Z27" s="116" t="str">
        <f>IFERROR(INDEX(Расходка[Наименование расходного материала],MATCH(Расходка[№],Поиск_расходки[Индекс9],0)),"")</f>
        <v>Gaia Second</v>
      </c>
      <c r="AA27" s="116" t="str">
        <f>IFERROR(INDEX(Расходка[Наименование расходного материала],MATCH(Расходка[№],Поиск_расходки[Индекс10],0)),"")</f>
        <v>Gaia Second</v>
      </c>
      <c r="AB27" s="116" t="str">
        <f>IFERROR(INDEX(Расходка[Наименование расходного материала],MATCH(Расходка[№],Поиск_расходки[Индекс11],0)),"")</f>
        <v>Gaia Second</v>
      </c>
      <c r="AC27" s="116" t="str">
        <f>IFERROR(INDEX(Расходка[Наименование расходного материала],MATCH(Расходка[№],Поиск_расходки[Индекс12],0)),"")</f>
        <v>Gaia Second</v>
      </c>
      <c r="AD27" s="116" t="str">
        <f>IFERROR(INDEX(Расходка[Наименование расходного материала],MATCH(Расходка[№],Поиск_расходки[Индекс13],0)),"")</f>
        <v>Gaia Second</v>
      </c>
      <c r="AF27" s="4" t="s">
        <v>5</v>
      </c>
      <c r="AG27" s="4" t="s">
        <v>431</v>
      </c>
    </row>
    <row r="28" spans="1:35">
      <c r="A28">
        <v>27</v>
      </c>
      <c r="B28" t="s">
        <v>3</v>
      </c>
      <c r="C28" s="1" t="s">
        <v>372</v>
      </c>
      <c r="E28" s="117">
        <f>IF(ISNUMBER(SEARCH('Карта учёта'!$B$13,Расходка[[#This Row],[Наименование расходного материала]])),MAX($E$1:E27)+1,0)</f>
        <v>0</v>
      </c>
      <c r="F28" s="117">
        <f>IF(ISNUMBER(SEARCH('Карта учёта'!$B$14,Расходка[[#This Row],[Наименование расходного материала]])),MAX($F$1:F27)+1,0)</f>
        <v>0</v>
      </c>
      <c r="G28" s="117">
        <f>IF(ISNUMBER(SEARCH('Карта учёта'!$B$15,Расходка[Наименование расходного материала])),MAX($G$1:G27)+1,0)</f>
        <v>0</v>
      </c>
      <c r="H28" s="117">
        <f>IF(ISNUMBER(SEARCH('Карта учёта'!$B$16,Расходка[Наименование расходного материала])),MAX($H$1:H27)+1,0)</f>
        <v>0</v>
      </c>
      <c r="I28" s="117">
        <f>IF(ISNUMBER(SEARCH('Карта учёта'!$B$17,Расходка[Наименование расходного материала])),MAX($I$1:I27)+1,0)</f>
        <v>0</v>
      </c>
      <c r="J28" s="117">
        <f>IF(ISNUMBER(SEARCH('Карта учёта'!$B$18,Расходка[Наименование расходного материала])),MAX($J$1:J27)+1,0)</f>
        <v>0</v>
      </c>
      <c r="K28" s="117">
        <f>IF(ISNUMBER(SEARCH('Карта учёта'!$B$19,Расходка[Наименование расходного материала])),MAX($K$1:K27)+1,0)</f>
        <v>27</v>
      </c>
      <c r="L28" s="117">
        <f>IF(ISNUMBER(SEARCH('Карта учёта'!$B$20,Расходка[Наименование расходного материала])),MAX($L$1:L27)+1,0)</f>
        <v>27</v>
      </c>
      <c r="M28" s="117">
        <f>IF(ISNUMBER(SEARCH('Карта учёта'!$B$21,Расходка[Наименование расходного материала])),MAX($M$1:M27)+1,0)</f>
        <v>27</v>
      </c>
      <c r="N28" s="117">
        <f>IF(ISNUMBER(SEARCH('Карта учёта'!$B$22,Расходка[Наименование расходного материала])),MAX($N$1:N27)+1,0)</f>
        <v>27</v>
      </c>
      <c r="O28" s="117">
        <f>IF(ISNUMBER(SEARCH('Карта учёта'!$B$23,Расходка[Наименование расходного материала])),MAX($O$1:O27)+1,0)</f>
        <v>27</v>
      </c>
      <c r="P28" s="117">
        <f>IF(ISNUMBER(SEARCH('Карта учёта'!$B$24,Расходка[Наименование расходного материала])),MAX($P$1:P27)+1,0)</f>
        <v>27</v>
      </c>
      <c r="Q28" s="117">
        <f>IF(ISNUMBER(SEARCH('Карта учёта'!$B$25,Расходка[Наименование расходного материала])),MAX($Q$1:Q27)+1,0)</f>
        <v>27</v>
      </c>
      <c r="R28" s="116" t="str">
        <f>IFERROR(INDEX(Расходка[Наименование расходного материала],MATCH(Расходка[№],Поиск_расходки[Индекс1],0)),"")</f>
        <v/>
      </c>
      <c r="S28" s="116" t="str">
        <f>IFERROR(INDEX(Расходка[Наименование расходного материала],MATCH(Расходка[№],Поиск_расходки[Индекс2],0)),"")</f>
        <v/>
      </c>
      <c r="T28" s="116" t="str">
        <f>IFERROR(INDEX(Расходка[Наименование расходного материала],MATCH(Расходка[№],Поиск_расходки[Индекс3],0)),"")</f>
        <v/>
      </c>
      <c r="U28" s="116" t="str">
        <f>IFERROR(INDEX(Расходка[Наименование расходного материала],MATCH(Расходка[№],Поиск_расходки[Индекс4],0)),"")</f>
        <v/>
      </c>
      <c r="V28" s="116" t="str">
        <f>IFERROR(INDEX(Расходка[Наименование расходного материала],MATCH(Расходка[№],Поиск_расходки[Индекс5],0)),"")</f>
        <v/>
      </c>
      <c r="W28" s="116" t="str">
        <f>IFERROR(INDEX(Расходка[Наименование расходного материала],MATCH(Расходка[№],Поиск_расходки[Индекс6],0)),"")</f>
        <v/>
      </c>
      <c r="X28" s="116" t="str">
        <f>IFERROR(INDEX(Расходка[Наименование расходного материала],MATCH(Расходка[№],Поиск_расходки[Индекс7],0)),"")</f>
        <v>Gaia Third</v>
      </c>
      <c r="Y28" s="116" t="str">
        <f>IFERROR(INDEX(Расходка[Наименование расходного материала],MATCH(Расходка[№],Поиск_расходки[Индекс8],0)),"")</f>
        <v>Gaia Third</v>
      </c>
      <c r="Z28" s="116" t="str">
        <f>IFERROR(INDEX(Расходка[Наименование расходного материала],MATCH(Расходка[№],Поиск_расходки[Индекс9],0)),"")</f>
        <v>Gaia Third</v>
      </c>
      <c r="AA28" s="116" t="str">
        <f>IFERROR(INDEX(Расходка[Наименование расходного материала],MATCH(Расходка[№],Поиск_расходки[Индекс10],0)),"")</f>
        <v>Gaia Third</v>
      </c>
      <c r="AB28" s="116" t="str">
        <f>IFERROR(INDEX(Расходка[Наименование расходного материала],MATCH(Расходка[№],Поиск_расходки[Индекс11],0)),"")</f>
        <v>Gaia Third</v>
      </c>
      <c r="AC28" s="116" t="str">
        <f>IFERROR(INDEX(Расходка[Наименование расходного материала],MATCH(Расходка[№],Поиск_расходки[Индекс12],0)),"")</f>
        <v>Gaia Third</v>
      </c>
      <c r="AD28" s="116" t="str">
        <f>IFERROR(INDEX(Расходка[Наименование расходного материала],MATCH(Расходка[№],Поиск_расходки[Индекс13],0)),"")</f>
        <v>Gaia Third</v>
      </c>
      <c r="AF28" s="4" t="s">
        <v>5</v>
      </c>
      <c r="AG28" s="4" t="s">
        <v>432</v>
      </c>
    </row>
    <row r="29" spans="1:35">
      <c r="A29">
        <v>28</v>
      </c>
      <c r="B29" t="s">
        <v>3</v>
      </c>
      <c r="C29" s="1" t="s">
        <v>323</v>
      </c>
      <c r="E29" s="117">
        <f>IF(ISNUMBER(SEARCH('Карта учёта'!$B$13,Расходка[[#This Row],[Наименование расходного материала]])),MAX($E$1:E28)+1,0)</f>
        <v>0</v>
      </c>
      <c r="F29" s="117">
        <f>IF(ISNUMBER(SEARCH('Карта учёта'!$B$14,Расходка[[#This Row],[Наименование расходного материала]])),MAX($F$1:F28)+1,0)</f>
        <v>0</v>
      </c>
      <c r="G29" s="117">
        <f>IF(ISNUMBER(SEARCH('Карта учёта'!$B$15,Расходка[Наименование расходного материала])),MAX($G$1:G28)+1,0)</f>
        <v>0</v>
      </c>
      <c r="H29" s="117">
        <f>IF(ISNUMBER(SEARCH('Карта учёта'!$B$16,Расходка[Наименование расходного материала])),MAX($H$1:H28)+1,0)</f>
        <v>0</v>
      </c>
      <c r="I29" s="117">
        <f>IF(ISNUMBER(SEARCH('Карта учёта'!$B$17,Расходка[Наименование расходного материала])),MAX($I$1:I28)+1,0)</f>
        <v>0</v>
      </c>
      <c r="J29" s="117">
        <f>IF(ISNUMBER(SEARCH('Карта учёта'!$B$18,Расходка[Наименование расходного материала])),MAX($J$1:J28)+1,0)</f>
        <v>0</v>
      </c>
      <c r="K29" s="117">
        <f>IF(ISNUMBER(SEARCH('Карта учёта'!$B$19,Расходка[Наименование расходного материала])),MAX($K$1:K28)+1,0)</f>
        <v>28</v>
      </c>
      <c r="L29" s="117">
        <f>IF(ISNUMBER(SEARCH('Карта учёта'!$B$20,Расходка[Наименование расходного материала])),MAX($L$1:L28)+1,0)</f>
        <v>28</v>
      </c>
      <c r="M29" s="117">
        <f>IF(ISNUMBER(SEARCH('Карта учёта'!$B$21,Расходка[Наименование расходного материала])),MAX($M$1:M28)+1,0)</f>
        <v>28</v>
      </c>
      <c r="N29" s="117">
        <f>IF(ISNUMBER(SEARCH('Карта учёта'!$B$22,Расходка[Наименование расходного материала])),MAX($N$1:N28)+1,0)</f>
        <v>28</v>
      </c>
      <c r="O29" s="117">
        <f>IF(ISNUMBER(SEARCH('Карта учёта'!$B$23,Расходка[Наименование расходного материала])),MAX($O$1:O28)+1,0)</f>
        <v>28</v>
      </c>
      <c r="P29" s="117">
        <f>IF(ISNUMBER(SEARCH('Карта учёта'!$B$24,Расходка[Наименование расходного материала])),MAX($P$1:P28)+1,0)</f>
        <v>28</v>
      </c>
      <c r="Q29" s="117">
        <f>IF(ISNUMBER(SEARCH('Карта учёта'!$B$25,Расходка[Наименование расходного материала])),MAX($Q$1:Q28)+1,0)</f>
        <v>28</v>
      </c>
      <c r="R29" s="116" t="str">
        <f>IFERROR(INDEX(Расходка[Наименование расходного материала],MATCH(Расходка[№],Поиск_расходки[Индекс1],0)),"")</f>
        <v/>
      </c>
      <c r="S29" s="116" t="str">
        <f>IFERROR(INDEX(Расходка[Наименование расходного материала],MATCH(Расходка[№],Поиск_расходки[Индекс2],0)),"")</f>
        <v/>
      </c>
      <c r="T29" s="116" t="str">
        <f>IFERROR(INDEX(Расходка[Наименование расходного материала],MATCH(Расходка[№],Поиск_расходки[Индекс3],0)),"")</f>
        <v/>
      </c>
      <c r="U29" s="116" t="str">
        <f>IFERROR(INDEX(Расходка[Наименование расходного материала],MATCH(Расходка[№],Поиск_расходки[Индекс4],0)),"")</f>
        <v/>
      </c>
      <c r="V29" s="116" t="str">
        <f>IFERROR(INDEX(Расходка[Наименование расходного материала],MATCH(Расходка[№],Поиск_расходки[Индекс5],0)),"")</f>
        <v/>
      </c>
      <c r="W29" s="116" t="str">
        <f>IFERROR(INDEX(Расходка[Наименование расходного материала],MATCH(Расходка[№],Поиск_расходки[Индекс6],0)),"")</f>
        <v/>
      </c>
      <c r="X29" s="116" t="str">
        <f>IFERROR(INDEX(Расходка[Наименование расходного материала],MATCH(Расходка[№],Поиск_расходки[Индекс7],0)),"")</f>
        <v>Intuition</v>
      </c>
      <c r="Y29" s="116" t="str">
        <f>IFERROR(INDEX(Расходка[Наименование расходного материала],MATCH(Расходка[№],Поиск_расходки[Индекс8],0)),"")</f>
        <v>Intuition</v>
      </c>
      <c r="Z29" s="116" t="str">
        <f>IFERROR(INDEX(Расходка[Наименование расходного материала],MATCH(Расходка[№],Поиск_расходки[Индекс9],0)),"")</f>
        <v>Intuition</v>
      </c>
      <c r="AA29" s="116" t="str">
        <f>IFERROR(INDEX(Расходка[Наименование расходного материала],MATCH(Расходка[№],Поиск_расходки[Индекс10],0)),"")</f>
        <v>Intuition</v>
      </c>
      <c r="AB29" s="116" t="str">
        <f>IFERROR(INDEX(Расходка[Наименование расходного материала],MATCH(Расходка[№],Поиск_расходки[Индекс11],0)),"")</f>
        <v>Intuition</v>
      </c>
      <c r="AC29" s="116" t="str">
        <f>IFERROR(INDEX(Расходка[Наименование расходного материала],MATCH(Расходка[№],Поиск_расходки[Индекс12],0)),"")</f>
        <v>Intuition</v>
      </c>
      <c r="AD29" s="116" t="str">
        <f>IFERROR(INDEX(Расходка[Наименование расходного материала],MATCH(Расходка[№],Поиск_расходки[Индекс13],0)),"")</f>
        <v>Intuition</v>
      </c>
      <c r="AF29" s="4" t="s">
        <v>5</v>
      </c>
      <c r="AG29" s="4" t="s">
        <v>433</v>
      </c>
    </row>
    <row r="30" spans="1:35">
      <c r="A30">
        <v>29</v>
      </c>
      <c r="B30" t="s">
        <v>3</v>
      </c>
      <c r="C30" t="s">
        <v>319</v>
      </c>
      <c r="E30" s="117">
        <f>IF(ISNUMBER(SEARCH('Карта учёта'!$B$13,Расходка[[#This Row],[Наименование расходного материала]])),MAX($E$1:E29)+1,0)</f>
        <v>0</v>
      </c>
      <c r="F30" s="117">
        <f>IF(ISNUMBER(SEARCH('Карта учёта'!$B$14,Расходка[[#This Row],[Наименование расходного материала]])),MAX($F$1:F29)+1,0)</f>
        <v>0</v>
      </c>
      <c r="G30" s="117">
        <f>IF(ISNUMBER(SEARCH('Карта учёта'!$B$15,Расходка[Наименование расходного материала])),MAX($G$1:G29)+1,0)</f>
        <v>0</v>
      </c>
      <c r="H30" s="117">
        <f>IF(ISNUMBER(SEARCH('Карта учёта'!$B$16,Расходка[Наименование расходного материала])),MAX($H$1:H29)+1,0)</f>
        <v>0</v>
      </c>
      <c r="I30" s="117">
        <f>IF(ISNUMBER(SEARCH('Карта учёта'!$B$17,Расходка[Наименование расходного материала])),MAX($I$1:I29)+1,0)</f>
        <v>0</v>
      </c>
      <c r="J30" s="117">
        <f>IF(ISNUMBER(SEARCH('Карта учёта'!$B$18,Расходка[Наименование расходного материала])),MAX($J$1:J29)+1,0)</f>
        <v>0</v>
      </c>
      <c r="K30" s="117">
        <f>IF(ISNUMBER(SEARCH('Карта учёта'!$B$19,Расходка[Наименование расходного материала])),MAX($K$1:K29)+1,0)</f>
        <v>29</v>
      </c>
      <c r="L30" s="117">
        <f>IF(ISNUMBER(SEARCH('Карта учёта'!$B$20,Расходка[Наименование расходного материала])),MAX($L$1:L29)+1,0)</f>
        <v>29</v>
      </c>
      <c r="M30" s="117">
        <f>IF(ISNUMBER(SEARCH('Карта учёта'!$B$21,Расходка[Наименование расходного материала])),MAX($M$1:M29)+1,0)</f>
        <v>29</v>
      </c>
      <c r="N30" s="117">
        <f>IF(ISNUMBER(SEARCH('Карта учёта'!$B$22,Расходка[Наименование расходного материала])),MAX($N$1:N29)+1,0)</f>
        <v>29</v>
      </c>
      <c r="O30" s="117">
        <f>IF(ISNUMBER(SEARCH('Карта учёта'!$B$23,Расходка[Наименование расходного материала])),MAX($O$1:O29)+1,0)</f>
        <v>29</v>
      </c>
      <c r="P30" s="117">
        <f>IF(ISNUMBER(SEARCH('Карта учёта'!$B$24,Расходка[Наименование расходного материала])),MAX($P$1:P29)+1,0)</f>
        <v>29</v>
      </c>
      <c r="Q30" s="117">
        <f>IF(ISNUMBER(SEARCH('Карта учёта'!$B$25,Расходка[Наименование расходного материала])),MAX($Q$1:Q29)+1,0)</f>
        <v>29</v>
      </c>
      <c r="R30" s="116" t="str">
        <f>IFERROR(INDEX(Расходка[Наименование расходного материала],MATCH(Расходка[№],Поиск_расходки[Индекс1],0)),"")</f>
        <v/>
      </c>
      <c r="S30" s="116" t="str">
        <f>IFERROR(INDEX(Расходка[Наименование расходного материала],MATCH(Расходка[№],Поиск_расходки[Индекс2],0)),"")</f>
        <v/>
      </c>
      <c r="T30" s="116" t="str">
        <f>IFERROR(INDEX(Расходка[Наименование расходного материала],MATCH(Расходка[№],Поиск_расходки[Индекс3],0)),"")</f>
        <v/>
      </c>
      <c r="U30" s="116" t="str">
        <f>IFERROR(INDEX(Расходка[Наименование расходного материала],MATCH(Расходка[№],Поиск_расходки[Индекс4],0)),"")</f>
        <v/>
      </c>
      <c r="V30" s="116" t="str">
        <f>IFERROR(INDEX(Расходка[Наименование расходного материала],MATCH(Расходка[№],Поиск_расходки[Индекс5],0)),"")</f>
        <v/>
      </c>
      <c r="W30" s="116" t="str">
        <f>IFERROR(INDEX(Расходка[Наименование расходного материала],MATCH(Расходка[№],Поиск_расходки[Индекс6],0)),"")</f>
        <v/>
      </c>
      <c r="X30" s="116" t="str">
        <f>IFERROR(INDEX(Расходка[Наименование расходного материала],MATCH(Расходка[№],Поиск_расходки[Индекс7],0)),"")</f>
        <v>ProVia 3 Hydro-Track®</v>
      </c>
      <c r="Y30" s="116" t="str">
        <f>IFERROR(INDEX(Расходка[Наименование расходного материала],MATCH(Расходка[№],Поиск_расходки[Индекс8],0)),"")</f>
        <v>ProVia 3 Hydro-Track®</v>
      </c>
      <c r="Z30" s="116" t="str">
        <f>IFERROR(INDEX(Расходка[Наименование расходного материала],MATCH(Расходка[№],Поиск_расходки[Индекс9],0)),"")</f>
        <v>ProVia 3 Hydro-Track®</v>
      </c>
      <c r="AA30" s="116" t="str">
        <f>IFERROR(INDEX(Расходка[Наименование расходного материала],MATCH(Расходка[№],Поиск_расходки[Индекс10],0)),"")</f>
        <v>ProVia 3 Hydro-Track®</v>
      </c>
      <c r="AB30" s="116" t="str">
        <f>IFERROR(INDEX(Расходка[Наименование расходного материала],MATCH(Расходка[№],Поиск_расходки[Индекс11],0)),"")</f>
        <v>ProVia 3 Hydro-Track®</v>
      </c>
      <c r="AC30" s="116" t="str">
        <f>IFERROR(INDEX(Расходка[Наименование расходного материала],MATCH(Расходка[№],Поиск_расходки[Индекс12],0)),"")</f>
        <v>ProVia 3 Hydro-Track®</v>
      </c>
      <c r="AD30" s="116" t="str">
        <f>IFERROR(INDEX(Расходка[Наименование расходного материала],MATCH(Расходка[№],Поиск_расходки[Индекс13],0)),"")</f>
        <v>ProVia 3 Hydro-Track®</v>
      </c>
      <c r="AF30" s="4" t="s">
        <v>5</v>
      </c>
      <c r="AG30" s="4" t="s">
        <v>495</v>
      </c>
    </row>
    <row r="31" spans="1:35">
      <c r="A31">
        <v>30</v>
      </c>
      <c r="B31" t="s">
        <v>3</v>
      </c>
      <c r="C31" t="s">
        <v>320</v>
      </c>
      <c r="E31" s="117">
        <f>IF(ISNUMBER(SEARCH('Карта учёта'!$B$13,Расходка[[#This Row],[Наименование расходного материала]])),MAX($E$1:E30)+1,0)</f>
        <v>0</v>
      </c>
      <c r="F31" s="117">
        <f>IF(ISNUMBER(SEARCH('Карта учёта'!$B$14,Расходка[[#This Row],[Наименование расходного материала]])),MAX($F$1:F30)+1,0)</f>
        <v>0</v>
      </c>
      <c r="G31" s="117">
        <f>IF(ISNUMBER(SEARCH('Карта учёта'!$B$15,Расходка[Наименование расходного материала])),MAX($G$1:G30)+1,0)</f>
        <v>0</v>
      </c>
      <c r="H31" s="117">
        <f>IF(ISNUMBER(SEARCH('Карта учёта'!$B$16,Расходка[Наименование расходного материала])),MAX($H$1:H30)+1,0)</f>
        <v>0</v>
      </c>
      <c r="I31" s="117">
        <f>IF(ISNUMBER(SEARCH('Карта учёта'!$B$17,Расходка[Наименование расходного материала])),MAX($I$1:I30)+1,0)</f>
        <v>0</v>
      </c>
      <c r="J31" s="117">
        <f>IF(ISNUMBER(SEARCH('Карта учёта'!$B$18,Расходка[Наименование расходного материала])),MAX($J$1:J30)+1,0)</f>
        <v>0</v>
      </c>
      <c r="K31" s="117">
        <f>IF(ISNUMBER(SEARCH('Карта учёта'!$B$19,Расходка[Наименование расходного материала])),MAX($K$1:K30)+1,0)</f>
        <v>30</v>
      </c>
      <c r="L31" s="117">
        <f>IF(ISNUMBER(SEARCH('Карта учёта'!$B$20,Расходка[Наименование расходного материала])),MAX($L$1:L30)+1,0)</f>
        <v>30</v>
      </c>
      <c r="M31" s="117">
        <f>IF(ISNUMBER(SEARCH('Карта учёта'!$B$21,Расходка[Наименование расходного материала])),MAX($M$1:M30)+1,0)</f>
        <v>30</v>
      </c>
      <c r="N31" s="117">
        <f>IF(ISNUMBER(SEARCH('Карта учёта'!$B$22,Расходка[Наименование расходного материала])),MAX($N$1:N30)+1,0)</f>
        <v>30</v>
      </c>
      <c r="O31" s="117">
        <f>IF(ISNUMBER(SEARCH('Карта учёта'!$B$23,Расходка[Наименование расходного материала])),MAX($O$1:O30)+1,0)</f>
        <v>30</v>
      </c>
      <c r="P31" s="117">
        <f>IF(ISNUMBER(SEARCH('Карта учёта'!$B$24,Расходка[Наименование расходного материала])),MAX($P$1:P30)+1,0)</f>
        <v>30</v>
      </c>
      <c r="Q31" s="117">
        <f>IF(ISNUMBER(SEARCH('Карта учёта'!$B$25,Расходка[Наименование расходного материала])),MAX($Q$1:Q30)+1,0)</f>
        <v>30</v>
      </c>
      <c r="R31" s="116" t="str">
        <f>IFERROR(INDEX(Расходка[Наименование расходного материала],MATCH(Расходка[№],Поиск_расходки[Индекс1],0)),"")</f>
        <v/>
      </c>
      <c r="S31" s="116" t="str">
        <f>IFERROR(INDEX(Расходка[Наименование расходного материала],MATCH(Расходка[№],Поиск_расходки[Индекс2],0)),"")</f>
        <v/>
      </c>
      <c r="T31" s="116" t="str">
        <f>IFERROR(INDEX(Расходка[Наименование расходного материала],MATCH(Расходка[№],Поиск_расходки[Индекс3],0)),"")</f>
        <v/>
      </c>
      <c r="U31" s="116" t="str">
        <f>IFERROR(INDEX(Расходка[Наименование расходного материала],MATCH(Расходка[№],Поиск_расходки[Индекс4],0)),"")</f>
        <v/>
      </c>
      <c r="V31" s="116" t="str">
        <f>IFERROR(INDEX(Расходка[Наименование расходного материала],MATCH(Расходка[№],Поиск_расходки[Индекс5],0)),"")</f>
        <v/>
      </c>
      <c r="W31" s="116" t="str">
        <f>IFERROR(INDEX(Расходка[Наименование расходного материала],MATCH(Расходка[№],Поиск_расходки[Индекс6],0)),"")</f>
        <v/>
      </c>
      <c r="X31" s="116" t="str">
        <f>IFERROR(INDEX(Расходка[Наименование расходного материала],MATCH(Расходка[№],Поиск_расходки[Индекс7],0)),"")</f>
        <v>ProVia 6 Hydro-Track®</v>
      </c>
      <c r="Y31" s="116" t="str">
        <f>IFERROR(INDEX(Расходка[Наименование расходного материала],MATCH(Расходка[№],Поиск_расходки[Индекс8],0)),"")</f>
        <v>ProVia 6 Hydro-Track®</v>
      </c>
      <c r="Z31" s="116" t="str">
        <f>IFERROR(INDEX(Расходка[Наименование расходного материала],MATCH(Расходка[№],Поиск_расходки[Индекс9],0)),"")</f>
        <v>ProVia 6 Hydro-Track®</v>
      </c>
      <c r="AA31" s="116" t="str">
        <f>IFERROR(INDEX(Расходка[Наименование расходного материала],MATCH(Расходка[№],Поиск_расходки[Индекс10],0)),"")</f>
        <v>ProVia 6 Hydro-Track®</v>
      </c>
      <c r="AB31" s="116" t="str">
        <f>IFERROR(INDEX(Расходка[Наименование расходного материала],MATCH(Расходка[№],Поиск_расходки[Индекс11],0)),"")</f>
        <v>ProVia 6 Hydro-Track®</v>
      </c>
      <c r="AC31" s="116" t="str">
        <f>IFERROR(INDEX(Расходка[Наименование расходного материала],MATCH(Расходка[№],Поиск_расходки[Индекс12],0)),"")</f>
        <v>ProVia 6 Hydro-Track®</v>
      </c>
      <c r="AD31" s="116" t="str">
        <f>IFERROR(INDEX(Расходка[Наименование расходного материала],MATCH(Расходка[№],Поиск_расходки[Индекс13],0)),"")</f>
        <v>ProVia 6 Hydro-Track®</v>
      </c>
      <c r="AF31" s="4" t="s">
        <v>5</v>
      </c>
      <c r="AG31" s="4" t="s">
        <v>434</v>
      </c>
    </row>
    <row r="32" spans="1:35">
      <c r="A32">
        <v>31</v>
      </c>
      <c r="B32" t="s">
        <v>3</v>
      </c>
      <c r="C32" t="s">
        <v>321</v>
      </c>
      <c r="E32" s="117">
        <f>IF(ISNUMBER(SEARCH('Карта учёта'!$B$13,Расходка[[#This Row],[Наименование расходного материала]])),MAX($E$1:E31)+1,0)</f>
        <v>0</v>
      </c>
      <c r="F32" s="117">
        <f>IF(ISNUMBER(SEARCH('Карта учёта'!$B$14,Расходка[[#This Row],[Наименование расходного материала]])),MAX($F$1:F31)+1,0)</f>
        <v>0</v>
      </c>
      <c r="G32" s="117">
        <f>IF(ISNUMBER(SEARCH('Карта учёта'!$B$15,Расходка[Наименование расходного материала])),MAX($G$1:G31)+1,0)</f>
        <v>0</v>
      </c>
      <c r="H32" s="117">
        <f>IF(ISNUMBER(SEARCH('Карта учёта'!$B$16,Расходка[Наименование расходного материала])),MAX($H$1:H31)+1,0)</f>
        <v>0</v>
      </c>
      <c r="I32" s="117">
        <f>IF(ISNUMBER(SEARCH('Карта учёта'!$B$17,Расходка[Наименование расходного материала])),MAX($I$1:I31)+1,0)</f>
        <v>0</v>
      </c>
      <c r="J32" s="117">
        <f>IF(ISNUMBER(SEARCH('Карта учёта'!$B$18,Расходка[Наименование расходного материала])),MAX($J$1:J31)+1,0)</f>
        <v>0</v>
      </c>
      <c r="K32" s="117">
        <f>IF(ISNUMBER(SEARCH('Карта учёта'!$B$19,Расходка[Наименование расходного материала])),MAX($K$1:K31)+1,0)</f>
        <v>31</v>
      </c>
      <c r="L32" s="117">
        <f>IF(ISNUMBER(SEARCH('Карта учёта'!$B$20,Расходка[Наименование расходного материала])),MAX($L$1:L31)+1,0)</f>
        <v>31</v>
      </c>
      <c r="M32" s="117">
        <f>IF(ISNUMBER(SEARCH('Карта учёта'!$B$21,Расходка[Наименование расходного материала])),MAX($M$1:M31)+1,0)</f>
        <v>31</v>
      </c>
      <c r="N32" s="117">
        <f>IF(ISNUMBER(SEARCH('Карта учёта'!$B$22,Расходка[Наименование расходного материала])),MAX($N$1:N31)+1,0)</f>
        <v>31</v>
      </c>
      <c r="O32" s="117">
        <f>IF(ISNUMBER(SEARCH('Карта учёта'!$B$23,Расходка[Наименование расходного материала])),MAX($O$1:O31)+1,0)</f>
        <v>31</v>
      </c>
      <c r="P32" s="117">
        <f>IF(ISNUMBER(SEARCH('Карта учёта'!$B$24,Расходка[Наименование расходного материала])),MAX($P$1:P31)+1,0)</f>
        <v>31</v>
      </c>
      <c r="Q32" s="117">
        <f>IF(ISNUMBER(SEARCH('Карта учёта'!$B$25,Расходка[Наименование расходного материала])),MAX($Q$1:Q31)+1,0)</f>
        <v>31</v>
      </c>
      <c r="R32" s="116" t="str">
        <f>IFERROR(INDEX(Расходка[Наименование расходного материала],MATCH(Расходка[№],Поиск_расходки[Индекс1],0)),"")</f>
        <v/>
      </c>
      <c r="S32" s="116" t="str">
        <f>IFERROR(INDEX(Расходка[Наименование расходного материала],MATCH(Расходка[№],Поиск_расходки[Индекс2],0)),"")</f>
        <v/>
      </c>
      <c r="T32" s="116" t="str">
        <f>IFERROR(INDEX(Расходка[Наименование расходного материала],MATCH(Расходка[№],Поиск_расходки[Индекс3],0)),"")</f>
        <v/>
      </c>
      <c r="U32" s="116" t="str">
        <f>IFERROR(INDEX(Расходка[Наименование расходного материала],MATCH(Расходка[№],Поиск_расходки[Индекс4],0)),"")</f>
        <v/>
      </c>
      <c r="V32" s="116" t="str">
        <f>IFERROR(INDEX(Расходка[Наименование расходного материала],MATCH(Расходка[№],Поиск_расходки[Индекс5],0)),"")</f>
        <v/>
      </c>
      <c r="W32" s="116" t="str">
        <f>IFERROR(INDEX(Расходка[Наименование расходного материала],MATCH(Расходка[№],Поиск_расходки[Индекс6],0)),"")</f>
        <v/>
      </c>
      <c r="X32" s="116" t="str">
        <f>IFERROR(INDEX(Расходка[Наименование расходного материала],MATCH(Расходка[№],Поиск_расходки[Индекс7],0)),"")</f>
        <v>ProVia 9 Hydro-Track®</v>
      </c>
      <c r="Y32" s="116" t="str">
        <f>IFERROR(INDEX(Расходка[Наименование расходного материала],MATCH(Расходка[№],Поиск_расходки[Индекс8],0)),"")</f>
        <v>ProVia 9 Hydro-Track®</v>
      </c>
      <c r="Z32" s="116" t="str">
        <f>IFERROR(INDEX(Расходка[Наименование расходного материала],MATCH(Расходка[№],Поиск_расходки[Индекс9],0)),"")</f>
        <v>ProVia 9 Hydro-Track®</v>
      </c>
      <c r="AA32" s="116" t="str">
        <f>IFERROR(INDEX(Расходка[Наименование расходного материала],MATCH(Расходка[№],Поиск_расходки[Индекс10],0)),"")</f>
        <v>ProVia 9 Hydro-Track®</v>
      </c>
      <c r="AB32" s="116" t="str">
        <f>IFERROR(INDEX(Расходка[Наименование расходного материала],MATCH(Расходка[№],Поиск_расходки[Индекс11],0)),"")</f>
        <v>ProVia 9 Hydro-Track®</v>
      </c>
      <c r="AC32" s="116" t="str">
        <f>IFERROR(INDEX(Расходка[Наименование расходного материала],MATCH(Расходка[№],Поиск_расходки[Индекс12],0)),"")</f>
        <v>ProVia 9 Hydro-Track®</v>
      </c>
      <c r="AD32" s="116" t="str">
        <f>IFERROR(INDEX(Расходка[Наименование расходного материала],MATCH(Расходка[№],Поиск_расходки[Индекс13],0)),"")</f>
        <v>ProVia 9 Hydro-Track®</v>
      </c>
      <c r="AF32" s="4" t="s">
        <v>5</v>
      </c>
      <c r="AG32" s="4" t="s">
        <v>435</v>
      </c>
    </row>
    <row r="33" spans="1:33">
      <c r="A33">
        <v>32</v>
      </c>
      <c r="B33" t="s">
        <v>3</v>
      </c>
      <c r="C33" t="s">
        <v>317</v>
      </c>
      <c r="E33" s="117">
        <f>IF(ISNUMBER(SEARCH('Карта учёта'!$B$13,Расходка[[#This Row],[Наименование расходного материала]])),MAX($E$1:E32)+1,0)</f>
        <v>0</v>
      </c>
      <c r="F33" s="117">
        <f>IF(ISNUMBER(SEARCH('Карта учёта'!$B$14,Расходка[[#This Row],[Наименование расходного материала]])),MAX($F$1:F32)+1,0)</f>
        <v>0</v>
      </c>
      <c r="G33" s="117">
        <f>IF(ISNUMBER(SEARCH('Карта учёта'!$B$15,Расходка[Наименование расходного материала])),MAX($G$1:G32)+1,0)</f>
        <v>0</v>
      </c>
      <c r="H33" s="117">
        <f>IF(ISNUMBER(SEARCH('Карта учёта'!$B$16,Расходка[Наименование расходного материала])),MAX($H$1:H32)+1,0)</f>
        <v>0</v>
      </c>
      <c r="I33" s="117">
        <f>IF(ISNUMBER(SEARCH('Карта учёта'!$B$17,Расходка[Наименование расходного материала])),MAX($I$1:I32)+1,0)</f>
        <v>0</v>
      </c>
      <c r="J33" s="117">
        <f>IF(ISNUMBER(SEARCH('Карта учёта'!$B$18,Расходка[Наименование расходного материала])),MAX($J$1:J32)+1,0)</f>
        <v>0</v>
      </c>
      <c r="K33" s="117">
        <f>IF(ISNUMBER(SEARCH('Карта учёта'!$B$19,Расходка[Наименование расходного материала])),MAX($K$1:K32)+1,0)</f>
        <v>32</v>
      </c>
      <c r="L33" s="117">
        <f>IF(ISNUMBER(SEARCH('Карта учёта'!$B$20,Расходка[Наименование расходного материала])),MAX($L$1:L32)+1,0)</f>
        <v>32</v>
      </c>
      <c r="M33" s="117">
        <f>IF(ISNUMBER(SEARCH('Карта учёта'!$B$21,Расходка[Наименование расходного материала])),MAX($M$1:M32)+1,0)</f>
        <v>32</v>
      </c>
      <c r="N33" s="117">
        <f>IF(ISNUMBER(SEARCH('Карта учёта'!$B$22,Расходка[Наименование расходного материала])),MAX($N$1:N32)+1,0)</f>
        <v>32</v>
      </c>
      <c r="O33" s="117">
        <f>IF(ISNUMBER(SEARCH('Карта учёта'!$B$23,Расходка[Наименование расходного материала])),MAX($O$1:O32)+1,0)</f>
        <v>32</v>
      </c>
      <c r="P33" s="117">
        <f>IF(ISNUMBER(SEARCH('Карта учёта'!$B$24,Расходка[Наименование расходного материала])),MAX($P$1:P32)+1,0)</f>
        <v>32</v>
      </c>
      <c r="Q33" s="117">
        <f>IF(ISNUMBER(SEARCH('Карта учёта'!$B$25,Расходка[Наименование расходного материала])),MAX($Q$1:Q32)+1,0)</f>
        <v>32</v>
      </c>
      <c r="R33" s="116" t="str">
        <f>IFERROR(INDEX(Расходка[Наименование расходного материала],MATCH(Расходка[№],Поиск_расходки[Индекс1],0)),"")</f>
        <v/>
      </c>
      <c r="S33" s="116" t="str">
        <f>IFERROR(INDEX(Расходка[Наименование расходного материала],MATCH(Расходка[№],Поиск_расходки[Индекс2],0)),"")</f>
        <v/>
      </c>
      <c r="T33" s="116" t="str">
        <f>IFERROR(INDEX(Расходка[Наименование расходного материала],MATCH(Расходка[№],Поиск_расходки[Индекс3],0)),"")</f>
        <v/>
      </c>
      <c r="U33" s="116" t="str">
        <f>IFERROR(INDEX(Расходка[Наименование расходного материала],MATCH(Расходка[№],Поиск_расходки[Индекс4],0)),"")</f>
        <v/>
      </c>
      <c r="V33" s="116" t="str">
        <f>IFERROR(INDEX(Расходка[Наименование расходного материала],MATCH(Расходка[№],Поиск_расходки[Индекс5],0)),"")</f>
        <v/>
      </c>
      <c r="W33" s="116" t="str">
        <f>IFERROR(INDEX(Расходка[Наименование расходного материала],MATCH(Расходка[№],Поиск_расходки[Индекс6],0)),"")</f>
        <v/>
      </c>
      <c r="X33" s="116" t="str">
        <f>IFERROR(INDEX(Расходка[Наименование расходного материала],MATCH(Расходка[№],Поиск_расходки[Индекс7],0)),"")</f>
        <v>Rinato</v>
      </c>
      <c r="Y33" s="116" t="str">
        <f>IFERROR(INDEX(Расходка[Наименование расходного материала],MATCH(Расходка[№],Поиск_расходки[Индекс8],0)),"")</f>
        <v>Rinato</v>
      </c>
      <c r="Z33" s="116" t="str">
        <f>IFERROR(INDEX(Расходка[Наименование расходного материала],MATCH(Расходка[№],Поиск_расходки[Индекс9],0)),"")</f>
        <v>Rinato</v>
      </c>
      <c r="AA33" s="116" t="str">
        <f>IFERROR(INDEX(Расходка[Наименование расходного материала],MATCH(Расходка[№],Поиск_расходки[Индекс10],0)),"")</f>
        <v>Rinato</v>
      </c>
      <c r="AB33" s="116" t="str">
        <f>IFERROR(INDEX(Расходка[Наименование расходного материала],MATCH(Расходка[№],Поиск_расходки[Индекс11],0)),"")</f>
        <v>Rinato</v>
      </c>
      <c r="AC33" s="116" t="str">
        <f>IFERROR(INDEX(Расходка[Наименование расходного материала],MATCH(Расходка[№],Поиск_расходки[Индекс12],0)),"")</f>
        <v>Rinato</v>
      </c>
      <c r="AD33" s="116" t="str">
        <f>IFERROR(INDEX(Расходка[Наименование расходного материала],MATCH(Расходка[№],Поиск_расходки[Индекс13],0)),"")</f>
        <v>Rinato</v>
      </c>
      <c r="AF33" s="4" t="s">
        <v>5</v>
      </c>
      <c r="AG33" s="4" t="s">
        <v>436</v>
      </c>
    </row>
    <row r="34" spans="1:33">
      <c r="A34">
        <v>33</v>
      </c>
      <c r="B34" t="s">
        <v>3</v>
      </c>
      <c r="C34" s="1" t="s">
        <v>354</v>
      </c>
      <c r="E34" s="117">
        <f>IF(ISNUMBER(SEARCH('Карта учёта'!$B$13,Расходка[[#This Row],[Наименование расходного материала]])),MAX($E$1:E33)+1,0)</f>
        <v>0</v>
      </c>
      <c r="F34" s="117">
        <f>IF(ISNUMBER(SEARCH('Карта учёта'!$B$14,Расходка[[#This Row],[Наименование расходного материала]])),MAX($F$1:F33)+1,0)</f>
        <v>0</v>
      </c>
      <c r="G34" s="117">
        <f>IF(ISNUMBER(SEARCH('Карта учёта'!$B$15,Расходка[Наименование расходного материала])),MAX($G$1:G33)+1,0)</f>
        <v>0</v>
      </c>
      <c r="H34" s="117">
        <f>IF(ISNUMBER(SEARCH('Карта учёта'!$B$16,Расходка[Наименование расходного материала])),MAX($H$1:H33)+1,0)</f>
        <v>0</v>
      </c>
      <c r="I34" s="117">
        <f>IF(ISNUMBER(SEARCH('Карта учёта'!$B$17,Расходка[Наименование расходного материала])),MAX($I$1:I33)+1,0)</f>
        <v>0</v>
      </c>
      <c r="J34" s="117">
        <f>IF(ISNUMBER(SEARCH('Карта учёта'!$B$18,Расходка[Наименование расходного материала])),MAX($J$1:J33)+1,0)</f>
        <v>0</v>
      </c>
      <c r="K34" s="117">
        <f>IF(ISNUMBER(SEARCH('Карта учёта'!$B$19,Расходка[Наименование расходного материала])),MAX($K$1:K33)+1,0)</f>
        <v>33</v>
      </c>
      <c r="L34" s="117">
        <f>IF(ISNUMBER(SEARCH('Карта учёта'!$B$20,Расходка[Наименование расходного материала])),MAX($L$1:L33)+1,0)</f>
        <v>33</v>
      </c>
      <c r="M34" s="117">
        <f>IF(ISNUMBER(SEARCH('Карта учёта'!$B$21,Расходка[Наименование расходного материала])),MAX($M$1:M33)+1,0)</f>
        <v>33</v>
      </c>
      <c r="N34" s="117">
        <f>IF(ISNUMBER(SEARCH('Карта учёта'!$B$22,Расходка[Наименование расходного материала])),MAX($N$1:N33)+1,0)</f>
        <v>33</v>
      </c>
      <c r="O34" s="117">
        <f>IF(ISNUMBER(SEARCH('Карта учёта'!$B$23,Расходка[Наименование расходного материала])),MAX($O$1:O33)+1,0)</f>
        <v>33</v>
      </c>
      <c r="P34" s="117">
        <f>IF(ISNUMBER(SEARCH('Карта учёта'!$B$24,Расходка[Наименование расходного материала])),MAX($P$1:P33)+1,0)</f>
        <v>33</v>
      </c>
      <c r="Q34" s="117">
        <f>IF(ISNUMBER(SEARCH('Карта учёта'!$B$25,Расходка[Наименование расходного материала])),MAX($Q$1:Q33)+1,0)</f>
        <v>33</v>
      </c>
      <c r="R34" s="116" t="str">
        <f>IFERROR(INDEX(Расходка[Наименование расходного материала],MATCH(Расходка[№],Поиск_расходки[Индекс1],0)),"")</f>
        <v/>
      </c>
      <c r="S34" s="116" t="str">
        <f>IFERROR(INDEX(Расходка[Наименование расходного материала],MATCH(Расходка[№],Поиск_расходки[Индекс2],0)),"")</f>
        <v/>
      </c>
      <c r="T34" s="116" t="str">
        <f>IFERROR(INDEX(Расходка[Наименование расходного материала],MATCH(Расходка[№],Поиск_расходки[Индекс3],0)),"")</f>
        <v/>
      </c>
      <c r="U34" s="116" t="str">
        <f>IFERROR(INDEX(Расходка[Наименование расходного материала],MATCH(Расходка[№],Поиск_расходки[Индекс4],0)),"")</f>
        <v/>
      </c>
      <c r="V34" s="116" t="str">
        <f>IFERROR(INDEX(Расходка[Наименование расходного материала],MATCH(Расходка[№],Поиск_расходки[Индекс5],0)),"")</f>
        <v/>
      </c>
      <c r="W34" s="116" t="str">
        <f>IFERROR(INDEX(Расходка[Наименование расходного материала],MATCH(Расходка[№],Поиск_расходки[Индекс6],0)),"")</f>
        <v/>
      </c>
      <c r="X34" s="116" t="str">
        <f>IFERROR(INDEX(Расходка[Наименование расходного материала],MATCH(Расходка[№],Поиск_расходки[Индекс7],0)),"")</f>
        <v>Runthrough NS (Floppy)</v>
      </c>
      <c r="Y34" s="116" t="str">
        <f>IFERROR(INDEX(Расходка[Наименование расходного материала],MATCH(Расходка[№],Поиск_расходки[Индекс8],0)),"")</f>
        <v>Runthrough NS (Floppy)</v>
      </c>
      <c r="Z34" s="116" t="str">
        <f>IFERROR(INDEX(Расходка[Наименование расходного материала],MATCH(Расходка[№],Поиск_расходки[Индекс9],0)),"")</f>
        <v>Runthrough NS (Floppy)</v>
      </c>
      <c r="AA34" s="116" t="str">
        <f>IFERROR(INDEX(Расходка[Наименование расходного материала],MATCH(Расходка[№],Поиск_расходки[Индекс10],0)),"")</f>
        <v>Runthrough NS (Floppy)</v>
      </c>
      <c r="AB34" s="116" t="str">
        <f>IFERROR(INDEX(Расходка[Наименование расходного материала],MATCH(Расходка[№],Поиск_расходки[Индекс11],0)),"")</f>
        <v>Runthrough NS (Floppy)</v>
      </c>
      <c r="AC34" s="116" t="str">
        <f>IFERROR(INDEX(Расходка[Наименование расходного материала],MATCH(Расходка[№],Поиск_расходки[Индекс12],0)),"")</f>
        <v>Runthrough NS (Floppy)</v>
      </c>
      <c r="AD34" s="116" t="str">
        <f>IFERROR(INDEX(Расходка[Наименование расходного материала],MATCH(Расходка[№],Поиск_расходки[Индекс13],0)),"")</f>
        <v>Runthrough NS (Floppy)</v>
      </c>
      <c r="AF34" s="4" t="s">
        <v>5</v>
      </c>
      <c r="AG34" s="4" t="s">
        <v>437</v>
      </c>
    </row>
    <row r="35" spans="1:33">
      <c r="A35">
        <v>34</v>
      </c>
      <c r="B35" t="s">
        <v>3</v>
      </c>
      <c r="C35" s="1" t="s">
        <v>362</v>
      </c>
      <c r="E35" s="117">
        <f>IF(ISNUMBER(SEARCH('Карта учёта'!$B$13,Расходка[[#This Row],[Наименование расходного материала]])),MAX($E$1:E34)+1,0)</f>
        <v>0</v>
      </c>
      <c r="F35" s="117">
        <f>IF(ISNUMBER(SEARCH('Карта учёта'!$B$14,Расходка[[#This Row],[Наименование расходного материала]])),MAX($F$1:F34)+1,0)</f>
        <v>0</v>
      </c>
      <c r="G35" s="117">
        <f>IF(ISNUMBER(SEARCH('Карта учёта'!$B$15,Расходка[Наименование расходного материала])),MAX($G$1:G34)+1,0)</f>
        <v>0</v>
      </c>
      <c r="H35" s="117">
        <f>IF(ISNUMBER(SEARCH('Карта учёта'!$B$16,Расходка[Наименование расходного материала])),MAX($H$1:H34)+1,0)</f>
        <v>0</v>
      </c>
      <c r="I35" s="117">
        <f>IF(ISNUMBER(SEARCH('Карта учёта'!$B$17,Расходка[Наименование расходного материала])),MAX($I$1:I34)+1,0)</f>
        <v>0</v>
      </c>
      <c r="J35" s="117">
        <f>IF(ISNUMBER(SEARCH('Карта учёта'!$B$18,Расходка[Наименование расходного материала])),MAX($J$1:J34)+1,0)</f>
        <v>0</v>
      </c>
      <c r="K35" s="117">
        <f>IF(ISNUMBER(SEARCH('Карта учёта'!$B$19,Расходка[Наименование расходного материала])),MAX($K$1:K34)+1,0)</f>
        <v>34</v>
      </c>
      <c r="L35" s="117">
        <f>IF(ISNUMBER(SEARCH('Карта учёта'!$B$20,Расходка[Наименование расходного материала])),MAX($L$1:L34)+1,0)</f>
        <v>34</v>
      </c>
      <c r="M35" s="117">
        <f>IF(ISNUMBER(SEARCH('Карта учёта'!$B$21,Расходка[Наименование расходного материала])),MAX($M$1:M34)+1,0)</f>
        <v>34</v>
      </c>
      <c r="N35" s="117">
        <f>IF(ISNUMBER(SEARCH('Карта учёта'!$B$22,Расходка[Наименование расходного материала])),MAX($N$1:N34)+1,0)</f>
        <v>34</v>
      </c>
      <c r="O35" s="117">
        <f>IF(ISNUMBER(SEARCH('Карта учёта'!$B$23,Расходка[Наименование расходного материала])),MAX($O$1:O34)+1,0)</f>
        <v>34</v>
      </c>
      <c r="P35" s="117">
        <f>IF(ISNUMBER(SEARCH('Карта учёта'!$B$24,Расходка[Наименование расходного материала])),MAX($P$1:P34)+1,0)</f>
        <v>34</v>
      </c>
      <c r="Q35" s="117">
        <f>IF(ISNUMBER(SEARCH('Карта учёта'!$B$25,Расходка[Наименование расходного материала])),MAX($Q$1:Q34)+1,0)</f>
        <v>34</v>
      </c>
      <c r="R35" s="116" t="str">
        <f>IFERROR(INDEX(Расходка[Наименование расходного материала],MATCH(Расходка[№],Поиск_расходки[Индекс1],0)),"")</f>
        <v/>
      </c>
      <c r="S35" s="116" t="str">
        <f>IFERROR(INDEX(Расходка[Наименование расходного материала],MATCH(Расходка[№],Поиск_расходки[Индекс2],0)),"")</f>
        <v/>
      </c>
      <c r="T35" s="116" t="str">
        <f>IFERROR(INDEX(Расходка[Наименование расходного материала],MATCH(Расходка[№],Поиск_расходки[Индекс3],0)),"")</f>
        <v/>
      </c>
      <c r="U35" s="116" t="str">
        <f>IFERROR(INDEX(Расходка[Наименование расходного материала],MATCH(Расходка[№],Поиск_расходки[Индекс4],0)),"")</f>
        <v/>
      </c>
      <c r="V35" s="116" t="str">
        <f>IFERROR(INDEX(Расходка[Наименование расходного материала],MATCH(Расходка[№],Поиск_расходки[Индекс5],0)),"")</f>
        <v/>
      </c>
      <c r="W35" s="116" t="str">
        <f>IFERROR(INDEX(Расходка[Наименование расходного материала],MATCH(Расходка[№],Поиск_расходки[Индекс6],0)),"")</f>
        <v/>
      </c>
      <c r="X35" s="116" t="str">
        <f>IFERROR(INDEX(Расходка[Наименование расходного материала],MATCH(Расходка[№],Поиск_расходки[Индекс7],0)),"")</f>
        <v>Runthrough NS Hypercoat</v>
      </c>
      <c r="Y35" s="116" t="str">
        <f>IFERROR(INDEX(Расходка[Наименование расходного материала],MATCH(Расходка[№],Поиск_расходки[Индекс8],0)),"")</f>
        <v>Runthrough NS Hypercoat</v>
      </c>
      <c r="Z35" s="116" t="str">
        <f>IFERROR(INDEX(Расходка[Наименование расходного материала],MATCH(Расходка[№],Поиск_расходки[Индекс9],0)),"")</f>
        <v>Runthrough NS Hypercoat</v>
      </c>
      <c r="AA35" s="116" t="str">
        <f>IFERROR(INDEX(Расходка[Наименование расходного материала],MATCH(Расходка[№],Поиск_расходки[Индекс10],0)),"")</f>
        <v>Runthrough NS Hypercoat</v>
      </c>
      <c r="AB35" s="116" t="str">
        <f>IFERROR(INDEX(Расходка[Наименование расходного материала],MATCH(Расходка[№],Поиск_расходки[Индекс11],0)),"")</f>
        <v>Runthrough NS Hypercoat</v>
      </c>
      <c r="AC35" s="116" t="str">
        <f>IFERROR(INDEX(Расходка[Наименование расходного материала],MATCH(Расходка[№],Поиск_расходки[Индекс12],0)),"")</f>
        <v>Runthrough NS Hypercoat</v>
      </c>
      <c r="AD35" s="116" t="str">
        <f>IFERROR(INDEX(Расходка[Наименование расходного материала],MATCH(Расходка[№],Поиск_расходки[Индекс13],0)),"")</f>
        <v>Runthrough NS Hypercoat</v>
      </c>
      <c r="AF35" s="4" t="s">
        <v>5</v>
      </c>
      <c r="AG35" s="4" t="s">
        <v>496</v>
      </c>
    </row>
    <row r="36" spans="1:33">
      <c r="A36">
        <v>35</v>
      </c>
      <c r="B36" t="s">
        <v>3</v>
      </c>
      <c r="C36" s="1" t="s">
        <v>361</v>
      </c>
      <c r="E36" s="117">
        <f>IF(ISNUMBER(SEARCH('Карта учёта'!$B$13,Расходка[[#This Row],[Наименование расходного материала]])),MAX($E$1:E35)+1,0)</f>
        <v>0</v>
      </c>
      <c r="F36" s="117">
        <f>IF(ISNUMBER(SEARCH('Карта учёта'!$B$14,Расходка[[#This Row],[Наименование расходного материала]])),MAX($F$1:F35)+1,0)</f>
        <v>0</v>
      </c>
      <c r="G36" s="117">
        <f>IF(ISNUMBER(SEARCH('Карта учёта'!$B$15,Расходка[Наименование расходного материала])),MAX($G$1:G35)+1,0)</f>
        <v>0</v>
      </c>
      <c r="H36" s="117">
        <f>IF(ISNUMBER(SEARCH('Карта учёта'!$B$16,Расходка[Наименование расходного материала])),MAX($H$1:H35)+1,0)</f>
        <v>0</v>
      </c>
      <c r="I36" s="117">
        <f>IF(ISNUMBER(SEARCH('Карта учёта'!$B$17,Расходка[Наименование расходного материала])),MAX($I$1:I35)+1,0)</f>
        <v>0</v>
      </c>
      <c r="J36" s="117">
        <f>IF(ISNUMBER(SEARCH('Карта учёта'!$B$18,Расходка[Наименование расходного материала])),MAX($J$1:J35)+1,0)</f>
        <v>0</v>
      </c>
      <c r="K36" s="117">
        <f>IF(ISNUMBER(SEARCH('Карта учёта'!$B$19,Расходка[Наименование расходного материала])),MAX($K$1:K35)+1,0)</f>
        <v>35</v>
      </c>
      <c r="L36" s="117">
        <f>IF(ISNUMBER(SEARCH('Карта учёта'!$B$20,Расходка[Наименование расходного материала])),MAX($L$1:L35)+1,0)</f>
        <v>35</v>
      </c>
      <c r="M36" s="117">
        <f>IF(ISNUMBER(SEARCH('Карта учёта'!$B$21,Расходка[Наименование расходного материала])),MAX($M$1:M35)+1,0)</f>
        <v>35</v>
      </c>
      <c r="N36" s="117">
        <f>IF(ISNUMBER(SEARCH('Карта учёта'!$B$22,Расходка[Наименование расходного материала])),MAX($N$1:N35)+1,0)</f>
        <v>35</v>
      </c>
      <c r="O36" s="117">
        <f>IF(ISNUMBER(SEARCH('Карта учёта'!$B$23,Расходка[Наименование расходного материала])),MAX($O$1:O35)+1,0)</f>
        <v>35</v>
      </c>
      <c r="P36" s="117">
        <f>IF(ISNUMBER(SEARCH('Карта учёта'!$B$24,Расходка[Наименование расходного материала])),MAX($P$1:P35)+1,0)</f>
        <v>35</v>
      </c>
      <c r="Q36" s="117">
        <f>IF(ISNUMBER(SEARCH('Карта учёта'!$B$25,Расходка[Наименование расходного материала])),MAX($Q$1:Q35)+1,0)</f>
        <v>35</v>
      </c>
      <c r="R36" s="116" t="str">
        <f>IFERROR(INDEX(Расходка[Наименование расходного материала],MATCH(Расходка[№],Поиск_расходки[Индекс1],0)),"")</f>
        <v/>
      </c>
      <c r="S36" s="116" t="str">
        <f>IFERROR(INDEX(Расходка[Наименование расходного материала],MATCH(Расходка[№],Поиск_расходки[Индекс2],0)),"")</f>
        <v/>
      </c>
      <c r="T36" s="116" t="str">
        <f>IFERROR(INDEX(Расходка[Наименование расходного материала],MATCH(Расходка[№],Поиск_расходки[Индекс3],0)),"")</f>
        <v/>
      </c>
      <c r="U36" s="116" t="str">
        <f>IFERROR(INDEX(Расходка[Наименование расходного материала],MATCH(Расходка[№],Поиск_расходки[Индекс4],0)),"")</f>
        <v/>
      </c>
      <c r="V36" s="116" t="str">
        <f>IFERROR(INDEX(Расходка[Наименование расходного материала],MATCH(Расходка[№],Поиск_расходки[Индекс5],0)),"")</f>
        <v/>
      </c>
      <c r="W36" s="116" t="str">
        <f>IFERROR(INDEX(Расходка[Наименование расходного материала],MATCH(Расходка[№],Поиск_расходки[Индекс6],0)),"")</f>
        <v/>
      </c>
      <c r="X36" s="116" t="str">
        <f>IFERROR(INDEX(Расходка[Наименование расходного материала],MATCH(Расходка[№],Поиск_расходки[Индекс7],0)),"")</f>
        <v>Runthrough NS Intermediate</v>
      </c>
      <c r="Y36" s="116" t="str">
        <f>IFERROR(INDEX(Расходка[Наименование расходного материала],MATCH(Расходка[№],Поиск_расходки[Индекс8],0)),"")</f>
        <v>Runthrough NS Intermediate</v>
      </c>
      <c r="Z36" s="116" t="str">
        <f>IFERROR(INDEX(Расходка[Наименование расходного материала],MATCH(Расходка[№],Поиск_расходки[Индекс9],0)),"")</f>
        <v>Runthrough NS Intermediate</v>
      </c>
      <c r="AA36" s="116" t="str">
        <f>IFERROR(INDEX(Расходка[Наименование расходного материала],MATCH(Расходка[№],Поиск_расходки[Индекс10],0)),"")</f>
        <v>Runthrough NS Intermediate</v>
      </c>
      <c r="AB36" s="116" t="str">
        <f>IFERROR(INDEX(Расходка[Наименование расходного материала],MATCH(Расходка[№],Поиск_расходки[Индекс11],0)),"")</f>
        <v>Runthrough NS Intermediate</v>
      </c>
      <c r="AC36" s="116" t="str">
        <f>IFERROR(INDEX(Расходка[Наименование расходного материала],MATCH(Расходка[№],Поиск_расходки[Индекс12],0)),"")</f>
        <v>Runthrough NS Intermediate</v>
      </c>
      <c r="AD36" s="116" t="str">
        <f>IFERROR(INDEX(Расходка[Наименование расходного материала],MATCH(Расходка[№],Поиск_расходки[Индекс13],0)),"")</f>
        <v>Runthrough NS Intermediate</v>
      </c>
      <c r="AF36" s="4" t="s">
        <v>5</v>
      </c>
      <c r="AG36" s="4" t="s">
        <v>438</v>
      </c>
    </row>
    <row r="37" spans="1:33">
      <c r="A37">
        <v>36</v>
      </c>
      <c r="B37" t="s">
        <v>3</v>
      </c>
      <c r="C37" t="s">
        <v>316</v>
      </c>
      <c r="E37" s="117">
        <f>IF(ISNUMBER(SEARCH('Карта учёта'!$B$13,Расходка[[#This Row],[Наименование расходного материала]])),MAX($E$1:E36)+1,0)</f>
        <v>0</v>
      </c>
      <c r="F37" s="117">
        <f>IF(ISNUMBER(SEARCH('Карта учёта'!$B$14,Расходка[[#This Row],[Наименование расходного материала]])),MAX($F$1:F36)+1,0)</f>
        <v>0</v>
      </c>
      <c r="G37" s="117">
        <f>IF(ISNUMBER(SEARCH('Карта учёта'!$B$15,Расходка[Наименование расходного материала])),MAX($G$1:G36)+1,0)</f>
        <v>0</v>
      </c>
      <c r="H37" s="117">
        <f>IF(ISNUMBER(SEARCH('Карта учёта'!$B$16,Расходка[Наименование расходного материала])),MAX($H$1:H36)+1,0)</f>
        <v>0</v>
      </c>
      <c r="I37" s="117">
        <f>IF(ISNUMBER(SEARCH('Карта учёта'!$B$17,Расходка[Наименование расходного материала])),MAX($I$1:I36)+1,0)</f>
        <v>0</v>
      </c>
      <c r="J37" s="117">
        <f>IF(ISNUMBER(SEARCH('Карта учёта'!$B$18,Расходка[Наименование расходного материала])),MAX($J$1:J36)+1,0)</f>
        <v>0</v>
      </c>
      <c r="K37" s="117">
        <f>IF(ISNUMBER(SEARCH('Карта учёта'!$B$19,Расходка[Наименование расходного материала])),MAX($K$1:K36)+1,0)</f>
        <v>36</v>
      </c>
      <c r="L37" s="117">
        <f>IF(ISNUMBER(SEARCH('Карта учёта'!$B$20,Расходка[Наименование расходного материала])),MAX($L$1:L36)+1,0)</f>
        <v>36</v>
      </c>
      <c r="M37" s="117">
        <f>IF(ISNUMBER(SEARCH('Карта учёта'!$B$21,Расходка[Наименование расходного материала])),MAX($M$1:M36)+1,0)</f>
        <v>36</v>
      </c>
      <c r="N37" s="117">
        <f>IF(ISNUMBER(SEARCH('Карта учёта'!$B$22,Расходка[Наименование расходного материала])),MAX($N$1:N36)+1,0)</f>
        <v>36</v>
      </c>
      <c r="O37" s="117">
        <f>IF(ISNUMBER(SEARCH('Карта учёта'!$B$23,Расходка[Наименование расходного материала])),MAX($O$1:O36)+1,0)</f>
        <v>36</v>
      </c>
      <c r="P37" s="117">
        <f>IF(ISNUMBER(SEARCH('Карта учёта'!$B$24,Расходка[Наименование расходного материала])),MAX($P$1:P36)+1,0)</f>
        <v>36</v>
      </c>
      <c r="Q37" s="117">
        <f>IF(ISNUMBER(SEARCH('Карта учёта'!$B$25,Расходка[Наименование расходного материала])),MAX($Q$1:Q36)+1,0)</f>
        <v>36</v>
      </c>
      <c r="R37" s="116" t="str">
        <f>IFERROR(INDEX(Расходка[Наименование расходного материала],MATCH(Расходка[№],Поиск_расходки[Индекс1],0)),"")</f>
        <v/>
      </c>
      <c r="S37" s="116" t="str">
        <f>IFERROR(INDEX(Расходка[Наименование расходного материала],MATCH(Расходка[№],Поиск_расходки[Индекс2],0)),"")</f>
        <v/>
      </c>
      <c r="T37" s="116" t="str">
        <f>IFERROR(INDEX(Расходка[Наименование расходного материала],MATCH(Расходка[№],Поиск_расходки[Индекс3],0)),"")</f>
        <v/>
      </c>
      <c r="U37" s="116" t="str">
        <f>IFERROR(INDEX(Расходка[Наименование расходного материала],MATCH(Расходка[№],Поиск_расходки[Индекс4],0)),"")</f>
        <v/>
      </c>
      <c r="V37" s="116" t="str">
        <f>IFERROR(INDEX(Расходка[Наименование расходного материала],MATCH(Расходка[№],Поиск_расходки[Индекс5],0)),"")</f>
        <v/>
      </c>
      <c r="W37" s="116" t="str">
        <f>IFERROR(INDEX(Расходка[Наименование расходного материала],MATCH(Расходка[№],Поиск_расходки[Индекс6],0)),"")</f>
        <v/>
      </c>
      <c r="X37" s="116" t="str">
        <f>IFERROR(INDEX(Расходка[Наименование расходного материала],MATCH(Расходка[№],Поиск_расходки[Индекс7],0)),"")</f>
        <v>Sion</v>
      </c>
      <c r="Y37" s="116" t="str">
        <f>IFERROR(INDEX(Расходка[Наименование расходного материала],MATCH(Расходка[№],Поиск_расходки[Индекс8],0)),"")</f>
        <v>Sion</v>
      </c>
      <c r="Z37" s="116" t="str">
        <f>IFERROR(INDEX(Расходка[Наименование расходного материала],MATCH(Расходка[№],Поиск_расходки[Индекс9],0)),"")</f>
        <v>Sion</v>
      </c>
      <c r="AA37" s="116" t="str">
        <f>IFERROR(INDEX(Расходка[Наименование расходного материала],MATCH(Расходка[№],Поиск_расходки[Индекс10],0)),"")</f>
        <v>Sion</v>
      </c>
      <c r="AB37" s="116" t="str">
        <f>IFERROR(INDEX(Расходка[Наименование расходного материала],MATCH(Расходка[№],Поиск_расходки[Индекс11],0)),"")</f>
        <v>Sion</v>
      </c>
      <c r="AC37" s="116" t="str">
        <f>IFERROR(INDEX(Расходка[Наименование расходного материала],MATCH(Расходка[№],Поиск_расходки[Индекс12],0)),"")</f>
        <v>Sion</v>
      </c>
      <c r="AD37" s="116" t="str">
        <f>IFERROR(INDEX(Расходка[Наименование расходного материала],MATCH(Расходка[№],Поиск_расходки[Индекс13],0)),"")</f>
        <v>Sion</v>
      </c>
      <c r="AF37" s="4" t="s">
        <v>6</v>
      </c>
      <c r="AG37" s="4" t="s">
        <v>411</v>
      </c>
    </row>
    <row r="38" spans="1:33">
      <c r="A38">
        <v>37</v>
      </c>
      <c r="B38" t="s">
        <v>3</v>
      </c>
      <c r="C38" t="s">
        <v>381</v>
      </c>
      <c r="E38" s="117">
        <f>IF(ISNUMBER(SEARCH('Карта учёта'!$B$13,Расходка[[#This Row],[Наименование расходного материала]])),MAX($E$1:E37)+1,0)</f>
        <v>0</v>
      </c>
      <c r="F38" s="117">
        <f>IF(ISNUMBER(SEARCH('Карта учёта'!$B$14,Расходка[[#This Row],[Наименование расходного материала]])),MAX($F$1:F37)+1,0)</f>
        <v>0</v>
      </c>
      <c r="G38" s="117">
        <f>IF(ISNUMBER(SEARCH('Карта учёта'!$B$15,Расходка[Наименование расходного материала])),MAX($G$1:G37)+1,0)</f>
        <v>0</v>
      </c>
      <c r="H38" s="117">
        <f>IF(ISNUMBER(SEARCH('Карта учёта'!$B$16,Расходка[Наименование расходного материала])),MAX($H$1:H37)+1,0)</f>
        <v>0</v>
      </c>
      <c r="I38" s="117">
        <f>IF(ISNUMBER(SEARCH('Карта учёта'!$B$17,Расходка[Наименование расходного материала])),MAX($I$1:I37)+1,0)</f>
        <v>0</v>
      </c>
      <c r="J38" s="117">
        <f>IF(ISNUMBER(SEARCH('Карта учёта'!$B$18,Расходка[Наименование расходного материала])),MAX($J$1:J37)+1,0)</f>
        <v>0</v>
      </c>
      <c r="K38" s="117">
        <f>IF(ISNUMBER(SEARCH('Карта учёта'!$B$19,Расходка[Наименование расходного материала])),MAX($K$1:K37)+1,0)</f>
        <v>37</v>
      </c>
      <c r="L38" s="117">
        <f>IF(ISNUMBER(SEARCH('Карта учёта'!$B$20,Расходка[Наименование расходного материала])),MAX($L$1:L37)+1,0)</f>
        <v>37</v>
      </c>
      <c r="M38" s="117">
        <f>IF(ISNUMBER(SEARCH('Карта учёта'!$B$21,Расходка[Наименование расходного материала])),MAX($M$1:M37)+1,0)</f>
        <v>37</v>
      </c>
      <c r="N38" s="117">
        <f>IF(ISNUMBER(SEARCH('Карта учёта'!$B$22,Расходка[Наименование расходного материала])),MAX($N$1:N37)+1,0)</f>
        <v>37</v>
      </c>
      <c r="O38" s="117">
        <f>IF(ISNUMBER(SEARCH('Карта учёта'!$B$23,Расходка[Наименование расходного материала])),MAX($O$1:O37)+1,0)</f>
        <v>37</v>
      </c>
      <c r="P38" s="117">
        <f>IF(ISNUMBER(SEARCH('Карта учёта'!$B$24,Расходка[Наименование расходного материала])),MAX($P$1:P37)+1,0)</f>
        <v>37</v>
      </c>
      <c r="Q38" s="117">
        <f>IF(ISNUMBER(SEARCH('Карта учёта'!$B$25,Расходка[Наименование расходного материала])),MAX($Q$1:Q37)+1,0)</f>
        <v>37</v>
      </c>
      <c r="R38" s="116" t="str">
        <f>IFERROR(INDEX(Расходка[Наименование расходного материала],MATCH(Расходка[№],Поиск_расходки[Индекс1],0)),"")</f>
        <v/>
      </c>
      <c r="S38" s="116" t="str">
        <f>IFERROR(INDEX(Расходка[Наименование расходного материала],MATCH(Расходка[№],Поиск_расходки[Индекс2],0)),"")</f>
        <v/>
      </c>
      <c r="T38" s="116" t="str">
        <f>IFERROR(INDEX(Расходка[Наименование расходного материала],MATCH(Расходка[№],Поиск_расходки[Индекс3],0)),"")</f>
        <v/>
      </c>
      <c r="U38" s="116" t="str">
        <f>IFERROR(INDEX(Расходка[Наименование расходного материала],MATCH(Расходка[№],Поиск_расходки[Индекс4],0)),"")</f>
        <v/>
      </c>
      <c r="V38" s="116" t="str">
        <f>IFERROR(INDEX(Расходка[Наименование расходного материала],MATCH(Расходка[№],Поиск_расходки[Индекс5],0)),"")</f>
        <v/>
      </c>
      <c r="W38" s="116" t="str">
        <f>IFERROR(INDEX(Расходка[Наименование расходного материала],MATCH(Расходка[№],Поиск_расходки[Индекс6],0)),"")</f>
        <v/>
      </c>
      <c r="X38" s="116" t="str">
        <f>IFERROR(INDEX(Расходка[Наименование расходного материала],MATCH(Расходка[№],Поиск_расходки[Индекс7],0)),"")</f>
        <v>Sion Black</v>
      </c>
      <c r="Y38" s="116" t="str">
        <f>IFERROR(INDEX(Расходка[Наименование расходного материала],MATCH(Расходка[№],Поиск_расходки[Индекс8],0)),"")</f>
        <v>Sion Black</v>
      </c>
      <c r="Z38" s="116" t="str">
        <f>IFERROR(INDEX(Расходка[Наименование расходного материала],MATCH(Расходка[№],Поиск_расходки[Индекс9],0)),"")</f>
        <v>Sion Black</v>
      </c>
      <c r="AA38" s="116" t="str">
        <f>IFERROR(INDEX(Расходка[Наименование расходного материала],MATCH(Расходка[№],Поиск_расходки[Индекс10],0)),"")</f>
        <v>Sion Black</v>
      </c>
      <c r="AB38" s="116" t="str">
        <f>IFERROR(INDEX(Расходка[Наименование расходного материала],MATCH(Расходка[№],Поиск_расходки[Индекс11],0)),"")</f>
        <v>Sion Black</v>
      </c>
      <c r="AC38" s="116" t="str">
        <f>IFERROR(INDEX(Расходка[Наименование расходного материала],MATCH(Расходка[№],Поиск_расходки[Индекс12],0)),"")</f>
        <v>Sion Black</v>
      </c>
      <c r="AD38" s="116" t="str">
        <f>IFERROR(INDEX(Расходка[Наименование расходного материала],MATCH(Расходка[№],Поиск_расходки[Индекс13],0)),"")</f>
        <v>Sion Black</v>
      </c>
      <c r="AF38" s="4" t="s">
        <v>6</v>
      </c>
      <c r="AG38" s="4" t="s">
        <v>498</v>
      </c>
    </row>
    <row r="39" spans="1:33">
      <c r="A39">
        <v>38</v>
      </c>
      <c r="B39" t="s">
        <v>3</v>
      </c>
      <c r="C39" s="1" t="s">
        <v>375</v>
      </c>
      <c r="E39" s="117">
        <f>IF(ISNUMBER(SEARCH('Карта учёта'!$B$13,Расходка[[#This Row],[Наименование расходного материала]])),MAX($E$1:E38)+1,0)</f>
        <v>0</v>
      </c>
      <c r="F39" s="117">
        <f>IF(ISNUMBER(SEARCH('Карта учёта'!$B$14,Расходка[[#This Row],[Наименование расходного материала]])),MAX($F$1:F38)+1,0)</f>
        <v>0</v>
      </c>
      <c r="G39" s="117">
        <f>IF(ISNUMBER(SEARCH('Карта учёта'!$B$15,Расходка[Наименование расходного материала])),MAX($G$1:G38)+1,0)</f>
        <v>0</v>
      </c>
      <c r="H39" s="117">
        <f>IF(ISNUMBER(SEARCH('Карта учёта'!$B$16,Расходка[Наименование расходного материала])),MAX($H$1:H38)+1,0)</f>
        <v>0</v>
      </c>
      <c r="I39" s="117">
        <f>IF(ISNUMBER(SEARCH('Карта учёта'!$B$17,Расходка[Наименование расходного материала])),MAX($I$1:I38)+1,0)</f>
        <v>0</v>
      </c>
      <c r="J39" s="117">
        <f>IF(ISNUMBER(SEARCH('Карта учёта'!$B$18,Расходка[Наименование расходного материала])),MAX($J$1:J38)+1,0)</f>
        <v>0</v>
      </c>
      <c r="K39" s="117">
        <f>IF(ISNUMBER(SEARCH('Карта учёта'!$B$19,Расходка[Наименование расходного материала])),MAX($K$1:K38)+1,0)</f>
        <v>38</v>
      </c>
      <c r="L39" s="117">
        <f>IF(ISNUMBER(SEARCH('Карта учёта'!$B$20,Расходка[Наименование расходного материала])),MAX($L$1:L38)+1,0)</f>
        <v>38</v>
      </c>
      <c r="M39" s="117">
        <f>IF(ISNUMBER(SEARCH('Карта учёта'!$B$21,Расходка[Наименование расходного материала])),MAX($M$1:M38)+1,0)</f>
        <v>38</v>
      </c>
      <c r="N39" s="117">
        <f>IF(ISNUMBER(SEARCH('Карта учёта'!$B$22,Расходка[Наименование расходного материала])),MAX($N$1:N38)+1,0)</f>
        <v>38</v>
      </c>
      <c r="O39" s="117">
        <f>IF(ISNUMBER(SEARCH('Карта учёта'!$B$23,Расходка[Наименование расходного материала])),MAX($O$1:O38)+1,0)</f>
        <v>38</v>
      </c>
      <c r="P39" s="117">
        <f>IF(ISNUMBER(SEARCH('Карта учёта'!$B$24,Расходка[Наименование расходного материала])),MAX($P$1:P38)+1,0)</f>
        <v>38</v>
      </c>
      <c r="Q39" s="117">
        <f>IF(ISNUMBER(SEARCH('Карта учёта'!$B$25,Расходка[Наименование расходного материала])),MAX($Q$1:Q38)+1,0)</f>
        <v>38</v>
      </c>
      <c r="R39" s="116" t="str">
        <f>IFERROR(INDEX(Расходка[Наименование расходного материала],MATCH(Расходка[№],Поиск_расходки[Индекс1],0)),"")</f>
        <v/>
      </c>
      <c r="S39" s="116" t="str">
        <f>IFERROR(INDEX(Расходка[Наименование расходного материала],MATCH(Расходка[№],Поиск_расходки[Индекс2],0)),"")</f>
        <v/>
      </c>
      <c r="T39" s="116" t="str">
        <f>IFERROR(INDEX(Расходка[Наименование расходного материала],MATCH(Расходка[№],Поиск_расходки[Индекс3],0)),"")</f>
        <v/>
      </c>
      <c r="U39" s="116" t="str">
        <f>IFERROR(INDEX(Расходка[Наименование расходного материала],MATCH(Расходка[№],Поиск_расходки[Индекс4],0)),"")</f>
        <v/>
      </c>
      <c r="V39" s="116" t="str">
        <f>IFERROR(INDEX(Расходка[Наименование расходного материала],MATCH(Расходка[№],Поиск_расходки[Индекс5],0)),"")</f>
        <v/>
      </c>
      <c r="W39" s="116" t="str">
        <f>IFERROR(INDEX(Расходка[Наименование расходного материала],MATCH(Расходка[№],Поиск_расходки[Индекс6],0)),"")</f>
        <v/>
      </c>
      <c r="X39" s="116" t="str">
        <f>IFERROR(INDEX(Расходка[Наименование расходного материала],MATCH(Расходка[№],Поиск_расходки[Индекс7],0)),"")</f>
        <v>Sion Blue</v>
      </c>
      <c r="Y39" s="116" t="str">
        <f>IFERROR(INDEX(Расходка[Наименование расходного материала],MATCH(Расходка[№],Поиск_расходки[Индекс8],0)),"")</f>
        <v>Sion Blue</v>
      </c>
      <c r="Z39" s="116" t="str">
        <f>IFERROR(INDEX(Расходка[Наименование расходного материала],MATCH(Расходка[№],Поиск_расходки[Индекс9],0)),"")</f>
        <v>Sion Blue</v>
      </c>
      <c r="AA39" s="116" t="str">
        <f>IFERROR(INDEX(Расходка[Наименование расходного материала],MATCH(Расходка[№],Поиск_расходки[Индекс10],0)),"")</f>
        <v>Sion Blue</v>
      </c>
      <c r="AB39" s="116" t="str">
        <f>IFERROR(INDEX(Расходка[Наименование расходного материала],MATCH(Расходка[№],Поиск_расходки[Индекс11],0)),"")</f>
        <v>Sion Blue</v>
      </c>
      <c r="AC39" s="116" t="str">
        <f>IFERROR(INDEX(Расходка[Наименование расходного материала],MATCH(Расходка[№],Поиск_расходки[Индекс12],0)),"")</f>
        <v>Sion Blue</v>
      </c>
      <c r="AD39" s="116" t="str">
        <f>IFERROR(INDEX(Расходка[Наименование расходного материала],MATCH(Расходка[№],Поиск_расходки[Индекс13],0)),"")</f>
        <v>Sion Blue</v>
      </c>
      <c r="AF39" s="4" t="s">
        <v>6</v>
      </c>
      <c r="AG39" s="4" t="s">
        <v>439</v>
      </c>
    </row>
    <row r="40" spans="1:33">
      <c r="A40">
        <v>39</v>
      </c>
      <c r="B40" t="s">
        <v>3</v>
      </c>
      <c r="C40" t="s">
        <v>318</v>
      </c>
      <c r="E40" s="117">
        <f>IF(ISNUMBER(SEARCH('Карта учёта'!$B$13,Расходка[[#This Row],[Наименование расходного материала]])),MAX($E$1:E39)+1,0)</f>
        <v>0</v>
      </c>
      <c r="F40" s="117">
        <f>IF(ISNUMBER(SEARCH('Карта учёта'!$B$14,Расходка[[#This Row],[Наименование расходного материала]])),MAX($F$1:F39)+1,0)</f>
        <v>0</v>
      </c>
      <c r="G40" s="117">
        <f>IF(ISNUMBER(SEARCH('Карта учёта'!$B$15,Расходка[Наименование расходного материала])),MAX($G$1:G39)+1,0)</f>
        <v>0</v>
      </c>
      <c r="H40" s="117">
        <f>IF(ISNUMBER(SEARCH('Карта учёта'!$B$16,Расходка[Наименование расходного материала])),MAX($H$1:H39)+1,0)</f>
        <v>0</v>
      </c>
      <c r="I40" s="117">
        <f>IF(ISNUMBER(SEARCH('Карта учёта'!$B$17,Расходка[Наименование расходного материала])),MAX($I$1:I39)+1,0)</f>
        <v>0</v>
      </c>
      <c r="J40" s="117">
        <f>IF(ISNUMBER(SEARCH('Карта учёта'!$B$18,Расходка[Наименование расходного материала])),MAX($J$1:J39)+1,0)</f>
        <v>0</v>
      </c>
      <c r="K40" s="117">
        <f>IF(ISNUMBER(SEARCH('Карта учёта'!$B$19,Расходка[Наименование расходного материала])),MAX($K$1:K39)+1,0)</f>
        <v>39</v>
      </c>
      <c r="L40" s="117">
        <f>IF(ISNUMBER(SEARCH('Карта учёта'!$B$20,Расходка[Наименование расходного материала])),MAX($L$1:L39)+1,0)</f>
        <v>39</v>
      </c>
      <c r="M40" s="117">
        <f>IF(ISNUMBER(SEARCH('Карта учёта'!$B$21,Расходка[Наименование расходного материала])),MAX($M$1:M39)+1,0)</f>
        <v>39</v>
      </c>
      <c r="N40" s="117">
        <f>IF(ISNUMBER(SEARCH('Карта учёта'!$B$22,Расходка[Наименование расходного материала])),MAX($N$1:N39)+1,0)</f>
        <v>39</v>
      </c>
      <c r="O40" s="117">
        <f>IF(ISNUMBER(SEARCH('Карта учёта'!$B$23,Расходка[Наименование расходного материала])),MAX($O$1:O39)+1,0)</f>
        <v>39</v>
      </c>
      <c r="P40" s="117">
        <f>IF(ISNUMBER(SEARCH('Карта учёта'!$B$24,Расходка[Наименование расходного материала])),MAX($P$1:P39)+1,0)</f>
        <v>39</v>
      </c>
      <c r="Q40" s="117">
        <f>IF(ISNUMBER(SEARCH('Карта учёта'!$B$25,Расходка[Наименование расходного материала])),MAX($Q$1:Q39)+1,0)</f>
        <v>39</v>
      </c>
      <c r="R40" s="116" t="str">
        <f>IFERROR(INDEX(Расходка[Наименование расходного материала],MATCH(Расходка[№],Поиск_расходки[Индекс1],0)),"")</f>
        <v/>
      </c>
      <c r="S40" s="116" t="str">
        <f>IFERROR(INDEX(Расходка[Наименование расходного материала],MATCH(Расходка[№],Поиск_расходки[Индекс2],0)),"")</f>
        <v/>
      </c>
      <c r="T40" s="116" t="str">
        <f>IFERROR(INDEX(Расходка[Наименование расходного материала],MATCH(Расходка[№],Поиск_расходки[Индекс3],0)),"")</f>
        <v/>
      </c>
      <c r="U40" s="116" t="str">
        <f>IFERROR(INDEX(Расходка[Наименование расходного материала],MATCH(Расходка[№],Поиск_расходки[Индекс4],0)),"")</f>
        <v/>
      </c>
      <c r="V40" s="116" t="str">
        <f>IFERROR(INDEX(Расходка[Наименование расходного материала],MATCH(Расходка[№],Поиск_расходки[Индекс5],0)),"")</f>
        <v/>
      </c>
      <c r="W40" s="116" t="str">
        <f>IFERROR(INDEX(Расходка[Наименование расходного материала],MATCH(Расходка[№],Поиск_расходки[Индекс6],0)),"")</f>
        <v/>
      </c>
      <c r="X40" s="116" t="str">
        <f>IFERROR(INDEX(Расходка[Наименование расходного материала],MATCH(Расходка[№],Поиск_расходки[Индекс7],0)),"")</f>
        <v>Thunder</v>
      </c>
      <c r="Y40" s="116" t="str">
        <f>IFERROR(INDEX(Расходка[Наименование расходного материала],MATCH(Расходка[№],Поиск_расходки[Индекс8],0)),"")</f>
        <v>Thunder</v>
      </c>
      <c r="Z40" s="116" t="str">
        <f>IFERROR(INDEX(Расходка[Наименование расходного материала],MATCH(Расходка[№],Поиск_расходки[Индекс9],0)),"")</f>
        <v>Thunder</v>
      </c>
      <c r="AA40" s="116" t="str">
        <f>IFERROR(INDEX(Расходка[Наименование расходного материала],MATCH(Расходка[№],Поиск_расходки[Индекс10],0)),"")</f>
        <v>Thunder</v>
      </c>
      <c r="AB40" s="116" t="str">
        <f>IFERROR(INDEX(Расходка[Наименование расходного материала],MATCH(Расходка[№],Поиск_расходки[Индекс11],0)),"")</f>
        <v>Thunder</v>
      </c>
      <c r="AC40" s="116" t="str">
        <f>IFERROR(INDEX(Расходка[Наименование расходного материала],MATCH(Расходка[№],Поиск_расходки[Индекс12],0)),"")</f>
        <v>Thunder</v>
      </c>
      <c r="AD40" s="116" t="str">
        <f>IFERROR(INDEX(Расходка[Наименование расходного материала],MATCH(Расходка[№],Поиск_расходки[Индекс13],0)),"")</f>
        <v>Thunder</v>
      </c>
      <c r="AF40" s="4" t="s">
        <v>6</v>
      </c>
      <c r="AG40" s="4" t="s">
        <v>440</v>
      </c>
    </row>
    <row r="41" spans="1:33">
      <c r="A41">
        <v>40</v>
      </c>
      <c r="B41" t="s">
        <v>3</v>
      </c>
      <c r="C41" t="s">
        <v>363</v>
      </c>
      <c r="E41" s="117">
        <f>IF(ISNUMBER(SEARCH('Карта учёта'!$B$13,Расходка[[#This Row],[Наименование расходного материала]])),MAX($E$1:E40)+1,0)</f>
        <v>0</v>
      </c>
      <c r="F41" s="117">
        <f>IF(ISNUMBER(SEARCH('Карта учёта'!$B$14,Расходка[[#This Row],[Наименование расходного материала]])),MAX($F$1:F40)+1,0)</f>
        <v>0</v>
      </c>
      <c r="G41" s="117">
        <f>IF(ISNUMBER(SEARCH('Карта учёта'!$B$15,Расходка[Наименование расходного материала])),MAX($G$1:G40)+1,0)</f>
        <v>0</v>
      </c>
      <c r="H41" s="117">
        <f>IF(ISNUMBER(SEARCH('Карта учёта'!$B$16,Расходка[Наименование расходного материала])),MAX($H$1:H40)+1,0)</f>
        <v>0</v>
      </c>
      <c r="I41" s="117">
        <f>IF(ISNUMBER(SEARCH('Карта учёта'!$B$17,Расходка[Наименование расходного материала])),MAX($I$1:I40)+1,0)</f>
        <v>0</v>
      </c>
      <c r="J41" s="117">
        <f>IF(ISNUMBER(SEARCH('Карта учёта'!$B$18,Расходка[Наименование расходного материала])),MAX($J$1:J40)+1,0)</f>
        <v>0</v>
      </c>
      <c r="K41" s="117">
        <f>IF(ISNUMBER(SEARCH('Карта учёта'!$B$19,Расходка[Наименование расходного материала])),MAX($K$1:K40)+1,0)</f>
        <v>40</v>
      </c>
      <c r="L41" s="117">
        <f>IF(ISNUMBER(SEARCH('Карта учёта'!$B$20,Расходка[Наименование расходного материала])),MAX($L$1:L40)+1,0)</f>
        <v>40</v>
      </c>
      <c r="M41" s="117">
        <f>IF(ISNUMBER(SEARCH('Карта учёта'!$B$21,Расходка[Наименование расходного материала])),MAX($M$1:M40)+1,0)</f>
        <v>40</v>
      </c>
      <c r="N41" s="117">
        <f>IF(ISNUMBER(SEARCH('Карта учёта'!$B$22,Расходка[Наименование расходного материала])),MAX($N$1:N40)+1,0)</f>
        <v>40</v>
      </c>
      <c r="O41" s="117">
        <f>IF(ISNUMBER(SEARCH('Карта учёта'!$B$23,Расходка[Наименование расходного материала])),MAX($O$1:O40)+1,0)</f>
        <v>40</v>
      </c>
      <c r="P41" s="117">
        <f>IF(ISNUMBER(SEARCH('Карта учёта'!$B$24,Расходка[Наименование расходного материала])),MAX($P$1:P40)+1,0)</f>
        <v>40</v>
      </c>
      <c r="Q41" s="117">
        <f>IF(ISNUMBER(SEARCH('Карта учёта'!$B$25,Расходка[Наименование расходного материала])),MAX($Q$1:Q40)+1,0)</f>
        <v>40</v>
      </c>
      <c r="R41" s="116" t="str">
        <f>IFERROR(INDEX(Расходка[Наименование расходного материала],MATCH(Расходка[№],Поиск_расходки[Индекс1],0)),"")</f>
        <v/>
      </c>
      <c r="S41" s="116" t="str">
        <f>IFERROR(INDEX(Расходка[Наименование расходного материала],MATCH(Расходка[№],Поиск_расходки[Индекс2],0)),"")</f>
        <v/>
      </c>
      <c r="T41" s="116" t="str">
        <f>IFERROR(INDEX(Расходка[Наименование расходного материала],MATCH(Расходка[№],Поиск_расходки[Индекс3],0)),"")</f>
        <v/>
      </c>
      <c r="U41" s="116" t="str">
        <f>IFERROR(INDEX(Расходка[Наименование расходного материала],MATCH(Расходка[№],Поиск_расходки[Индекс4],0)),"")</f>
        <v/>
      </c>
      <c r="V41" s="116" t="str">
        <f>IFERROR(INDEX(Расходка[Наименование расходного материала],MATCH(Расходка[№],Поиск_расходки[Индекс5],0)),"")</f>
        <v/>
      </c>
      <c r="W41" s="116" t="str">
        <f>IFERROR(INDEX(Расходка[Наименование расходного материала],MATCH(Расходка[№],Поиск_расходки[Индекс6],0)),"")</f>
        <v/>
      </c>
      <c r="X41" s="116" t="str">
        <f>IFERROR(INDEX(Расходка[Наименование расходного материала],MATCH(Расходка[№],Поиск_расходки[Индекс7],0)),"")</f>
        <v>Whisper MS</v>
      </c>
      <c r="Y41" s="116" t="str">
        <f>IFERROR(INDEX(Расходка[Наименование расходного материала],MATCH(Расходка[№],Поиск_расходки[Индекс8],0)),"")</f>
        <v>Whisper MS</v>
      </c>
      <c r="Z41" s="116" t="str">
        <f>IFERROR(INDEX(Расходка[Наименование расходного материала],MATCH(Расходка[№],Поиск_расходки[Индекс9],0)),"")</f>
        <v>Whisper MS</v>
      </c>
      <c r="AA41" s="116" t="str">
        <f>IFERROR(INDEX(Расходка[Наименование расходного материала],MATCH(Расходка[№],Поиск_расходки[Индекс10],0)),"")</f>
        <v>Whisper MS</v>
      </c>
      <c r="AB41" s="116" t="str">
        <f>IFERROR(INDEX(Расходка[Наименование расходного материала],MATCH(Расходка[№],Поиск_расходки[Индекс11],0)),"")</f>
        <v>Whisper MS</v>
      </c>
      <c r="AC41" s="116" t="str">
        <f>IFERROR(INDEX(Расходка[Наименование расходного материала],MATCH(Расходка[№],Поиск_расходки[Индекс12],0)),"")</f>
        <v>Whisper MS</v>
      </c>
      <c r="AD41" s="116" t="str">
        <f>IFERROR(INDEX(Расходка[Наименование расходного материала],MATCH(Расходка[№],Поиск_расходки[Индекс13],0)),"")</f>
        <v>Whisper MS</v>
      </c>
      <c r="AF41" s="4" t="s">
        <v>6</v>
      </c>
      <c r="AG41" s="4" t="s">
        <v>441</v>
      </c>
    </row>
    <row r="42" spans="1:33">
      <c r="A42">
        <v>41</v>
      </c>
      <c r="B42" t="s">
        <v>3</v>
      </c>
      <c r="C42" t="s">
        <v>364</v>
      </c>
      <c r="E42" s="117">
        <f>IF(ISNUMBER(SEARCH('Карта учёта'!$B$13,Расходка[[#This Row],[Наименование расходного материала]])),MAX($E$1:E41)+1,0)</f>
        <v>0</v>
      </c>
      <c r="F42" s="117">
        <f>IF(ISNUMBER(SEARCH('Карта учёта'!$B$14,Расходка[[#This Row],[Наименование расходного материала]])),MAX($F$1:F41)+1,0)</f>
        <v>0</v>
      </c>
      <c r="G42" s="117">
        <f>IF(ISNUMBER(SEARCH('Карта учёта'!$B$15,Расходка[Наименование расходного материала])),MAX($G$1:G41)+1,0)</f>
        <v>0</v>
      </c>
      <c r="H42" s="117">
        <f>IF(ISNUMBER(SEARCH('Карта учёта'!$B$16,Расходка[Наименование расходного материала])),MAX($H$1:H41)+1,0)</f>
        <v>0</v>
      </c>
      <c r="I42" s="117">
        <f>IF(ISNUMBER(SEARCH('Карта учёта'!$B$17,Расходка[Наименование расходного материала])),MAX($I$1:I41)+1,0)</f>
        <v>0</v>
      </c>
      <c r="J42" s="117">
        <f>IF(ISNUMBER(SEARCH('Карта учёта'!$B$18,Расходка[Наименование расходного материала])),MAX($J$1:J41)+1,0)</f>
        <v>0</v>
      </c>
      <c r="K42" s="117">
        <f>IF(ISNUMBER(SEARCH('Карта учёта'!$B$19,Расходка[Наименование расходного материала])),MAX($K$1:K41)+1,0)</f>
        <v>41</v>
      </c>
      <c r="L42" s="117">
        <f>IF(ISNUMBER(SEARCH('Карта учёта'!$B$20,Расходка[Наименование расходного материала])),MAX($L$1:L41)+1,0)</f>
        <v>41</v>
      </c>
      <c r="M42" s="117">
        <f>IF(ISNUMBER(SEARCH('Карта учёта'!$B$21,Расходка[Наименование расходного материала])),MAX($M$1:M41)+1,0)</f>
        <v>41</v>
      </c>
      <c r="N42" s="117">
        <f>IF(ISNUMBER(SEARCH('Карта учёта'!$B$22,Расходка[Наименование расходного материала])),MAX($N$1:N41)+1,0)</f>
        <v>41</v>
      </c>
      <c r="O42" s="117">
        <f>IF(ISNUMBER(SEARCH('Карта учёта'!$B$23,Расходка[Наименование расходного материала])),MAX($O$1:O41)+1,0)</f>
        <v>41</v>
      </c>
      <c r="P42" s="117">
        <f>IF(ISNUMBER(SEARCH('Карта учёта'!$B$24,Расходка[Наименование расходного материала])),MAX($P$1:P41)+1,0)</f>
        <v>41</v>
      </c>
      <c r="Q42" s="117">
        <f>IF(ISNUMBER(SEARCH('Карта учёта'!$B$25,Расходка[Наименование расходного материала])),MAX($Q$1:Q41)+1,0)</f>
        <v>41</v>
      </c>
      <c r="R42" s="116" t="str">
        <f>IFERROR(INDEX(Расходка[Наименование расходного материала],MATCH(Расходка[№],Поиск_расходки[Индекс1],0)),"")</f>
        <v/>
      </c>
      <c r="S42" s="116" t="str">
        <f>IFERROR(INDEX(Расходка[Наименование расходного материала],MATCH(Расходка[№],Поиск_расходки[Индекс2],0)),"")</f>
        <v/>
      </c>
      <c r="T42" s="116" t="str">
        <f>IFERROR(INDEX(Расходка[Наименование расходного материала],MATCH(Расходка[№],Поиск_расходки[Индекс3],0)),"")</f>
        <v/>
      </c>
      <c r="U42" s="116" t="str">
        <f>IFERROR(INDEX(Расходка[Наименование расходного материала],MATCH(Расходка[№],Поиск_расходки[Индекс4],0)),"")</f>
        <v/>
      </c>
      <c r="V42" s="116" t="str">
        <f>IFERROR(INDEX(Расходка[Наименование расходного материала],MATCH(Расходка[№],Поиск_расходки[Индекс5],0)),"")</f>
        <v/>
      </c>
      <c r="W42" s="116" t="str">
        <f>IFERROR(INDEX(Расходка[Наименование расходного материала],MATCH(Расходка[№],Поиск_расходки[Индекс6],0)),"")</f>
        <v/>
      </c>
      <c r="X42" s="116" t="str">
        <f>IFERROR(INDEX(Расходка[Наименование расходного материала],MATCH(Расходка[№],Поиск_расходки[Индекс7],0)),"")</f>
        <v>Winn 200T</v>
      </c>
      <c r="Y42" s="116" t="str">
        <f>IFERROR(INDEX(Расходка[Наименование расходного материала],MATCH(Расходка[№],Поиск_расходки[Индекс8],0)),"")</f>
        <v>Winn 200T</v>
      </c>
      <c r="Z42" s="116" t="str">
        <f>IFERROR(INDEX(Расходка[Наименование расходного материала],MATCH(Расходка[№],Поиск_расходки[Индекс9],0)),"")</f>
        <v>Winn 200T</v>
      </c>
      <c r="AA42" s="116" t="str">
        <f>IFERROR(INDEX(Расходка[Наименование расходного материала],MATCH(Расходка[№],Поиск_расходки[Индекс10],0)),"")</f>
        <v>Winn 200T</v>
      </c>
      <c r="AB42" s="116" t="str">
        <f>IFERROR(INDEX(Расходка[Наименование расходного материала],MATCH(Расходка[№],Поиск_расходки[Индекс11],0)),"")</f>
        <v>Winn 200T</v>
      </c>
      <c r="AC42" s="116" t="str">
        <f>IFERROR(INDEX(Расходка[Наименование расходного материала],MATCH(Расходка[№],Поиск_расходки[Индекс12],0)),"")</f>
        <v>Winn 200T</v>
      </c>
      <c r="AD42" s="116" t="str">
        <f>IFERROR(INDEX(Расходка[Наименование расходного материала],MATCH(Расходка[№],Поиск_расходки[Индекс13],0)),"")</f>
        <v>Winn 200T</v>
      </c>
      <c r="AF42" s="4" t="s">
        <v>6</v>
      </c>
      <c r="AG42" s="4" t="s">
        <v>442</v>
      </c>
    </row>
    <row r="43" spans="1:33">
      <c r="A43">
        <v>42</v>
      </c>
      <c r="B43" t="s">
        <v>3</v>
      </c>
      <c r="C43" t="s">
        <v>347</v>
      </c>
      <c r="E43" s="117">
        <f>IF(ISNUMBER(SEARCH('Карта учёта'!$B$13,Расходка[[#This Row],[Наименование расходного материала]])),MAX($E$1:E42)+1,0)</f>
        <v>0</v>
      </c>
      <c r="F43" s="117">
        <f>IF(ISNUMBER(SEARCH('Карта учёта'!$B$14,Расходка[[#This Row],[Наименование расходного материала]])),MAX($F$1:F42)+1,0)</f>
        <v>0</v>
      </c>
      <c r="G43" s="117">
        <f>IF(ISNUMBER(SEARCH('Карта учёта'!$B$15,Расходка[Наименование расходного материала])),MAX($G$1:G42)+1,0)</f>
        <v>0</v>
      </c>
      <c r="H43" s="117">
        <f>IF(ISNUMBER(SEARCH('Карта учёта'!$B$16,Расходка[Наименование расходного материала])),MAX($H$1:H42)+1,0)</f>
        <v>0</v>
      </c>
      <c r="I43" s="117">
        <f>IF(ISNUMBER(SEARCH('Карта учёта'!$B$17,Расходка[Наименование расходного материала])),MAX($I$1:I42)+1,0)</f>
        <v>0</v>
      </c>
      <c r="J43" s="117">
        <f>IF(ISNUMBER(SEARCH('Карта учёта'!$B$18,Расходка[Наименование расходного материала])),MAX($J$1:J42)+1,0)</f>
        <v>0</v>
      </c>
      <c r="K43" s="117">
        <f>IF(ISNUMBER(SEARCH('Карта учёта'!$B$19,Расходка[Наименование расходного материала])),MAX($K$1:K42)+1,0)</f>
        <v>42</v>
      </c>
      <c r="L43" s="117">
        <f>IF(ISNUMBER(SEARCH('Карта учёта'!$B$20,Расходка[Наименование расходного материала])),MAX($L$1:L42)+1,0)</f>
        <v>42</v>
      </c>
      <c r="M43" s="117">
        <f>IF(ISNUMBER(SEARCH('Карта учёта'!$B$21,Расходка[Наименование расходного материала])),MAX($M$1:M42)+1,0)</f>
        <v>42</v>
      </c>
      <c r="N43" s="117">
        <f>IF(ISNUMBER(SEARCH('Карта учёта'!$B$22,Расходка[Наименование расходного материала])),MAX($N$1:N42)+1,0)</f>
        <v>42</v>
      </c>
      <c r="O43" s="117">
        <f>IF(ISNUMBER(SEARCH('Карта учёта'!$B$23,Расходка[Наименование расходного материала])),MAX($O$1:O42)+1,0)</f>
        <v>42</v>
      </c>
      <c r="P43" s="117">
        <f>IF(ISNUMBER(SEARCH('Карта учёта'!$B$24,Расходка[Наименование расходного материала])),MAX($P$1:P42)+1,0)</f>
        <v>42</v>
      </c>
      <c r="Q43" s="117">
        <f>IF(ISNUMBER(SEARCH('Карта учёта'!$B$25,Расходка[Наименование расходного материала])),MAX($Q$1:Q42)+1,0)</f>
        <v>42</v>
      </c>
      <c r="R43" s="116" t="str">
        <f>IFERROR(INDEX(Расходка[Наименование расходного материала],MATCH(Расходка[№],Поиск_расходки[Индекс1],0)),"")</f>
        <v/>
      </c>
      <c r="S43" s="116" t="str">
        <f>IFERROR(INDEX(Расходка[Наименование расходного материала],MATCH(Расходка[№],Поиск_расходки[Индекс2],0)),"")</f>
        <v/>
      </c>
      <c r="T43" s="116" t="str">
        <f>IFERROR(INDEX(Расходка[Наименование расходного материала],MATCH(Расходка[№],Поиск_расходки[Индекс3],0)),"")</f>
        <v/>
      </c>
      <c r="U43" s="116" t="str">
        <f>IFERROR(INDEX(Расходка[Наименование расходного материала],MATCH(Расходка[№],Поиск_расходки[Индекс4],0)),"")</f>
        <v/>
      </c>
      <c r="V43" s="116" t="str">
        <f>IFERROR(INDEX(Расходка[Наименование расходного материала],MATCH(Расходка[№],Поиск_расходки[Индекс5],0)),"")</f>
        <v/>
      </c>
      <c r="W43" s="116" t="str">
        <f>IFERROR(INDEX(Расходка[Наименование расходного материала],MATCH(Расходка[№],Поиск_расходки[Индекс6],0)),"")</f>
        <v/>
      </c>
      <c r="X43" s="116" t="str">
        <f>IFERROR(INDEX(Расходка[Наименование расходного материала],MATCH(Расходка[№],Поиск_расходки[Индекс7],0)),"")</f>
        <v>Проводник коронарный  1g, Angioline</v>
      </c>
      <c r="Y43" s="116" t="str">
        <f>IFERROR(INDEX(Расходка[Наименование расходного материала],MATCH(Расходка[№],Поиск_расходки[Индекс8],0)),"")</f>
        <v>Проводник коронарный  1g, Angioline</v>
      </c>
      <c r="Z43" s="116" t="str">
        <f>IFERROR(INDEX(Расходка[Наименование расходного материала],MATCH(Расходка[№],Поиск_расходки[Индекс9],0)),"")</f>
        <v>Проводник коронарный  1g, Angioline</v>
      </c>
      <c r="AA43" s="116" t="str">
        <f>IFERROR(INDEX(Расходка[Наименование расходного материала],MATCH(Расходка[№],Поиск_расходки[Индекс10],0)),"")</f>
        <v>Проводник коронарный  1g, Angioline</v>
      </c>
      <c r="AB43" s="116" t="str">
        <f>IFERROR(INDEX(Расходка[Наименование расходного материала],MATCH(Расходка[№],Поиск_расходки[Индекс11],0)),"")</f>
        <v>Проводник коронарный  1g, Angioline</v>
      </c>
      <c r="AC43" s="116" t="str">
        <f>IFERROR(INDEX(Расходка[Наименование расходного материала],MATCH(Расходка[№],Поиск_расходки[Индекс12],0)),"")</f>
        <v>Проводник коронарный  1g, Angioline</v>
      </c>
      <c r="AD43" s="116" t="str">
        <f>IFERROR(INDEX(Расходка[Наименование расходного материала],MATCH(Расходка[№],Поиск_расходки[Индекс13],0)),"")</f>
        <v>Проводник коронарный  1g, Angioline</v>
      </c>
      <c r="AF43" s="4" t="s">
        <v>6</v>
      </c>
      <c r="AG43" s="4" t="s">
        <v>415</v>
      </c>
    </row>
    <row r="44" spans="1:33">
      <c r="A44">
        <v>43</v>
      </c>
      <c r="B44" t="s">
        <v>3</v>
      </c>
      <c r="C44" t="s">
        <v>96</v>
      </c>
      <c r="E44" s="117">
        <f>IF(ISNUMBER(SEARCH('Карта учёта'!$B$13,Расходка[[#This Row],[Наименование расходного материала]])),MAX($E$1:E43)+1,0)</f>
        <v>0</v>
      </c>
      <c r="F44" s="117">
        <f>IF(ISNUMBER(SEARCH('Карта учёта'!$B$14,Расходка[[#This Row],[Наименование расходного материала]])),MAX($F$1:F43)+1,0)</f>
        <v>0</v>
      </c>
      <c r="G44" s="117">
        <f>IF(ISNUMBER(SEARCH('Карта учёта'!$B$15,Расходка[Наименование расходного материала])),MAX($G$1:G43)+1,0)</f>
        <v>0</v>
      </c>
      <c r="H44" s="117">
        <f>IF(ISNUMBER(SEARCH('Карта учёта'!$B$16,Расходка[Наименование расходного материала])),MAX($H$1:H43)+1,0)</f>
        <v>0</v>
      </c>
      <c r="I44" s="117">
        <f>IF(ISNUMBER(SEARCH('Карта учёта'!$B$17,Расходка[Наименование расходного материала])),MAX($I$1:I43)+1,0)</f>
        <v>0</v>
      </c>
      <c r="J44" s="117">
        <f>IF(ISNUMBER(SEARCH('Карта учёта'!$B$18,Расходка[Наименование расходного материала])),MAX($J$1:J43)+1,0)</f>
        <v>0</v>
      </c>
      <c r="K44" s="117">
        <f>IF(ISNUMBER(SEARCH('Карта учёта'!$B$19,Расходка[Наименование расходного материала])),MAX($K$1:K43)+1,0)</f>
        <v>43</v>
      </c>
      <c r="L44" s="117">
        <f>IF(ISNUMBER(SEARCH('Карта учёта'!$B$20,Расходка[Наименование расходного материала])),MAX($L$1:L43)+1,0)</f>
        <v>43</v>
      </c>
      <c r="M44" s="117">
        <f>IF(ISNUMBER(SEARCH('Карта учёта'!$B$21,Расходка[Наименование расходного материала])),MAX($M$1:M43)+1,0)</f>
        <v>43</v>
      </c>
      <c r="N44" s="117">
        <f>IF(ISNUMBER(SEARCH('Карта учёта'!$B$22,Расходка[Наименование расходного материала])),MAX($N$1:N43)+1,0)</f>
        <v>43</v>
      </c>
      <c r="O44" s="117">
        <f>IF(ISNUMBER(SEARCH('Карта учёта'!$B$23,Расходка[Наименование расходного материала])),MAX($O$1:O43)+1,0)</f>
        <v>43</v>
      </c>
      <c r="P44" s="117">
        <f>IF(ISNUMBER(SEARCH('Карта учёта'!$B$24,Расходка[Наименование расходного материала])),MAX($P$1:P43)+1,0)</f>
        <v>43</v>
      </c>
      <c r="Q44" s="117">
        <f>IF(ISNUMBER(SEARCH('Карта учёта'!$B$25,Расходка[Наименование расходного материала])),MAX($Q$1:Q43)+1,0)</f>
        <v>43</v>
      </c>
      <c r="R44" s="116" t="str">
        <f>IFERROR(INDEX(Расходка[Наименование расходного материала],MATCH(Расходка[№],Поиск_расходки[Индекс1],0)),"")</f>
        <v/>
      </c>
      <c r="S44" s="116" t="str">
        <f>IFERROR(INDEX(Расходка[Наименование расходного материала],MATCH(Расходка[№],Поиск_расходки[Индекс2],0)),"")</f>
        <v/>
      </c>
      <c r="T44" s="116" t="str">
        <f>IFERROR(INDEX(Расходка[Наименование расходного материала],MATCH(Расходка[№],Поиск_расходки[Индекс3],0)),"")</f>
        <v/>
      </c>
      <c r="U44" s="116" t="str">
        <f>IFERROR(INDEX(Расходка[Наименование расходного материала],MATCH(Расходка[№],Поиск_расходки[Индекс4],0)),"")</f>
        <v/>
      </c>
      <c r="V44" s="116" t="str">
        <f>IFERROR(INDEX(Расходка[Наименование расходного материала],MATCH(Расходка[№],Поиск_расходки[Индекс5],0)),"")</f>
        <v/>
      </c>
      <c r="W44" s="116" t="str">
        <f>IFERROR(INDEX(Расходка[Наименование расходного материала],MATCH(Расходка[№],Поиск_расходки[Индекс6],0)),"")</f>
        <v/>
      </c>
      <c r="X44" s="116" t="str">
        <f>IFERROR(INDEX(Расходка[Наименование расходного материала],MATCH(Расходка[№],Поиск_расходки[Индекс7],0)),"")</f>
        <v>Проводник коронарный  3g, Angioline</v>
      </c>
      <c r="Y44" s="116" t="str">
        <f>IFERROR(INDEX(Расходка[Наименование расходного материала],MATCH(Расходка[№],Поиск_расходки[Индекс8],0)),"")</f>
        <v>Проводник коронарный  3g, Angioline</v>
      </c>
      <c r="Z44" s="116" t="str">
        <f>IFERROR(INDEX(Расходка[Наименование расходного материала],MATCH(Расходка[№],Поиск_расходки[Индекс9],0)),"")</f>
        <v>Проводник коронарный  3g, Angioline</v>
      </c>
      <c r="AA44" s="116" t="str">
        <f>IFERROR(INDEX(Расходка[Наименование расходного материала],MATCH(Расходка[№],Поиск_расходки[Индекс10],0)),"")</f>
        <v>Проводник коронарный  3g, Angioline</v>
      </c>
      <c r="AB44" s="116" t="str">
        <f>IFERROR(INDEX(Расходка[Наименование расходного материала],MATCH(Расходка[№],Поиск_расходки[Индекс11],0)),"")</f>
        <v>Проводник коронарный  3g, Angioline</v>
      </c>
      <c r="AC44" s="116" t="str">
        <f>IFERROR(INDEX(Расходка[Наименование расходного материала],MATCH(Расходка[№],Поиск_расходки[Индекс12],0)),"")</f>
        <v>Проводник коронарный  3g, Angioline</v>
      </c>
      <c r="AD44" s="116" t="str">
        <f>IFERROR(INDEX(Расходка[Наименование расходного материала],MATCH(Расходка[№],Поиск_расходки[Индекс13],0)),"")</f>
        <v>Проводник коронарный  3g, Angioline</v>
      </c>
      <c r="AF44" s="4" t="s">
        <v>6</v>
      </c>
      <c r="AG44" s="4" t="s">
        <v>443</v>
      </c>
    </row>
    <row r="45" spans="1:33">
      <c r="A45">
        <v>44</v>
      </c>
      <c r="B45" t="s">
        <v>6</v>
      </c>
      <c r="C45" s="1" t="s">
        <v>278</v>
      </c>
      <c r="E45" s="117">
        <f>IF(ISNUMBER(SEARCH('Карта учёта'!$B$13,Расходка[[#This Row],[Наименование расходного материала]])),MAX($E$1:E44)+1,0)</f>
        <v>0</v>
      </c>
      <c r="F45" s="117">
        <f>IF(ISNUMBER(SEARCH('Карта учёта'!$B$14,Расходка[[#This Row],[Наименование расходного материала]])),MAX($F$1:F44)+1,0)</f>
        <v>0</v>
      </c>
      <c r="G45" s="117">
        <f>IF(ISNUMBER(SEARCH('Карта учёта'!$B$15,Расходка[Наименование расходного материала])),MAX($G$1:G44)+1,0)</f>
        <v>0</v>
      </c>
      <c r="H45" s="117">
        <f>IF(ISNUMBER(SEARCH('Карта учёта'!$B$16,Расходка[Наименование расходного материала])),MAX($H$1:H44)+1,0)</f>
        <v>0</v>
      </c>
      <c r="I45" s="117">
        <f>IF(ISNUMBER(SEARCH('Карта учёта'!$B$17,Расходка[Наименование расходного материала])),MAX($I$1:I44)+1,0)</f>
        <v>0</v>
      </c>
      <c r="J45" s="117">
        <f>IF(ISNUMBER(SEARCH('Карта учёта'!$B$18,Расходка[Наименование расходного материала])),MAX($J$1:J44)+1,0)</f>
        <v>0</v>
      </c>
      <c r="K45" s="117">
        <f>IF(ISNUMBER(SEARCH('Карта учёта'!$B$19,Расходка[Наименование расходного материала])),MAX($K$1:K44)+1,0)</f>
        <v>44</v>
      </c>
      <c r="L45" s="117">
        <f>IF(ISNUMBER(SEARCH('Карта учёта'!$B$20,Расходка[Наименование расходного материала])),MAX($L$1:L44)+1,0)</f>
        <v>44</v>
      </c>
      <c r="M45" s="117">
        <f>IF(ISNUMBER(SEARCH('Карта учёта'!$B$21,Расходка[Наименование расходного материала])),MAX($M$1:M44)+1,0)</f>
        <v>44</v>
      </c>
      <c r="N45" s="117">
        <f>IF(ISNUMBER(SEARCH('Карта учёта'!$B$22,Расходка[Наименование расходного материала])),MAX($N$1:N44)+1,0)</f>
        <v>44</v>
      </c>
      <c r="O45" s="117">
        <f>IF(ISNUMBER(SEARCH('Карта учёта'!$B$23,Расходка[Наименование расходного материала])),MAX($O$1:O44)+1,0)</f>
        <v>44</v>
      </c>
      <c r="P45" s="117">
        <f>IF(ISNUMBER(SEARCH('Карта учёта'!$B$24,Расходка[Наименование расходного материала])),MAX($P$1:P44)+1,0)</f>
        <v>44</v>
      </c>
      <c r="Q45" s="117">
        <f>IF(ISNUMBER(SEARCH('Карта учёта'!$B$25,Расходка[Наименование расходного материала])),MAX($Q$1:Q44)+1,0)</f>
        <v>44</v>
      </c>
      <c r="R45" s="116" t="str">
        <f>IFERROR(INDEX(Расходка[Наименование расходного материала],MATCH(Расходка[№],Поиск_расходки[Индекс1],0)),"")</f>
        <v/>
      </c>
      <c r="S45" s="116" t="str">
        <f>IFERROR(INDEX(Расходка[Наименование расходного материала],MATCH(Расходка[№],Поиск_расходки[Индекс2],0)),"")</f>
        <v/>
      </c>
      <c r="T45" s="116" t="str">
        <f>IFERROR(INDEX(Расходка[Наименование расходного материала],MATCH(Расходка[№],Поиск_расходки[Индекс3],0)),"")</f>
        <v/>
      </c>
      <c r="U45" s="116" t="str">
        <f>IFERROR(INDEX(Расходка[Наименование расходного материала],MATCH(Расходка[№],Поиск_расходки[Индекс4],0)),"")</f>
        <v/>
      </c>
      <c r="V45" s="116" t="str">
        <f>IFERROR(INDEX(Расходка[Наименование расходного материала],MATCH(Расходка[№],Поиск_расходки[Индекс5],0)),"")</f>
        <v/>
      </c>
      <c r="W45" s="116" t="str">
        <f>IFERROR(INDEX(Расходка[Наименование расходного материала],MATCH(Расходка[№],Поиск_расходки[Индекс6],0)),"")</f>
        <v/>
      </c>
      <c r="X45" s="116" t="str">
        <f>IFERROR(INDEX(Расходка[Наименование расходного материала],MATCH(Расходка[№],Поиск_расходки[Индекс7],0)),"")</f>
        <v>BMS, Integtity</v>
      </c>
      <c r="Y45" s="116" t="str">
        <f>IFERROR(INDEX(Расходка[Наименование расходного материала],MATCH(Расходка[№],Поиск_расходки[Индекс8],0)),"")</f>
        <v>BMS, Integtity</v>
      </c>
      <c r="Z45" s="116" t="str">
        <f>IFERROR(INDEX(Расходка[Наименование расходного материала],MATCH(Расходка[№],Поиск_расходки[Индекс9],0)),"")</f>
        <v>BMS, Integtity</v>
      </c>
      <c r="AA45" s="116" t="str">
        <f>IFERROR(INDEX(Расходка[Наименование расходного материала],MATCH(Расходка[№],Поиск_расходки[Индекс10],0)),"")</f>
        <v>BMS, Integtity</v>
      </c>
      <c r="AB45" s="116" t="str">
        <f>IFERROR(INDEX(Расходка[Наименование расходного материала],MATCH(Расходка[№],Поиск_расходки[Индекс11],0)),"")</f>
        <v>BMS, Integtity</v>
      </c>
      <c r="AC45" s="116" t="str">
        <f>IFERROR(INDEX(Расходка[Наименование расходного материала],MATCH(Расходка[№],Поиск_расходки[Индекс12],0)),"")</f>
        <v>BMS, Integtity</v>
      </c>
      <c r="AD45" s="116" t="str">
        <f>IFERROR(INDEX(Расходка[Наименование расходного материала],MATCH(Расходка[№],Поиск_расходки[Индекс13],0)),"")</f>
        <v>BMS, Integtity</v>
      </c>
      <c r="AF45" s="4" t="s">
        <v>6</v>
      </c>
      <c r="AG45" s="4" t="s">
        <v>444</v>
      </c>
    </row>
    <row r="46" spans="1:33">
      <c r="A46">
        <v>45</v>
      </c>
      <c r="B46" t="s">
        <v>6</v>
      </c>
      <c r="C46" s="161" t="s">
        <v>346</v>
      </c>
      <c r="E46" s="117">
        <f>IF(ISNUMBER(SEARCH('Карта учёта'!$B$13,Расходка[[#This Row],[Наименование расходного материала]])),MAX($E$1:E45)+1,0)</f>
        <v>0</v>
      </c>
      <c r="F46" s="117">
        <f>IF(ISNUMBER(SEARCH('Карта учёта'!$B$14,Расходка[[#This Row],[Наименование расходного материала]])),MAX($F$1:F45)+1,0)</f>
        <v>0</v>
      </c>
      <c r="G46" s="117">
        <f>IF(ISNUMBER(SEARCH('Карта учёта'!$B$15,Расходка[Наименование расходного материала])),MAX($G$1:G45)+1,0)</f>
        <v>0</v>
      </c>
      <c r="H46" s="117">
        <f>IF(ISNUMBER(SEARCH('Карта учёта'!$B$16,Расходка[Наименование расходного материала])),MAX($H$1:H45)+1,0)</f>
        <v>0</v>
      </c>
      <c r="I46" s="117">
        <f>IF(ISNUMBER(SEARCH('Карта учёта'!$B$17,Расходка[Наименование расходного материала])),MAX($I$1:I45)+1,0)</f>
        <v>0</v>
      </c>
      <c r="J46" s="117">
        <f>IF(ISNUMBER(SEARCH('Карта учёта'!$B$18,Расходка[Наименование расходного материала])),MAX($J$1:J45)+1,0)</f>
        <v>0</v>
      </c>
      <c r="K46" s="117">
        <f>IF(ISNUMBER(SEARCH('Карта учёта'!$B$19,Расходка[Наименование расходного материала])),MAX($K$1:K45)+1,0)</f>
        <v>45</v>
      </c>
      <c r="L46" s="117">
        <f>IF(ISNUMBER(SEARCH('Карта учёта'!$B$20,Расходка[Наименование расходного материала])),MAX($L$1:L45)+1,0)</f>
        <v>45</v>
      </c>
      <c r="M46" s="117">
        <f>IF(ISNUMBER(SEARCH('Карта учёта'!$B$21,Расходка[Наименование расходного материала])),MAX($M$1:M45)+1,0)</f>
        <v>45</v>
      </c>
      <c r="N46" s="117">
        <f>IF(ISNUMBER(SEARCH('Карта учёта'!$B$22,Расходка[Наименование расходного материала])),MAX($N$1:N45)+1,0)</f>
        <v>45</v>
      </c>
      <c r="O46" s="117">
        <f>IF(ISNUMBER(SEARCH('Карта учёта'!$B$23,Расходка[Наименование расходного материала])),MAX($O$1:O45)+1,0)</f>
        <v>45</v>
      </c>
      <c r="P46" s="117">
        <f>IF(ISNUMBER(SEARCH('Карта учёта'!$B$24,Расходка[Наименование расходного материала])),MAX($P$1:P45)+1,0)</f>
        <v>45</v>
      </c>
      <c r="Q46" s="117">
        <f>IF(ISNUMBER(SEARCH('Карта учёта'!$B$25,Расходка[Наименование расходного материала])),MAX($Q$1:Q45)+1,0)</f>
        <v>45</v>
      </c>
      <c r="R46" s="116" t="str">
        <f>IFERROR(INDEX(Расходка[Наименование расходного материала],MATCH(Расходка[№],Поиск_расходки[Индекс1],0)),"")</f>
        <v/>
      </c>
      <c r="S46" s="116" t="str">
        <f>IFERROR(INDEX(Расходка[Наименование расходного материала],MATCH(Расходка[№],Поиск_расходки[Индекс2],0)),"")</f>
        <v/>
      </c>
      <c r="T46" s="116" t="str">
        <f>IFERROR(INDEX(Расходка[Наименование расходного материала],MATCH(Расходка[№],Поиск_расходки[Индекс3],0)),"")</f>
        <v/>
      </c>
      <c r="U46" s="116" t="str">
        <f>IFERROR(INDEX(Расходка[Наименование расходного материала],MATCH(Расходка[№],Поиск_расходки[Индекс4],0)),"")</f>
        <v/>
      </c>
      <c r="V46" s="116" t="str">
        <f>IFERROR(INDEX(Расходка[Наименование расходного материала],MATCH(Расходка[№],Поиск_расходки[Индекс5],0)),"")</f>
        <v/>
      </c>
      <c r="W46" s="116" t="str">
        <f>IFERROR(INDEX(Расходка[Наименование расходного материала],MATCH(Расходка[№],Поиск_расходки[Индекс6],0)),"")</f>
        <v/>
      </c>
      <c r="X46" s="116" t="str">
        <f>IFERROR(INDEX(Расходка[Наименование расходного материала],MATCH(Расходка[№],Поиск_расходки[Индекс7],0)),"")</f>
        <v>DES, Calipso</v>
      </c>
      <c r="Y46" s="116" t="str">
        <f>IFERROR(INDEX(Расходка[Наименование расходного материала],MATCH(Расходка[№],Поиск_расходки[Индекс8],0)),"")</f>
        <v>DES, Calipso</v>
      </c>
      <c r="Z46" s="116" t="str">
        <f>IFERROR(INDEX(Расходка[Наименование расходного материала],MATCH(Расходка[№],Поиск_расходки[Индекс9],0)),"")</f>
        <v>DES, Calipso</v>
      </c>
      <c r="AA46" s="116" t="str">
        <f>IFERROR(INDEX(Расходка[Наименование расходного материала],MATCH(Расходка[№],Поиск_расходки[Индекс10],0)),"")</f>
        <v>DES, Calipso</v>
      </c>
      <c r="AB46" s="116" t="str">
        <f>IFERROR(INDEX(Расходка[Наименование расходного материала],MATCH(Расходка[№],Поиск_расходки[Индекс11],0)),"")</f>
        <v>DES, Calipso</v>
      </c>
      <c r="AC46" s="116" t="str">
        <f>IFERROR(INDEX(Расходка[Наименование расходного материала],MATCH(Расходка[№],Поиск_расходки[Индекс12],0)),"")</f>
        <v>DES, Calipso</v>
      </c>
      <c r="AD46" s="116" t="str">
        <f>IFERROR(INDEX(Расходка[Наименование расходного материала],MATCH(Расходка[№],Поиск_расходки[Индекс13],0)),"")</f>
        <v>DES, Calipso</v>
      </c>
      <c r="AF46" s="4" t="s">
        <v>6</v>
      </c>
      <c r="AG46" s="4" t="s">
        <v>445</v>
      </c>
    </row>
    <row r="47" spans="1:33">
      <c r="A47">
        <v>46</v>
      </c>
      <c r="B47" t="s">
        <v>6</v>
      </c>
      <c r="C47" s="161" t="s">
        <v>345</v>
      </c>
      <c r="E47" s="117">
        <f>IF(ISNUMBER(SEARCH('Карта учёта'!$B$13,Расходка[[#This Row],[Наименование расходного материала]])),MAX($E$1:E46)+1,0)</f>
        <v>0</v>
      </c>
      <c r="F47" s="117">
        <f>IF(ISNUMBER(SEARCH('Карта учёта'!$B$14,Расходка[[#This Row],[Наименование расходного материала]])),MAX($F$1:F46)+1,0)</f>
        <v>0</v>
      </c>
      <c r="G47" s="117">
        <f>IF(ISNUMBER(SEARCH('Карта учёта'!$B$15,Расходка[Наименование расходного материала])),MAX($G$1:G46)+1,0)</f>
        <v>0</v>
      </c>
      <c r="H47" s="117">
        <f>IF(ISNUMBER(SEARCH('Карта учёта'!$B$16,Расходка[Наименование расходного материала])),MAX($H$1:H46)+1,0)</f>
        <v>0</v>
      </c>
      <c r="I47" s="117">
        <f>IF(ISNUMBER(SEARCH('Карта учёта'!$B$17,Расходка[Наименование расходного материала])),MAX($I$1:I46)+1,0)</f>
        <v>0</v>
      </c>
      <c r="J47" s="117">
        <f>IF(ISNUMBER(SEARCH('Карта учёта'!$B$18,Расходка[Наименование расходного материала])),MAX($J$1:J46)+1,0)</f>
        <v>0</v>
      </c>
      <c r="K47" s="117">
        <f>IF(ISNUMBER(SEARCH('Карта учёта'!$B$19,Расходка[Наименование расходного материала])),MAX($K$1:K46)+1,0)</f>
        <v>46</v>
      </c>
      <c r="L47" s="117">
        <f>IF(ISNUMBER(SEARCH('Карта учёта'!$B$20,Расходка[Наименование расходного материала])),MAX($L$1:L46)+1,0)</f>
        <v>46</v>
      </c>
      <c r="M47" s="117">
        <f>IF(ISNUMBER(SEARCH('Карта учёта'!$B$21,Расходка[Наименование расходного материала])),MAX($M$1:M46)+1,0)</f>
        <v>46</v>
      </c>
      <c r="N47" s="117">
        <f>IF(ISNUMBER(SEARCH('Карта учёта'!$B$22,Расходка[Наименование расходного материала])),MAX($N$1:N46)+1,0)</f>
        <v>46</v>
      </c>
      <c r="O47" s="117">
        <f>IF(ISNUMBER(SEARCH('Карта учёта'!$B$23,Расходка[Наименование расходного материала])),MAX($O$1:O46)+1,0)</f>
        <v>46</v>
      </c>
      <c r="P47" s="117">
        <f>IF(ISNUMBER(SEARCH('Карта учёта'!$B$24,Расходка[Наименование расходного материала])),MAX($P$1:P46)+1,0)</f>
        <v>46</v>
      </c>
      <c r="Q47" s="117">
        <f>IF(ISNUMBER(SEARCH('Карта учёта'!$B$25,Расходка[Наименование расходного материала])),MAX($Q$1:Q46)+1,0)</f>
        <v>46</v>
      </c>
      <c r="R47" s="116" t="str">
        <f>IFERROR(INDEX(Расходка[Наименование расходного материала],MATCH(Расходка[№],Поиск_расходки[Индекс1],0)),"")</f>
        <v/>
      </c>
      <c r="S47" s="116" t="str">
        <f>IFERROR(INDEX(Расходка[Наименование расходного материала],MATCH(Расходка[№],Поиск_расходки[Индекс2],0)),"")</f>
        <v/>
      </c>
      <c r="T47" s="116" t="str">
        <f>IFERROR(INDEX(Расходка[Наименование расходного материала],MATCH(Расходка[№],Поиск_расходки[Индекс3],0)),"")</f>
        <v/>
      </c>
      <c r="U47" s="116" t="str">
        <f>IFERROR(INDEX(Расходка[Наименование расходного материала],MATCH(Расходка[№],Поиск_расходки[Индекс4],0)),"")</f>
        <v/>
      </c>
      <c r="V47" s="116" t="str">
        <f>IFERROR(INDEX(Расходка[Наименование расходного материала],MATCH(Расходка[№],Поиск_расходки[Индекс5],0)),"")</f>
        <v/>
      </c>
      <c r="W47" s="116" t="str">
        <f>IFERROR(INDEX(Расходка[Наименование расходного материала],MATCH(Расходка[№],Поиск_расходки[Индекс6],0)),"")</f>
        <v/>
      </c>
      <c r="X47" s="116" t="str">
        <f>IFERROR(INDEX(Расходка[Наименование расходного материала],MATCH(Расходка[№],Поиск_расходки[Индекс7],0)),"")</f>
        <v>DES, NanoMed</v>
      </c>
      <c r="Y47" s="116" t="str">
        <f>IFERROR(INDEX(Расходка[Наименование расходного материала],MATCH(Расходка[№],Поиск_расходки[Индекс8],0)),"")</f>
        <v>DES, NanoMed</v>
      </c>
      <c r="Z47" s="116" t="str">
        <f>IFERROR(INDEX(Расходка[Наименование расходного материала],MATCH(Расходка[№],Поиск_расходки[Индекс9],0)),"")</f>
        <v>DES, NanoMed</v>
      </c>
      <c r="AA47" s="116" t="str">
        <f>IFERROR(INDEX(Расходка[Наименование расходного материала],MATCH(Расходка[№],Поиск_расходки[Индекс10],0)),"")</f>
        <v>DES, NanoMed</v>
      </c>
      <c r="AB47" s="116" t="str">
        <f>IFERROR(INDEX(Расходка[Наименование расходного материала],MATCH(Расходка[№],Поиск_расходки[Индекс11],0)),"")</f>
        <v>DES, NanoMed</v>
      </c>
      <c r="AC47" s="116" t="str">
        <f>IFERROR(INDEX(Расходка[Наименование расходного материала],MATCH(Расходка[№],Поиск_расходки[Индекс12],0)),"")</f>
        <v>DES, NanoMed</v>
      </c>
      <c r="AD47" s="116" t="str">
        <f>IFERROR(INDEX(Расходка[Наименование расходного материала],MATCH(Расходка[№],Поиск_расходки[Индекс13],0)),"")</f>
        <v>DES, NanoMed</v>
      </c>
      <c r="AF47" s="4" t="s">
        <v>6</v>
      </c>
      <c r="AG47" s="4" t="s">
        <v>446</v>
      </c>
    </row>
    <row r="48" spans="1:33">
      <c r="A48">
        <v>47</v>
      </c>
      <c r="B48" t="s">
        <v>6</v>
      </c>
      <c r="C48" s="132" t="s">
        <v>324</v>
      </c>
      <c r="E48" s="117">
        <f>IF(ISNUMBER(SEARCH('Карта учёта'!$B$13,Расходка[[#This Row],[Наименование расходного материала]])),MAX($E$1:E47)+1,0)</f>
        <v>0</v>
      </c>
      <c r="F48" s="117">
        <f>IF(ISNUMBER(SEARCH('Карта учёта'!$B$14,Расходка[[#This Row],[Наименование расходного материала]])),MAX($F$1:F47)+1,0)</f>
        <v>0</v>
      </c>
      <c r="G48" s="117">
        <f>IF(ISNUMBER(SEARCH('Карта учёта'!$B$15,Расходка[Наименование расходного материала])),MAX($G$1:G47)+1,0)</f>
        <v>0</v>
      </c>
      <c r="H48" s="117">
        <f>IF(ISNUMBER(SEARCH('Карта учёта'!$B$16,Расходка[Наименование расходного материала])),MAX($H$1:H47)+1,0)</f>
        <v>1</v>
      </c>
      <c r="I48" s="117">
        <f>IF(ISNUMBER(SEARCH('Карта учёта'!$B$17,Расходка[Наименование расходного материала])),MAX($I$1:I47)+1,0)</f>
        <v>0</v>
      </c>
      <c r="J48" s="117">
        <f>IF(ISNUMBER(SEARCH('Карта учёта'!$B$18,Расходка[Наименование расходного материала])),MAX($J$1:J47)+1,0)</f>
        <v>0</v>
      </c>
      <c r="K48" s="117">
        <f>IF(ISNUMBER(SEARCH('Карта учёта'!$B$19,Расходка[Наименование расходного материала])),MAX($K$1:K47)+1,0)</f>
        <v>47</v>
      </c>
      <c r="L48" s="117">
        <f>IF(ISNUMBER(SEARCH('Карта учёта'!$B$20,Расходка[Наименование расходного материала])),MAX($L$1:L47)+1,0)</f>
        <v>47</v>
      </c>
      <c r="M48" s="117">
        <f>IF(ISNUMBER(SEARCH('Карта учёта'!$B$21,Расходка[Наименование расходного материала])),MAX($M$1:M47)+1,0)</f>
        <v>47</v>
      </c>
      <c r="N48" s="117">
        <f>IF(ISNUMBER(SEARCH('Карта учёта'!$B$22,Расходка[Наименование расходного материала])),MAX($N$1:N47)+1,0)</f>
        <v>47</v>
      </c>
      <c r="O48" s="117">
        <f>IF(ISNUMBER(SEARCH('Карта учёта'!$B$23,Расходка[Наименование расходного материала])),MAX($O$1:O47)+1,0)</f>
        <v>47</v>
      </c>
      <c r="P48" s="117">
        <f>IF(ISNUMBER(SEARCH('Карта учёта'!$B$24,Расходка[Наименование расходного материала])),MAX($P$1:P47)+1,0)</f>
        <v>47</v>
      </c>
      <c r="Q48" s="117">
        <f>IF(ISNUMBER(SEARCH('Карта учёта'!$B$25,Расходка[Наименование расходного материала])),MAX($Q$1:Q47)+1,0)</f>
        <v>47</v>
      </c>
      <c r="R48" s="116" t="str">
        <f>IFERROR(INDEX(Расходка[Наименование расходного материала],MATCH(Расходка[№],Поиск_расходки[Индекс1],0)),"")</f>
        <v/>
      </c>
      <c r="S48" s="116" t="str">
        <f>IFERROR(INDEX(Расходка[Наименование расходного материала],MATCH(Расходка[№],Поиск_расходки[Индекс2],0)),"")</f>
        <v/>
      </c>
      <c r="T48" s="116" t="str">
        <f>IFERROR(INDEX(Расходка[Наименование расходного материала],MATCH(Расходка[№],Поиск_расходки[Индекс3],0)),"")</f>
        <v/>
      </c>
      <c r="U48" s="116" t="str">
        <f>IFERROR(INDEX(Расходка[Наименование расходного материала],MATCH(Расходка[№],Поиск_расходки[Индекс4],0)),"")</f>
        <v/>
      </c>
      <c r="V48" s="116" t="str">
        <f>IFERROR(INDEX(Расходка[Наименование расходного материала],MATCH(Расходка[№],Поиск_расходки[Индекс5],0)),"")</f>
        <v/>
      </c>
      <c r="W48" s="116" t="str">
        <f>IFERROR(INDEX(Расходка[Наименование расходного материала],MATCH(Расходка[№],Поиск_расходки[Индекс6],0)),"")</f>
        <v/>
      </c>
      <c r="X48" s="116" t="str">
        <f>IFERROR(INDEX(Расходка[Наименование расходного материала],MATCH(Расходка[№],Поиск_расходки[Индекс7],0)),"")</f>
        <v>DES, Resolute Integtity</v>
      </c>
      <c r="Y48" s="116" t="str">
        <f>IFERROR(INDEX(Расходка[Наименование расходного материала],MATCH(Расходка[№],Поиск_расходки[Индекс8],0)),"")</f>
        <v>DES, Resolute Integtity</v>
      </c>
      <c r="Z48" s="116" t="str">
        <f>IFERROR(INDEX(Расходка[Наименование расходного материала],MATCH(Расходка[№],Поиск_расходки[Индекс9],0)),"")</f>
        <v>DES, Resolute Integtity</v>
      </c>
      <c r="AA48" s="116" t="str">
        <f>IFERROR(INDEX(Расходка[Наименование расходного материала],MATCH(Расходка[№],Поиск_расходки[Индекс10],0)),"")</f>
        <v>DES, Resolute Integtity</v>
      </c>
      <c r="AB48" s="116" t="str">
        <f>IFERROR(INDEX(Расходка[Наименование расходного материала],MATCH(Расходка[№],Поиск_расходки[Индекс11],0)),"")</f>
        <v>DES, Resolute Integtity</v>
      </c>
      <c r="AC48" s="116" t="str">
        <f>IFERROR(INDEX(Расходка[Наименование расходного материала],MATCH(Расходка[№],Поиск_расходки[Индекс12],0)),"")</f>
        <v>DES, Resolute Integtity</v>
      </c>
      <c r="AD48" s="116" t="str">
        <f>IFERROR(INDEX(Расходка[Наименование расходного материала],MATCH(Расходка[№],Поиск_расходки[Индекс13],0)),"")</f>
        <v>DES, Resolute Integtity</v>
      </c>
      <c r="AF48" s="4" t="s">
        <v>6</v>
      </c>
      <c r="AG48" s="4" t="s">
        <v>447</v>
      </c>
    </row>
    <row r="49" spans="1:33">
      <c r="A49">
        <v>48</v>
      </c>
      <c r="B49" t="s">
        <v>6</v>
      </c>
      <c r="C49" t="s">
        <v>358</v>
      </c>
      <c r="E49" s="117">
        <f>IF(ISNUMBER(SEARCH('Карта учёта'!$B$13,Расходка[[#This Row],[Наименование расходного материала]])),MAX($E$1:E48)+1,0)</f>
        <v>0</v>
      </c>
      <c r="F49" s="117">
        <f>IF(ISNUMBER(SEARCH('Карта учёта'!$B$14,Расходка[[#This Row],[Наименование расходного материала]])),MAX($F$1:F48)+1,0)</f>
        <v>0</v>
      </c>
      <c r="G49" s="117">
        <f>IF(ISNUMBER(SEARCH('Карта учёта'!$B$15,Расходка[Наименование расходного материала])),MAX($G$1:G48)+1,0)</f>
        <v>0</v>
      </c>
      <c r="H49" s="117">
        <f>IF(ISNUMBER(SEARCH('Карта учёта'!$B$16,Расходка[Наименование расходного материала])),MAX($H$1:H48)+1,0)</f>
        <v>0</v>
      </c>
      <c r="I49" s="117">
        <f>IF(ISNUMBER(SEARCH('Карта учёта'!$B$17,Расходка[Наименование расходного материала])),MAX($I$1:I48)+1,0)</f>
        <v>0</v>
      </c>
      <c r="J49" s="117">
        <f>IF(ISNUMBER(SEARCH('Карта учёта'!$B$18,Расходка[Наименование расходного материала])),MAX($J$1:J48)+1,0)</f>
        <v>0</v>
      </c>
      <c r="K49" s="117">
        <f>IF(ISNUMBER(SEARCH('Карта учёта'!$B$19,Расходка[Наименование расходного материала])),MAX($K$1:K48)+1,0)</f>
        <v>48</v>
      </c>
      <c r="L49" s="117">
        <f>IF(ISNUMBER(SEARCH('Карта учёта'!$B$20,Расходка[Наименование расходного материала])),MAX($L$1:L48)+1,0)</f>
        <v>48</v>
      </c>
      <c r="M49" s="117">
        <f>IF(ISNUMBER(SEARCH('Карта учёта'!$B$21,Расходка[Наименование расходного материала])),MAX($M$1:M48)+1,0)</f>
        <v>48</v>
      </c>
      <c r="N49" s="117">
        <f>IF(ISNUMBER(SEARCH('Карта учёта'!$B$22,Расходка[Наименование расходного материала])),MAX($N$1:N48)+1,0)</f>
        <v>48</v>
      </c>
      <c r="O49" s="117">
        <f>IF(ISNUMBER(SEARCH('Карта учёта'!$B$23,Расходка[Наименование расходного материала])),MAX($O$1:O48)+1,0)</f>
        <v>48</v>
      </c>
      <c r="P49" s="117">
        <f>IF(ISNUMBER(SEARCH('Карта учёта'!$B$24,Расходка[Наименование расходного материала])),MAX($P$1:P48)+1,0)</f>
        <v>48</v>
      </c>
      <c r="Q49" s="117">
        <f>IF(ISNUMBER(SEARCH('Карта учёта'!$B$25,Расходка[Наименование расходного материала])),MAX($Q$1:Q48)+1,0)</f>
        <v>48</v>
      </c>
      <c r="R49" s="116" t="str">
        <f>IFERROR(INDEX(Расходка[Наименование расходного материала],MATCH(Расходка[№],Поиск_расходки[Индекс1],0)),"")</f>
        <v/>
      </c>
      <c r="S49" s="116" t="str">
        <f>IFERROR(INDEX(Расходка[Наименование расходного материала],MATCH(Расходка[№],Поиск_расходки[Индекс2],0)),"")</f>
        <v/>
      </c>
      <c r="T49" s="116" t="str">
        <f>IFERROR(INDEX(Расходка[Наименование расходного материала],MATCH(Расходка[№],Поиск_расходки[Индекс3],0)),"")</f>
        <v/>
      </c>
      <c r="U49" s="116" t="str">
        <f>IFERROR(INDEX(Расходка[Наименование расходного материала],MATCH(Расходка[№],Поиск_расходки[Индекс4],0)),"")</f>
        <v/>
      </c>
      <c r="V49" s="116" t="str">
        <f>IFERROR(INDEX(Расходка[Наименование расходного материала],MATCH(Расходка[№],Поиск_расходки[Индекс5],0)),"")</f>
        <v/>
      </c>
      <c r="W49" s="116" t="str">
        <f>IFERROR(INDEX(Расходка[Наименование расходного материала],MATCH(Расходка[№],Поиск_расходки[Индекс6],0)),"")</f>
        <v/>
      </c>
      <c r="X49" s="116" t="str">
        <f>IFERROR(INDEX(Расходка[Наименование расходного материала],MATCH(Расходка[№],Поиск_расходки[Индекс7],0)),"")</f>
        <v>DES, Yukon Chrome PC</v>
      </c>
      <c r="Y49" s="116" t="str">
        <f>IFERROR(INDEX(Расходка[Наименование расходного материала],MATCH(Расходка[№],Поиск_расходки[Индекс8],0)),"")</f>
        <v>DES, Yukon Chrome PC</v>
      </c>
      <c r="Z49" s="116" t="str">
        <f>IFERROR(INDEX(Расходка[Наименование расходного материала],MATCH(Расходка[№],Поиск_расходки[Индекс9],0)),"")</f>
        <v>DES, Yukon Chrome PC</v>
      </c>
      <c r="AA49" s="116" t="str">
        <f>IFERROR(INDEX(Расходка[Наименование расходного материала],MATCH(Расходка[№],Поиск_расходки[Индекс10],0)),"")</f>
        <v>DES, Yukon Chrome PC</v>
      </c>
      <c r="AB49" s="116" t="str">
        <f>IFERROR(INDEX(Расходка[Наименование расходного материала],MATCH(Расходка[№],Поиск_расходки[Индекс11],0)),"")</f>
        <v>DES, Yukon Chrome PC</v>
      </c>
      <c r="AC49" s="116" t="str">
        <f>IFERROR(INDEX(Расходка[Наименование расходного материала],MATCH(Расходка[№],Поиск_расходки[Индекс12],0)),"")</f>
        <v>DES, Yukon Chrome PC</v>
      </c>
      <c r="AD49" s="116" t="str">
        <f>IFERROR(INDEX(Расходка[Наименование расходного материала],MATCH(Расходка[№],Поиск_расходки[Индекс13],0)),"")</f>
        <v>DES, Yukon Chrome PC</v>
      </c>
      <c r="AF49" s="4" t="s">
        <v>6</v>
      </c>
      <c r="AG49" s="4" t="s">
        <v>448</v>
      </c>
    </row>
    <row r="50" spans="1:33">
      <c r="A50">
        <v>49</v>
      </c>
      <c r="B50" t="s">
        <v>6</v>
      </c>
      <c r="C50" s="165" t="s">
        <v>389</v>
      </c>
      <c r="E50" s="117">
        <f>IF(ISNUMBER(SEARCH('Карта учёта'!$B$13,Расходка[[#This Row],[Наименование расходного материала]])),MAX($E$1:E49)+1,0)</f>
        <v>0</v>
      </c>
      <c r="F50" s="117">
        <f>IF(ISNUMBER(SEARCH('Карта учёта'!$B$14,Расходка[[#This Row],[Наименование расходного материала]])),MAX($F$1:F49)+1,0)</f>
        <v>0</v>
      </c>
      <c r="G50" s="117">
        <f>IF(ISNUMBER(SEARCH('Карта учёта'!$B$15,Расходка[Наименование расходного материала])),MAX($G$1:G49)+1,0)</f>
        <v>0</v>
      </c>
      <c r="H50" s="117">
        <f>IF(ISNUMBER(SEARCH('Карта учёта'!$B$16,Расходка[Наименование расходного материала])),MAX($H$1:H49)+1,0)</f>
        <v>0</v>
      </c>
      <c r="I50" s="117">
        <f>IF(ISNUMBER(SEARCH('Карта учёта'!$B$17,Расходка[Наименование расходного материала])),MAX($I$1:I49)+1,0)</f>
        <v>0</v>
      </c>
      <c r="J50" s="117">
        <f>IF(ISNUMBER(SEARCH('Карта учёта'!$B$18,Расходка[Наименование расходного материала])),MAX($J$1:J49)+1,0)</f>
        <v>0</v>
      </c>
      <c r="K50" s="117">
        <f>IF(ISNUMBER(SEARCH('Карта учёта'!$B$19,Расходка[Наименование расходного материала])),MAX($K$1:K49)+1,0)</f>
        <v>49</v>
      </c>
      <c r="L50" s="117">
        <f>IF(ISNUMBER(SEARCH('Карта учёта'!$B$20,Расходка[Наименование расходного материала])),MAX($L$1:L49)+1,0)</f>
        <v>49</v>
      </c>
      <c r="M50" s="117">
        <f>IF(ISNUMBER(SEARCH('Карта учёта'!$B$21,Расходка[Наименование расходного материала])),MAX($M$1:M49)+1,0)</f>
        <v>49</v>
      </c>
      <c r="N50" s="117">
        <f>IF(ISNUMBER(SEARCH('Карта учёта'!$B$22,Расходка[Наименование расходного материала])),MAX($N$1:N49)+1,0)</f>
        <v>49</v>
      </c>
      <c r="O50" s="117">
        <f>IF(ISNUMBER(SEARCH('Карта учёта'!$B$23,Расходка[Наименование расходного материала])),MAX($O$1:O49)+1,0)</f>
        <v>49</v>
      </c>
      <c r="P50" s="117">
        <f>IF(ISNUMBER(SEARCH('Карта учёта'!$B$24,Расходка[Наименование расходного материала])),MAX($P$1:P49)+1,0)</f>
        <v>49</v>
      </c>
      <c r="Q50" s="117">
        <f>IF(ISNUMBER(SEARCH('Карта учёта'!$B$25,Расходка[Наименование расходного материала])),MAX($Q$1:Q49)+1,0)</f>
        <v>49</v>
      </c>
      <c r="R50" s="116" t="str">
        <f>IFERROR(INDEX(Расходка[Наименование расходного материала],MATCH(Расходка[№],Поиск_расходки[Индекс1],0)),"")</f>
        <v/>
      </c>
      <c r="S50" s="116" t="str">
        <f>IFERROR(INDEX(Расходка[Наименование расходного материала],MATCH(Расходка[№],Поиск_расходки[Индекс2],0)),"")</f>
        <v/>
      </c>
      <c r="T50" s="116" t="str">
        <f>IFERROR(INDEX(Расходка[Наименование расходного материала],MATCH(Расходка[№],Поиск_расходки[Индекс3],0)),"")</f>
        <v/>
      </c>
      <c r="U50" s="116" t="str">
        <f>IFERROR(INDEX(Расходка[Наименование расходного материала],MATCH(Расходка[№],Поиск_расходки[Индекс4],0)),"")</f>
        <v/>
      </c>
      <c r="V50" s="116" t="str">
        <f>IFERROR(INDEX(Расходка[Наименование расходного материала],MATCH(Расходка[№],Поиск_расходки[Индекс5],0)),"")</f>
        <v/>
      </c>
      <c r="W50" s="116" t="str">
        <f>IFERROR(INDEX(Расходка[Наименование расходного материала],MATCH(Расходка[№],Поиск_расходки[Индекс6],0)),"")</f>
        <v/>
      </c>
      <c r="X50" s="116" t="str">
        <f>IFERROR(INDEX(Расходка[Наименование расходного материала],MATCH(Расходка[№],Поиск_расходки[Индекс7],0)),"")</f>
        <v>DES, Firehawk</v>
      </c>
      <c r="Y50" s="116" t="str">
        <f>IFERROR(INDEX(Расходка[Наименование расходного материала],MATCH(Расходка[№],Поиск_расходки[Индекс8],0)),"")</f>
        <v>DES, Firehawk</v>
      </c>
      <c r="Z50" s="116" t="str">
        <f>IFERROR(INDEX(Расходка[Наименование расходного материала],MATCH(Расходка[№],Поиск_расходки[Индекс9],0)),"")</f>
        <v>DES, Firehawk</v>
      </c>
      <c r="AA50" s="116" t="str">
        <f>IFERROR(INDEX(Расходка[Наименование расходного материала],MATCH(Расходка[№],Поиск_расходки[Индекс10],0)),"")</f>
        <v>DES, Firehawk</v>
      </c>
      <c r="AB50" s="116" t="str">
        <f>IFERROR(INDEX(Расходка[Наименование расходного материала],MATCH(Расходка[№],Поиск_расходки[Индекс11],0)),"")</f>
        <v>DES, Firehawk</v>
      </c>
      <c r="AC50" s="116" t="str">
        <f>IFERROR(INDEX(Расходка[Наименование расходного материала],MATCH(Расходка[№],Поиск_расходки[Индекс12],0)),"")</f>
        <v>DES, Firehawk</v>
      </c>
      <c r="AD50" s="116" t="str">
        <f>IFERROR(INDEX(Расходка[Наименование расходного материала],MATCH(Расходка[№],Поиск_расходки[Индекс13],0)),"")</f>
        <v>DES, Firehawk</v>
      </c>
      <c r="AF50" s="4" t="s">
        <v>6</v>
      </c>
      <c r="AG50" s="4" t="s">
        <v>449</v>
      </c>
    </row>
    <row r="51" spans="1:33">
      <c r="A51">
        <v>50</v>
      </c>
      <c r="B51" t="s">
        <v>6</v>
      </c>
      <c r="C51" t="s">
        <v>388</v>
      </c>
      <c r="E51" s="117">
        <f>IF(ISNUMBER(SEARCH('Карта учёта'!$B$13,Расходка[[#This Row],[Наименование расходного материала]])),MAX($E$1:E50)+1,0)</f>
        <v>0</v>
      </c>
      <c r="F51" s="117">
        <f>IF(ISNUMBER(SEARCH('Карта учёта'!$B$14,Расходка[[#This Row],[Наименование расходного материала]])),MAX($F$1:F50)+1,0)</f>
        <v>0</v>
      </c>
      <c r="G51" s="117">
        <f>IF(ISNUMBER(SEARCH('Карта учёта'!$B$15,Расходка[Наименование расходного материала])),MAX($G$1:G50)+1,0)</f>
        <v>0</v>
      </c>
      <c r="H51" s="117">
        <f>IF(ISNUMBER(SEARCH('Карта учёта'!$B$16,Расходка[Наименование расходного материала])),MAX($H$1:H50)+1,0)</f>
        <v>0</v>
      </c>
      <c r="I51" s="117">
        <f>IF(ISNUMBER(SEARCH('Карта учёта'!$B$17,Расходка[Наименование расходного материала])),MAX($I$1:I50)+1,0)</f>
        <v>0</v>
      </c>
      <c r="J51" s="117">
        <f>IF(ISNUMBER(SEARCH('Карта учёта'!$B$18,Расходка[Наименование расходного материала])),MAX($J$1:J50)+1,0)</f>
        <v>0</v>
      </c>
      <c r="K51" s="117">
        <f>IF(ISNUMBER(SEARCH('Карта учёта'!$B$19,Расходка[Наименование расходного материала])),MAX($K$1:K50)+1,0)</f>
        <v>50</v>
      </c>
      <c r="L51" s="117">
        <f>IF(ISNUMBER(SEARCH('Карта учёта'!$B$20,Расходка[Наименование расходного материала])),MAX($L$1:L50)+1,0)</f>
        <v>50</v>
      </c>
      <c r="M51" s="117">
        <f>IF(ISNUMBER(SEARCH('Карта учёта'!$B$21,Расходка[Наименование расходного материала])),MAX($M$1:M50)+1,0)</f>
        <v>50</v>
      </c>
      <c r="N51" s="117">
        <f>IF(ISNUMBER(SEARCH('Карта учёта'!$B$22,Расходка[Наименование расходного материала])),MAX($N$1:N50)+1,0)</f>
        <v>50</v>
      </c>
      <c r="O51" s="117">
        <f>IF(ISNUMBER(SEARCH('Карта учёта'!$B$23,Расходка[Наименование расходного материала])),MAX($O$1:O50)+1,0)</f>
        <v>50</v>
      </c>
      <c r="P51" s="117">
        <f>IF(ISNUMBER(SEARCH('Карта учёта'!$B$24,Расходка[Наименование расходного материала])),MAX($P$1:P50)+1,0)</f>
        <v>50</v>
      </c>
      <c r="Q51" s="117">
        <f>IF(ISNUMBER(SEARCH('Карта учёта'!$B$25,Расходка[Наименование расходного материала])),MAX($Q$1:Q50)+1,0)</f>
        <v>50</v>
      </c>
      <c r="R51" s="116" t="str">
        <f>IFERROR(INDEX(Расходка[Наименование расходного материала],MATCH(Расходка[№],Поиск_расходки[Индекс1],0)),"")</f>
        <v/>
      </c>
      <c r="S51" s="116" t="str">
        <f>IFERROR(INDEX(Расходка[Наименование расходного материала],MATCH(Расходка[№],Поиск_расходки[Индекс2],0)),"")</f>
        <v/>
      </c>
      <c r="T51" s="116" t="str">
        <f>IFERROR(INDEX(Расходка[Наименование расходного материала],MATCH(Расходка[№],Поиск_расходки[Индекс3],0)),"")</f>
        <v/>
      </c>
      <c r="U51" s="116" t="str">
        <f>IFERROR(INDEX(Расходка[Наименование расходного материала],MATCH(Расходка[№],Поиск_расходки[Индекс4],0)),"")</f>
        <v/>
      </c>
      <c r="V51" s="116" t="str">
        <f>IFERROR(INDEX(Расходка[Наименование расходного материала],MATCH(Расходка[№],Поиск_расходки[Индекс5],0)),"")</f>
        <v/>
      </c>
      <c r="W51" s="116" t="str">
        <f>IFERROR(INDEX(Расходка[Наименование расходного материала],MATCH(Расходка[№],Поиск_расходки[Индекс6],0)),"")</f>
        <v/>
      </c>
      <c r="X51" s="116" t="str">
        <f>IFERROR(INDEX(Расходка[Наименование расходного материала],MATCH(Расходка[№],Поиск_расходки[Индекс7],0)),"")</f>
        <v>DES, Resolute Onyx</v>
      </c>
      <c r="Y51" s="116" t="str">
        <f>IFERROR(INDEX(Расходка[Наименование расходного материала],MATCH(Расходка[№],Поиск_расходки[Индекс8],0)),"")</f>
        <v>DES, Resolute Onyx</v>
      </c>
      <c r="Z51" s="116" t="str">
        <f>IFERROR(INDEX(Расходка[Наименование расходного материала],MATCH(Расходка[№],Поиск_расходки[Индекс9],0)),"")</f>
        <v>DES, Resolute Onyx</v>
      </c>
      <c r="AA51" s="116" t="str">
        <f>IFERROR(INDEX(Расходка[Наименование расходного материала],MATCH(Расходка[№],Поиск_расходки[Индекс10],0)),"")</f>
        <v>DES, Resolute Onyx</v>
      </c>
      <c r="AB51" s="116" t="str">
        <f>IFERROR(INDEX(Расходка[Наименование расходного материала],MATCH(Расходка[№],Поиск_расходки[Индекс11],0)),"")</f>
        <v>DES, Resolute Onyx</v>
      </c>
      <c r="AC51" s="116" t="str">
        <f>IFERROR(INDEX(Расходка[Наименование расходного материала],MATCH(Расходка[№],Поиск_расходки[Индекс12],0)),"")</f>
        <v>DES, Resolute Onyx</v>
      </c>
      <c r="AD51" s="116" t="str">
        <f>IFERROR(INDEX(Расходка[Наименование расходного материала],MATCH(Расходка[№],Поиск_расходки[Индекс13],0)),"")</f>
        <v>DES, Resolute Onyx</v>
      </c>
      <c r="AF51" s="4" t="s">
        <v>6</v>
      </c>
      <c r="AG51" s="4" t="s">
        <v>450</v>
      </c>
    </row>
    <row r="52" spans="1:33">
      <c r="A52">
        <v>51</v>
      </c>
      <c r="B52" t="s">
        <v>95</v>
      </c>
      <c r="C52" s="1" t="s">
        <v>325</v>
      </c>
      <c r="E52" s="117">
        <f>IF(ISNUMBER(SEARCH('Карта учёта'!$B$13,Расходка[[#This Row],[Наименование расходного материала]])),MAX($E$1:E51)+1,0)</f>
        <v>0</v>
      </c>
      <c r="F52" s="117">
        <f>IF(ISNUMBER(SEARCH('Карта учёта'!$B$14,Расходка[[#This Row],[Наименование расходного материала]])),MAX($F$1:F51)+1,0)</f>
        <v>0</v>
      </c>
      <c r="G52" s="117">
        <f>IF(ISNUMBER(SEARCH('Карта учёта'!$B$15,Расходка[Наименование расходного материала])),MAX($G$1:G51)+1,0)</f>
        <v>0</v>
      </c>
      <c r="H52" s="117">
        <f>IF(ISNUMBER(SEARCH('Карта учёта'!$B$16,Расходка[Наименование расходного материала])),MAX($H$1:H51)+1,0)</f>
        <v>0</v>
      </c>
      <c r="I52" s="117">
        <f>IF(ISNUMBER(SEARCH('Карта учёта'!$B$17,Расходка[Наименование расходного материала])),MAX($I$1:I51)+1,0)</f>
        <v>0</v>
      </c>
      <c r="J52" s="117">
        <f>IF(ISNUMBER(SEARCH('Карта учёта'!$B$18,Расходка[Наименование расходного материала])),MAX($J$1:J51)+1,0)</f>
        <v>0</v>
      </c>
      <c r="K52" s="117">
        <f>IF(ISNUMBER(SEARCH('Карта учёта'!$B$19,Расходка[Наименование расходного материала])),MAX($K$1:K51)+1,0)</f>
        <v>51</v>
      </c>
      <c r="L52" s="117">
        <f>IF(ISNUMBER(SEARCH('Карта учёта'!$B$20,Расходка[Наименование расходного материала])),MAX($L$1:L51)+1,0)</f>
        <v>51</v>
      </c>
      <c r="M52" s="117">
        <f>IF(ISNUMBER(SEARCH('Карта учёта'!$B$21,Расходка[Наименование расходного материала])),MAX($M$1:M51)+1,0)</f>
        <v>51</v>
      </c>
      <c r="N52" s="117">
        <f>IF(ISNUMBER(SEARCH('Карта учёта'!$B$22,Расходка[Наименование расходного материала])),MAX($N$1:N51)+1,0)</f>
        <v>51</v>
      </c>
      <c r="O52" s="117">
        <f>IF(ISNUMBER(SEARCH('Карта учёта'!$B$23,Расходка[Наименование расходного материала])),MAX($O$1:O51)+1,0)</f>
        <v>51</v>
      </c>
      <c r="P52" s="117">
        <f>IF(ISNUMBER(SEARCH('Карта учёта'!$B$24,Расходка[Наименование расходного материала])),MAX($P$1:P51)+1,0)</f>
        <v>51</v>
      </c>
      <c r="Q52" s="117">
        <f>IF(ISNUMBER(SEARCH('Карта учёта'!$B$25,Расходка[Наименование расходного материала])),MAX($Q$1:Q51)+1,0)</f>
        <v>51</v>
      </c>
      <c r="R52" s="116" t="str">
        <f>IFERROR(INDEX(Расходка[Наименование расходного материала],MATCH(Расходка[№],Поиск_расходки[Индекс1],0)),"")</f>
        <v/>
      </c>
      <c r="S52" s="116" t="str">
        <f>IFERROR(INDEX(Расходка[Наименование расходного материала],MATCH(Расходка[№],Поиск_расходки[Индекс2],0)),"")</f>
        <v/>
      </c>
      <c r="T52" s="116" t="str">
        <f>IFERROR(INDEX(Расходка[Наименование расходного материала],MATCH(Расходка[№],Поиск_расходки[Индекс3],0)),"")</f>
        <v/>
      </c>
      <c r="U52" s="116" t="str">
        <f>IFERROR(INDEX(Расходка[Наименование расходного материала],MATCH(Расходка[№],Поиск_расходки[Индекс4],0)),"")</f>
        <v/>
      </c>
      <c r="V52" s="116" t="str">
        <f>IFERROR(INDEX(Расходка[Наименование расходного материала],MATCH(Расходка[№],Поиск_расходки[Индекс5],0)),"")</f>
        <v/>
      </c>
      <c r="W52" s="116" t="str">
        <f>IFERROR(INDEX(Расходка[Наименование расходного материала],MATCH(Расходка[№],Поиск_расходки[Индекс6],0)),"")</f>
        <v/>
      </c>
      <c r="X52" s="116" t="str">
        <f>IFERROR(INDEX(Расходка[Наименование расходного материала],MATCH(Расходка[№],Поиск_расходки[Индекс7],0)),"")</f>
        <v>Guidezilla™ II 6F</v>
      </c>
      <c r="Y52" s="116" t="str">
        <f>IFERROR(INDEX(Расходка[Наименование расходного материала],MATCH(Расходка[№],Поиск_расходки[Индекс8],0)),"")</f>
        <v>Guidezilla™ II 6F</v>
      </c>
      <c r="Z52" s="116" t="str">
        <f>IFERROR(INDEX(Расходка[Наименование расходного материала],MATCH(Расходка[№],Поиск_расходки[Индекс9],0)),"")</f>
        <v>Guidezilla™ II 6F</v>
      </c>
      <c r="AA52" s="116" t="str">
        <f>IFERROR(INDEX(Расходка[Наименование расходного материала],MATCH(Расходка[№],Поиск_расходки[Индекс10],0)),"")</f>
        <v>Guidezilla™ II 6F</v>
      </c>
      <c r="AB52" s="116" t="str">
        <f>IFERROR(INDEX(Расходка[Наименование расходного материала],MATCH(Расходка[№],Поиск_расходки[Индекс11],0)),"")</f>
        <v>Guidezilla™ II 6F</v>
      </c>
      <c r="AC52" s="116" t="str">
        <f>IFERROR(INDEX(Расходка[Наименование расходного материала],MATCH(Расходка[№],Поиск_расходки[Индекс12],0)),"")</f>
        <v>Guidezilla™ II 6F</v>
      </c>
      <c r="AD52" s="116" t="str">
        <f>IFERROR(INDEX(Расходка[Наименование расходного материала],MATCH(Расходка[№],Поиск_расходки[Индекс13],0)),"")</f>
        <v>Guidezilla™ II 6F</v>
      </c>
      <c r="AF52" s="4" t="s">
        <v>6</v>
      </c>
      <c r="AG52" s="4" t="s">
        <v>451</v>
      </c>
    </row>
    <row r="53" spans="1:33">
      <c r="A53">
        <v>52</v>
      </c>
      <c r="B53" t="s">
        <v>95</v>
      </c>
      <c r="C53" s="1" t="s">
        <v>344</v>
      </c>
      <c r="E53" s="117">
        <f>IF(ISNUMBER(SEARCH('Карта учёта'!$B$13,Расходка[[#This Row],[Наименование расходного материала]])),MAX($E$1:E52)+1,0)</f>
        <v>0</v>
      </c>
      <c r="F53" s="117">
        <f>IF(ISNUMBER(SEARCH('Карта учёта'!$B$14,Расходка[[#This Row],[Наименование расходного материала]])),MAX($F$1:F52)+1,0)</f>
        <v>0</v>
      </c>
      <c r="G53" s="117">
        <f>IF(ISNUMBER(SEARCH('Карта учёта'!$B$15,Расходка[Наименование расходного материала])),MAX($G$1:G52)+1,0)</f>
        <v>0</v>
      </c>
      <c r="H53" s="117">
        <f>IF(ISNUMBER(SEARCH('Карта учёта'!$B$16,Расходка[Наименование расходного материала])),MAX($H$1:H52)+1,0)</f>
        <v>0</v>
      </c>
      <c r="I53" s="117">
        <f>IF(ISNUMBER(SEARCH('Карта учёта'!$B$17,Расходка[Наименование расходного материала])),MAX($I$1:I52)+1,0)</f>
        <v>0</v>
      </c>
      <c r="J53" s="117">
        <f>IF(ISNUMBER(SEARCH('Карта учёта'!$B$18,Расходка[Наименование расходного материала])),MAX($J$1:J52)+1,0)</f>
        <v>0</v>
      </c>
      <c r="K53" s="117">
        <f>IF(ISNUMBER(SEARCH('Карта учёта'!$B$19,Расходка[Наименование расходного материала])),MAX($K$1:K52)+1,0)</f>
        <v>52</v>
      </c>
      <c r="L53" s="117">
        <f>IF(ISNUMBER(SEARCH('Карта учёта'!$B$20,Расходка[Наименование расходного материала])),MAX($L$1:L52)+1,0)</f>
        <v>52</v>
      </c>
      <c r="M53" s="117">
        <f>IF(ISNUMBER(SEARCH('Карта учёта'!$B$21,Расходка[Наименование расходного материала])),MAX($M$1:M52)+1,0)</f>
        <v>52</v>
      </c>
      <c r="N53" s="117">
        <f>IF(ISNUMBER(SEARCH('Карта учёта'!$B$22,Расходка[Наименование расходного материала])),MAX($N$1:N52)+1,0)</f>
        <v>52</v>
      </c>
      <c r="O53" s="117">
        <f>IF(ISNUMBER(SEARCH('Карта учёта'!$B$23,Расходка[Наименование расходного материала])),MAX($O$1:O52)+1,0)</f>
        <v>52</v>
      </c>
      <c r="P53" s="117">
        <f>IF(ISNUMBER(SEARCH('Карта учёта'!$B$24,Расходка[Наименование расходного материала])),MAX($P$1:P52)+1,0)</f>
        <v>52</v>
      </c>
      <c r="Q53" s="117">
        <f>IF(ISNUMBER(SEARCH('Карта учёта'!$B$25,Расходка[Наименование расходного материала])),MAX($Q$1:Q52)+1,0)</f>
        <v>52</v>
      </c>
      <c r="R53" s="116" t="str">
        <f>IFERROR(INDEX(Расходка[Наименование расходного материала],MATCH(Расходка[№],Поиск_расходки[Индекс1],0)),"")</f>
        <v/>
      </c>
      <c r="S53" s="116" t="str">
        <f>IFERROR(INDEX(Расходка[Наименование расходного материала],MATCH(Расходка[№],Поиск_расходки[Индекс2],0)),"")</f>
        <v/>
      </c>
      <c r="T53" s="116" t="str">
        <f>IFERROR(INDEX(Расходка[Наименование расходного материала],MATCH(Расходка[№],Поиск_расходки[Индекс3],0)),"")</f>
        <v/>
      </c>
      <c r="U53" s="116" t="str">
        <f>IFERROR(INDEX(Расходка[Наименование расходного материала],MATCH(Расходка[№],Поиск_расходки[Индекс4],0)),"")</f>
        <v/>
      </c>
      <c r="V53" s="116" t="str">
        <f>IFERROR(INDEX(Расходка[Наименование расходного материала],MATCH(Расходка[№],Поиск_расходки[Индекс5],0)),"")</f>
        <v/>
      </c>
      <c r="W53" s="116" t="str">
        <f>IFERROR(INDEX(Расходка[Наименование расходного материала],MATCH(Расходка[№],Поиск_расходки[Индекс6],0)),"")</f>
        <v/>
      </c>
      <c r="X53" s="116" t="str">
        <f>IFERROR(INDEX(Расходка[Наименование расходного материала],MATCH(Расходка[№],Поиск_расходки[Индекс7],0)),"")</f>
        <v>Telescope ™ II 6F</v>
      </c>
      <c r="Y53" s="116" t="str">
        <f>IFERROR(INDEX(Расходка[Наименование расходного материала],MATCH(Расходка[№],Поиск_расходки[Индекс8],0)),"")</f>
        <v>Telescope ™ II 6F</v>
      </c>
      <c r="Z53" s="116" t="str">
        <f>IFERROR(INDEX(Расходка[Наименование расходного материала],MATCH(Расходка[№],Поиск_расходки[Индекс9],0)),"")</f>
        <v>Telescope ™ II 6F</v>
      </c>
      <c r="AA53" s="116" t="str">
        <f>IFERROR(INDEX(Расходка[Наименование расходного материала],MATCH(Расходка[№],Поиск_расходки[Индекс10],0)),"")</f>
        <v>Telescope ™ II 6F</v>
      </c>
      <c r="AB53" s="116" t="str">
        <f>IFERROR(INDEX(Расходка[Наименование расходного материала],MATCH(Расходка[№],Поиск_расходки[Индекс11],0)),"")</f>
        <v>Telescope ™ II 6F</v>
      </c>
      <c r="AC53" s="116" t="str">
        <f>IFERROR(INDEX(Расходка[Наименование расходного материала],MATCH(Расходка[№],Поиск_расходки[Индекс12],0)),"")</f>
        <v>Telescope ™ II 6F</v>
      </c>
      <c r="AD53" s="116" t="str">
        <f>IFERROR(INDEX(Расходка[Наименование расходного материала],MATCH(Расходка[№],Поиск_расходки[Индекс13],0)),"")</f>
        <v>Telescope ™ II 6F</v>
      </c>
      <c r="AF53" s="4" t="s">
        <v>6</v>
      </c>
      <c r="AG53" s="4" t="s">
        <v>452</v>
      </c>
    </row>
    <row r="54" spans="1:33">
      <c r="A54">
        <v>53</v>
      </c>
      <c r="B54" t="s">
        <v>4</v>
      </c>
      <c r="C54" t="s">
        <v>351</v>
      </c>
      <c r="E54" s="117">
        <f>IF(ISNUMBER(SEARCH('Карта учёта'!$B$13,Расходка[[#This Row],[Наименование расходного материала]])),MAX($E$1:E53)+1,0)</f>
        <v>0</v>
      </c>
      <c r="F54" s="117">
        <f>IF(ISNUMBER(SEARCH('Карта учёта'!$B$14,Расходка[[#This Row],[Наименование расходного материала]])),MAX($F$1:F53)+1,0)</f>
        <v>0</v>
      </c>
      <c r="G54" s="117">
        <f>IF(ISNUMBER(SEARCH('Карта учёта'!$B$15,Расходка[Наименование расходного материала])),MAX($G$1:G53)+1,0)</f>
        <v>0</v>
      </c>
      <c r="H54" s="117">
        <f>IF(ISNUMBER(SEARCH('Карта учёта'!$B$16,Расходка[Наименование расходного материала])),MAX($H$1:H53)+1,0)</f>
        <v>0</v>
      </c>
      <c r="I54" s="117">
        <f>IF(ISNUMBER(SEARCH('Карта учёта'!$B$17,Расходка[Наименование расходного материала])),MAX($I$1:I53)+1,0)</f>
        <v>0</v>
      </c>
      <c r="J54" s="117">
        <f>IF(ISNUMBER(SEARCH('Карта учёта'!$B$18,Расходка[Наименование расходного материала])),MAX($J$1:J53)+1,0)</f>
        <v>0</v>
      </c>
      <c r="K54" s="117">
        <f>IF(ISNUMBER(SEARCH('Карта учёта'!$B$19,Расходка[Наименование расходного материала])),MAX($K$1:K53)+1,0)</f>
        <v>53</v>
      </c>
      <c r="L54" s="117">
        <f>IF(ISNUMBER(SEARCH('Карта учёта'!$B$20,Расходка[Наименование расходного материала])),MAX($L$1:L53)+1,0)</f>
        <v>53</v>
      </c>
      <c r="M54" s="117">
        <f>IF(ISNUMBER(SEARCH('Карта учёта'!$B$21,Расходка[Наименование расходного материала])),MAX($M$1:M53)+1,0)</f>
        <v>53</v>
      </c>
      <c r="N54" s="117">
        <f>IF(ISNUMBER(SEARCH('Карта учёта'!$B$22,Расходка[Наименование расходного материала])),MAX($N$1:N53)+1,0)</f>
        <v>53</v>
      </c>
      <c r="O54" s="117">
        <f>IF(ISNUMBER(SEARCH('Карта учёта'!$B$23,Расходка[Наименование расходного материала])),MAX($O$1:O53)+1,0)</f>
        <v>53</v>
      </c>
      <c r="P54" s="117">
        <f>IF(ISNUMBER(SEARCH('Карта учёта'!$B$24,Расходка[Наименование расходного материала])),MAX($P$1:P53)+1,0)</f>
        <v>53</v>
      </c>
      <c r="Q54" s="117">
        <f>IF(ISNUMBER(SEARCH('Карта учёта'!$B$25,Расходка[Наименование расходного материала])),MAX($Q$1:Q53)+1,0)</f>
        <v>53</v>
      </c>
      <c r="R54" s="116" t="str">
        <f>IFERROR(INDEX(Расходка[Наименование расходного материала],MATCH(Расходка[№],Поиск_расходки[Индекс1],0)),"")</f>
        <v/>
      </c>
      <c r="S54" s="116" t="str">
        <f>IFERROR(INDEX(Расходка[Наименование расходного материала],MATCH(Расходка[№],Поиск_расходки[Индекс2],0)),"")</f>
        <v/>
      </c>
      <c r="T54" s="116" t="str">
        <f>IFERROR(INDEX(Расходка[Наименование расходного материала],MATCH(Расходка[№],Поиск_расходки[Индекс3],0)),"")</f>
        <v/>
      </c>
      <c r="U54" s="116" t="str">
        <f>IFERROR(INDEX(Расходка[Наименование расходного материала],MATCH(Расходка[№],Поиск_расходки[Индекс4],0)),"")</f>
        <v/>
      </c>
      <c r="V54" s="116" t="str">
        <f>IFERROR(INDEX(Расходка[Наименование расходного материала],MATCH(Расходка[№],Поиск_расходки[Индекс5],0)),"")</f>
        <v/>
      </c>
      <c r="W54" s="116" t="str">
        <f>IFERROR(INDEX(Расходка[Наименование расходного материала],MATCH(Расходка[№],Поиск_расходки[Индекс6],0)),"")</f>
        <v/>
      </c>
      <c r="X54" s="116" t="str">
        <f>IFERROR(INDEX(Расходка[Наименование расходного материала],MATCH(Расходка[№],Поиск_расходки[Индекс7],0)),"")</f>
        <v>Launcher 6F AL 1</v>
      </c>
      <c r="Y54" s="116" t="str">
        <f>IFERROR(INDEX(Расходка[Наименование расходного материала],MATCH(Расходка[№],Поиск_расходки[Индекс8],0)),"")</f>
        <v>Launcher 6F AL 1</v>
      </c>
      <c r="Z54" s="116" t="str">
        <f>IFERROR(INDEX(Расходка[Наименование расходного материала],MATCH(Расходка[№],Поиск_расходки[Индекс9],0)),"")</f>
        <v>Launcher 6F AL 1</v>
      </c>
      <c r="AA54" s="116" t="str">
        <f>IFERROR(INDEX(Расходка[Наименование расходного материала],MATCH(Расходка[№],Поиск_расходки[Индекс10],0)),"")</f>
        <v>Launcher 6F AL 1</v>
      </c>
      <c r="AB54" s="116" t="str">
        <f>IFERROR(INDEX(Расходка[Наименование расходного материала],MATCH(Расходка[№],Поиск_расходки[Индекс11],0)),"")</f>
        <v>Launcher 6F AL 1</v>
      </c>
      <c r="AC54" s="116" t="str">
        <f>IFERROR(INDEX(Расходка[Наименование расходного материала],MATCH(Расходка[№],Поиск_расходки[Индекс12],0)),"")</f>
        <v>Launcher 6F AL 1</v>
      </c>
      <c r="AD54" s="116" t="str">
        <f>IFERROR(INDEX(Расходка[Наименование расходного материала],MATCH(Расходка[№],Поиск_расходки[Индекс13],0)),"")</f>
        <v>Launcher 6F AL 1</v>
      </c>
      <c r="AF54" s="4" t="s">
        <v>6</v>
      </c>
      <c r="AG54" s="4" t="s">
        <v>453</v>
      </c>
    </row>
    <row r="55" spans="1:33">
      <c r="A55">
        <v>54</v>
      </c>
      <c r="B55" t="s">
        <v>4</v>
      </c>
      <c r="C55" t="s">
        <v>352</v>
      </c>
      <c r="E55" s="117">
        <f>IF(ISNUMBER(SEARCH('Карта учёта'!$B$13,Расходка[[#This Row],[Наименование расходного материала]])),MAX($E$1:E54)+1,0)</f>
        <v>0</v>
      </c>
      <c r="F55" s="117">
        <f>IF(ISNUMBER(SEARCH('Карта учёта'!$B$14,Расходка[[#This Row],[Наименование расходного материала]])),MAX($F$1:F54)+1,0)</f>
        <v>0</v>
      </c>
      <c r="G55" s="117">
        <f>IF(ISNUMBER(SEARCH('Карта учёта'!$B$15,Расходка[Наименование расходного материала])),MAX($G$1:G54)+1,0)</f>
        <v>0</v>
      </c>
      <c r="H55" s="117">
        <f>IF(ISNUMBER(SEARCH('Карта учёта'!$B$16,Расходка[Наименование расходного материала])),MAX($H$1:H54)+1,0)</f>
        <v>0</v>
      </c>
      <c r="I55" s="117">
        <f>IF(ISNUMBER(SEARCH('Карта учёта'!$B$17,Расходка[Наименование расходного материала])),MAX($I$1:I54)+1,0)</f>
        <v>0</v>
      </c>
      <c r="J55" s="117">
        <f>IF(ISNUMBER(SEARCH('Карта учёта'!$B$18,Расходка[Наименование расходного материала])),MAX($J$1:J54)+1,0)</f>
        <v>0</v>
      </c>
      <c r="K55" s="117">
        <f>IF(ISNUMBER(SEARCH('Карта учёта'!$B$19,Расходка[Наименование расходного материала])),MAX($K$1:K54)+1,0)</f>
        <v>54</v>
      </c>
      <c r="L55" s="117">
        <f>IF(ISNUMBER(SEARCH('Карта учёта'!$B$20,Расходка[Наименование расходного материала])),MAX($L$1:L54)+1,0)</f>
        <v>54</v>
      </c>
      <c r="M55" s="117">
        <f>IF(ISNUMBER(SEARCH('Карта учёта'!$B$21,Расходка[Наименование расходного материала])),MAX($M$1:M54)+1,0)</f>
        <v>54</v>
      </c>
      <c r="N55" s="117">
        <f>IF(ISNUMBER(SEARCH('Карта учёта'!$B$22,Расходка[Наименование расходного материала])),MAX($N$1:N54)+1,0)</f>
        <v>54</v>
      </c>
      <c r="O55" s="117">
        <f>IF(ISNUMBER(SEARCH('Карта учёта'!$B$23,Расходка[Наименование расходного материала])),MAX($O$1:O54)+1,0)</f>
        <v>54</v>
      </c>
      <c r="P55" s="117">
        <f>IF(ISNUMBER(SEARCH('Карта учёта'!$B$24,Расходка[Наименование расходного материала])),MAX($P$1:P54)+1,0)</f>
        <v>54</v>
      </c>
      <c r="Q55" s="117">
        <f>IF(ISNUMBER(SEARCH('Карта учёта'!$B$25,Расходка[Наименование расходного материала])),MAX($Q$1:Q54)+1,0)</f>
        <v>54</v>
      </c>
      <c r="R55" s="116" t="str">
        <f>IFERROR(INDEX(Расходка[Наименование расходного материала],MATCH(Расходка[№],Поиск_расходки[Индекс1],0)),"")</f>
        <v/>
      </c>
      <c r="S55" s="116" t="str">
        <f>IFERROR(INDEX(Расходка[Наименование расходного материала],MATCH(Расходка[№],Поиск_расходки[Индекс2],0)),"")</f>
        <v/>
      </c>
      <c r="T55" s="116" t="str">
        <f>IFERROR(INDEX(Расходка[Наименование расходного материала],MATCH(Расходка[№],Поиск_расходки[Индекс3],0)),"")</f>
        <v/>
      </c>
      <c r="U55" s="116" t="str">
        <f>IFERROR(INDEX(Расходка[Наименование расходного материала],MATCH(Расходка[№],Поиск_расходки[Индекс4],0)),"")</f>
        <v/>
      </c>
      <c r="V55" s="116" t="str">
        <f>IFERROR(INDEX(Расходка[Наименование расходного материала],MATCH(Расходка[№],Поиск_расходки[Индекс5],0)),"")</f>
        <v/>
      </c>
      <c r="W55" s="116" t="str">
        <f>IFERROR(INDEX(Расходка[Наименование расходного материала],MATCH(Расходка[№],Поиск_расходки[Индекс6],0)),"")</f>
        <v/>
      </c>
      <c r="X55" s="116" t="str">
        <f>IFERROR(INDEX(Расходка[Наименование расходного материала],MATCH(Расходка[№],Поиск_расходки[Индекс7],0)),"")</f>
        <v>Launcher 6F AL 2</v>
      </c>
      <c r="Y55" s="116" t="str">
        <f>IFERROR(INDEX(Расходка[Наименование расходного материала],MATCH(Расходка[№],Поиск_расходки[Индекс8],0)),"")</f>
        <v>Launcher 6F AL 2</v>
      </c>
      <c r="Z55" s="116" t="str">
        <f>IFERROR(INDEX(Расходка[Наименование расходного материала],MATCH(Расходка[№],Поиск_расходки[Индекс9],0)),"")</f>
        <v>Launcher 6F AL 2</v>
      </c>
      <c r="AA55" s="116" t="str">
        <f>IFERROR(INDEX(Расходка[Наименование расходного материала],MATCH(Расходка[№],Поиск_расходки[Индекс10],0)),"")</f>
        <v>Launcher 6F AL 2</v>
      </c>
      <c r="AB55" s="116" t="str">
        <f>IFERROR(INDEX(Расходка[Наименование расходного материала],MATCH(Расходка[№],Поиск_расходки[Индекс11],0)),"")</f>
        <v>Launcher 6F AL 2</v>
      </c>
      <c r="AC55" s="116" t="str">
        <f>IFERROR(INDEX(Расходка[Наименование расходного материала],MATCH(Расходка[№],Поиск_расходки[Индекс12],0)),"")</f>
        <v>Launcher 6F AL 2</v>
      </c>
      <c r="AD55" s="116" t="str">
        <f>IFERROR(INDEX(Расходка[Наименование расходного материала],MATCH(Расходка[№],Поиск_расходки[Индекс13],0)),"")</f>
        <v>Launcher 6F AL 2</v>
      </c>
      <c r="AF55" s="4" t="s">
        <v>6</v>
      </c>
      <c r="AG55" s="4" t="s">
        <v>454</v>
      </c>
    </row>
    <row r="56" spans="1:33">
      <c r="A56">
        <v>55</v>
      </c>
      <c r="B56" t="s">
        <v>4</v>
      </c>
      <c r="C56" t="s">
        <v>326</v>
      </c>
      <c r="E56" s="117">
        <f>IF(ISNUMBER(SEARCH('Карта учёта'!$B$13,Расходка[[#This Row],[Наименование расходного материала]])),MAX($E$1:E55)+1,0)</f>
        <v>0</v>
      </c>
      <c r="F56" s="117">
        <f>IF(ISNUMBER(SEARCH('Карта учёта'!$B$14,Расходка[[#This Row],[Наименование расходного материала]])),MAX($F$1:F55)+1,0)</f>
        <v>0</v>
      </c>
      <c r="G56" s="117">
        <f>IF(ISNUMBER(SEARCH('Карта учёта'!$B$15,Расходка[Наименование расходного материала])),MAX($G$1:G55)+1,0)</f>
        <v>1</v>
      </c>
      <c r="H56" s="117">
        <f>IF(ISNUMBER(SEARCH('Карта учёта'!$B$16,Расходка[Наименование расходного материала])),MAX($H$1:H55)+1,0)</f>
        <v>0</v>
      </c>
      <c r="I56" s="117">
        <f>IF(ISNUMBER(SEARCH('Карта учёта'!$B$17,Расходка[Наименование расходного материала])),MAX($I$1:I55)+1,0)</f>
        <v>0</v>
      </c>
      <c r="J56" s="117">
        <f>IF(ISNUMBER(SEARCH('Карта учёта'!$B$18,Расходка[Наименование расходного материала])),MAX($J$1:J55)+1,0)</f>
        <v>0</v>
      </c>
      <c r="K56" s="117">
        <f>IF(ISNUMBER(SEARCH('Карта учёта'!$B$19,Расходка[Наименование расходного материала])),MAX($K$1:K55)+1,0)</f>
        <v>55</v>
      </c>
      <c r="L56" s="117">
        <f>IF(ISNUMBER(SEARCH('Карта учёта'!$B$20,Расходка[Наименование расходного материала])),MAX($L$1:L55)+1,0)</f>
        <v>55</v>
      </c>
      <c r="M56" s="117">
        <f>IF(ISNUMBER(SEARCH('Карта учёта'!$B$21,Расходка[Наименование расходного материала])),MAX($M$1:M55)+1,0)</f>
        <v>55</v>
      </c>
      <c r="N56" s="117">
        <f>IF(ISNUMBER(SEARCH('Карта учёта'!$B$22,Расходка[Наименование расходного материала])),MAX($N$1:N55)+1,0)</f>
        <v>55</v>
      </c>
      <c r="O56" s="117">
        <f>IF(ISNUMBER(SEARCH('Карта учёта'!$B$23,Расходка[Наименование расходного материала])),MAX($O$1:O55)+1,0)</f>
        <v>55</v>
      </c>
      <c r="P56" s="117">
        <f>IF(ISNUMBER(SEARCH('Карта учёта'!$B$24,Расходка[Наименование расходного материала])),MAX($P$1:P55)+1,0)</f>
        <v>55</v>
      </c>
      <c r="Q56" s="117">
        <f>IF(ISNUMBER(SEARCH('Карта учёта'!$B$25,Расходка[Наименование расходного материала])),MAX($Q$1:Q55)+1,0)</f>
        <v>55</v>
      </c>
      <c r="R56" s="116" t="str">
        <f>IFERROR(INDEX(Расходка[Наименование расходного материала],MATCH(Расходка[№],Поиск_расходки[Индекс1],0)),"")</f>
        <v/>
      </c>
      <c r="S56" s="116" t="str">
        <f>IFERROR(INDEX(Расходка[Наименование расходного материала],MATCH(Расходка[№],Поиск_расходки[Индекс2],0)),"")</f>
        <v/>
      </c>
      <c r="T56" s="116" t="str">
        <f>IFERROR(INDEX(Расходка[Наименование расходного материала],MATCH(Расходка[№],Поиск_расходки[Индекс3],0)),"")</f>
        <v/>
      </c>
      <c r="U56" s="116" t="str">
        <f>IFERROR(INDEX(Расходка[Наименование расходного материала],MATCH(Расходка[№],Поиск_расходки[Индекс4],0)),"")</f>
        <v/>
      </c>
      <c r="V56" s="116" t="str">
        <f>IFERROR(INDEX(Расходка[Наименование расходного материала],MATCH(Расходка[№],Поиск_расходки[Индекс5],0)),"")</f>
        <v/>
      </c>
      <c r="W56" s="116" t="str">
        <f>IFERROR(INDEX(Расходка[Наименование расходного материала],MATCH(Расходка[№],Поиск_расходки[Индекс6],0)),"")</f>
        <v/>
      </c>
      <c r="X56" s="116" t="str">
        <f>IFERROR(INDEX(Расходка[Наименование расходного материала],MATCH(Расходка[№],Поиск_расходки[Индекс7],0)),"")</f>
        <v>Launcher 6F EBU 3.5</v>
      </c>
      <c r="Y56" s="116" t="str">
        <f>IFERROR(INDEX(Расходка[Наименование расходного материала],MATCH(Расходка[№],Поиск_расходки[Индекс8],0)),"")</f>
        <v>Launcher 6F EBU 3.5</v>
      </c>
      <c r="Z56" s="116" t="str">
        <f>IFERROR(INDEX(Расходка[Наименование расходного материала],MATCH(Расходка[№],Поиск_расходки[Индекс9],0)),"")</f>
        <v>Launcher 6F EBU 3.5</v>
      </c>
      <c r="AA56" s="116" t="str">
        <f>IFERROR(INDEX(Расходка[Наименование расходного материала],MATCH(Расходка[№],Поиск_расходки[Индекс10],0)),"")</f>
        <v>Launcher 6F EBU 3.5</v>
      </c>
      <c r="AB56" s="116" t="str">
        <f>IFERROR(INDEX(Расходка[Наименование расходного материала],MATCH(Расходка[№],Поиск_расходки[Индекс11],0)),"")</f>
        <v>Launcher 6F EBU 3.5</v>
      </c>
      <c r="AC56" s="116" t="str">
        <f>IFERROR(INDEX(Расходка[Наименование расходного материала],MATCH(Расходка[№],Поиск_расходки[Индекс12],0)),"")</f>
        <v>Launcher 6F EBU 3.5</v>
      </c>
      <c r="AD56" s="116" t="str">
        <f>IFERROR(INDEX(Расходка[Наименование расходного материала],MATCH(Расходка[№],Поиск_расходки[Индекс13],0)),"")</f>
        <v>Launcher 6F EBU 3.5</v>
      </c>
      <c r="AF56" s="4" t="s">
        <v>6</v>
      </c>
      <c r="AG56" s="4" t="s">
        <v>455</v>
      </c>
    </row>
    <row r="57" spans="1:33">
      <c r="A57">
        <v>56</v>
      </c>
      <c r="B57" t="s">
        <v>4</v>
      </c>
      <c r="C57" t="s">
        <v>327</v>
      </c>
      <c r="E57" s="117">
        <f>IF(ISNUMBER(SEARCH('Карта учёта'!$B$13,Расходка[[#This Row],[Наименование расходного материала]])),MAX($E$1:E56)+1,0)</f>
        <v>0</v>
      </c>
      <c r="F57" s="117">
        <f>IF(ISNUMBER(SEARCH('Карта учёта'!$B$14,Расходка[[#This Row],[Наименование расходного материала]])),MAX($F$1:F56)+1,0)</f>
        <v>0</v>
      </c>
      <c r="G57" s="117">
        <f>IF(ISNUMBER(SEARCH('Карта учёта'!$B$15,Расходка[Наименование расходного материала])),MAX($G$1:G56)+1,0)</f>
        <v>0</v>
      </c>
      <c r="H57" s="117">
        <f>IF(ISNUMBER(SEARCH('Карта учёта'!$B$16,Расходка[Наименование расходного материала])),MAX($H$1:H56)+1,0)</f>
        <v>0</v>
      </c>
      <c r="I57" s="117">
        <f>IF(ISNUMBER(SEARCH('Карта учёта'!$B$17,Расходка[Наименование расходного материала])),MAX($I$1:I56)+1,0)</f>
        <v>0</v>
      </c>
      <c r="J57" s="117">
        <f>IF(ISNUMBER(SEARCH('Карта учёта'!$B$18,Расходка[Наименование расходного материала])),MAX($J$1:J56)+1,0)</f>
        <v>0</v>
      </c>
      <c r="K57" s="117">
        <f>IF(ISNUMBER(SEARCH('Карта учёта'!$B$19,Расходка[Наименование расходного материала])),MAX($K$1:K56)+1,0)</f>
        <v>56</v>
      </c>
      <c r="L57" s="117">
        <f>IF(ISNUMBER(SEARCH('Карта учёта'!$B$20,Расходка[Наименование расходного материала])),MAX($L$1:L56)+1,0)</f>
        <v>56</v>
      </c>
      <c r="M57" s="117">
        <f>IF(ISNUMBER(SEARCH('Карта учёта'!$B$21,Расходка[Наименование расходного материала])),MAX($M$1:M56)+1,0)</f>
        <v>56</v>
      </c>
      <c r="N57" s="117">
        <f>IF(ISNUMBER(SEARCH('Карта учёта'!$B$22,Расходка[Наименование расходного материала])),MAX($N$1:N56)+1,0)</f>
        <v>56</v>
      </c>
      <c r="O57" s="117">
        <f>IF(ISNUMBER(SEARCH('Карта учёта'!$B$23,Расходка[Наименование расходного материала])),MAX($O$1:O56)+1,0)</f>
        <v>56</v>
      </c>
      <c r="P57" s="117">
        <f>IF(ISNUMBER(SEARCH('Карта учёта'!$B$24,Расходка[Наименование расходного материала])),MAX($P$1:P56)+1,0)</f>
        <v>56</v>
      </c>
      <c r="Q57" s="117">
        <f>IF(ISNUMBER(SEARCH('Карта учёта'!$B$25,Расходка[Наименование расходного материала])),MAX($Q$1:Q56)+1,0)</f>
        <v>56</v>
      </c>
      <c r="R57" s="116" t="str">
        <f>IFERROR(INDEX(Расходка[Наименование расходного материала],MATCH(Расходка[№],Поиск_расходки[Индекс1],0)),"")</f>
        <v/>
      </c>
      <c r="S57" s="116" t="str">
        <f>IFERROR(INDEX(Расходка[Наименование расходного материала],MATCH(Расходка[№],Поиск_расходки[Индекс2],0)),"")</f>
        <v/>
      </c>
      <c r="T57" s="116" t="str">
        <f>IFERROR(INDEX(Расходка[Наименование расходного материала],MATCH(Расходка[№],Поиск_расходки[Индекс3],0)),"")</f>
        <v/>
      </c>
      <c r="U57" s="116" t="str">
        <f>IFERROR(INDEX(Расходка[Наименование расходного материала],MATCH(Расходка[№],Поиск_расходки[Индекс4],0)),"")</f>
        <v/>
      </c>
      <c r="V57" s="116" t="str">
        <f>IFERROR(INDEX(Расходка[Наименование расходного материала],MATCH(Расходка[№],Поиск_расходки[Индекс5],0)),"")</f>
        <v/>
      </c>
      <c r="W57" s="116" t="str">
        <f>IFERROR(INDEX(Расходка[Наименование расходного материала],MATCH(Расходка[№],Поиск_расходки[Индекс6],0)),"")</f>
        <v/>
      </c>
      <c r="X57" s="116" t="str">
        <f>IFERROR(INDEX(Расходка[Наименование расходного материала],MATCH(Расходка[№],Поиск_расходки[Индекс7],0)),"")</f>
        <v>Launcher 6F EBU 4.0</v>
      </c>
      <c r="Y57" s="116" t="str">
        <f>IFERROR(INDEX(Расходка[Наименование расходного материала],MATCH(Расходка[№],Поиск_расходки[Индекс8],0)),"")</f>
        <v>Launcher 6F EBU 4.0</v>
      </c>
      <c r="Z57" s="116" t="str">
        <f>IFERROR(INDEX(Расходка[Наименование расходного материала],MATCH(Расходка[№],Поиск_расходки[Индекс9],0)),"")</f>
        <v>Launcher 6F EBU 4.0</v>
      </c>
      <c r="AA57" s="116" t="str">
        <f>IFERROR(INDEX(Расходка[Наименование расходного материала],MATCH(Расходка[№],Поиск_расходки[Индекс10],0)),"")</f>
        <v>Launcher 6F EBU 4.0</v>
      </c>
      <c r="AB57" s="116" t="str">
        <f>IFERROR(INDEX(Расходка[Наименование расходного материала],MATCH(Расходка[№],Поиск_расходки[Индекс11],0)),"")</f>
        <v>Launcher 6F EBU 4.0</v>
      </c>
      <c r="AC57" s="116" t="str">
        <f>IFERROR(INDEX(Расходка[Наименование расходного материала],MATCH(Расходка[№],Поиск_расходки[Индекс12],0)),"")</f>
        <v>Launcher 6F EBU 4.0</v>
      </c>
      <c r="AD57" s="116" t="str">
        <f>IFERROR(INDEX(Расходка[Наименование расходного материала],MATCH(Расходка[№],Поиск_расходки[Индекс13],0)),"")</f>
        <v>Launcher 6F EBU 4.0</v>
      </c>
      <c r="AF57" s="4" t="s">
        <v>6</v>
      </c>
      <c r="AG57" s="4" t="s">
        <v>456</v>
      </c>
    </row>
    <row r="58" spans="1:33">
      <c r="A58">
        <v>57</v>
      </c>
      <c r="B58" t="s">
        <v>4</v>
      </c>
      <c r="C58" t="s">
        <v>328</v>
      </c>
      <c r="E58" s="117">
        <f>IF(ISNUMBER(SEARCH('Карта учёта'!$B$13,Расходка[[#This Row],[Наименование расходного материала]])),MAX($E$1:E57)+1,0)</f>
        <v>0</v>
      </c>
      <c r="F58" s="117">
        <f>IF(ISNUMBER(SEARCH('Карта учёта'!$B$14,Расходка[[#This Row],[Наименование расходного материала]])),MAX($F$1:F57)+1,0)</f>
        <v>0</v>
      </c>
      <c r="G58" s="117">
        <f>IF(ISNUMBER(SEARCH('Карта учёта'!$B$15,Расходка[Наименование расходного материала])),MAX($G$1:G57)+1,0)</f>
        <v>0</v>
      </c>
      <c r="H58" s="117">
        <f>IF(ISNUMBER(SEARCH('Карта учёта'!$B$16,Расходка[Наименование расходного материала])),MAX($H$1:H57)+1,0)</f>
        <v>0</v>
      </c>
      <c r="I58" s="117">
        <f>IF(ISNUMBER(SEARCH('Карта учёта'!$B$17,Расходка[Наименование расходного материала])),MAX($I$1:I57)+1,0)</f>
        <v>0</v>
      </c>
      <c r="J58" s="117">
        <f>IF(ISNUMBER(SEARCH('Карта учёта'!$B$18,Расходка[Наименование расходного материала])),MAX($J$1:J57)+1,0)</f>
        <v>0</v>
      </c>
      <c r="K58" s="117">
        <f>IF(ISNUMBER(SEARCH('Карта учёта'!$B$19,Расходка[Наименование расходного материала])),MAX($K$1:K57)+1,0)</f>
        <v>57</v>
      </c>
      <c r="L58" s="117">
        <f>IF(ISNUMBER(SEARCH('Карта учёта'!$B$20,Расходка[Наименование расходного материала])),MAX($L$1:L57)+1,0)</f>
        <v>57</v>
      </c>
      <c r="M58" s="117">
        <f>IF(ISNUMBER(SEARCH('Карта учёта'!$B$21,Расходка[Наименование расходного материала])),MAX($M$1:M57)+1,0)</f>
        <v>57</v>
      </c>
      <c r="N58" s="117">
        <f>IF(ISNUMBER(SEARCH('Карта учёта'!$B$22,Расходка[Наименование расходного материала])),MAX($N$1:N57)+1,0)</f>
        <v>57</v>
      </c>
      <c r="O58" s="117">
        <f>IF(ISNUMBER(SEARCH('Карта учёта'!$B$23,Расходка[Наименование расходного материала])),MAX($O$1:O57)+1,0)</f>
        <v>57</v>
      </c>
      <c r="P58" s="117">
        <f>IF(ISNUMBER(SEARCH('Карта учёта'!$B$24,Расходка[Наименование расходного материала])),MAX($P$1:P57)+1,0)</f>
        <v>57</v>
      </c>
      <c r="Q58" s="117">
        <f>IF(ISNUMBER(SEARCH('Карта учёта'!$B$25,Расходка[Наименование расходного материала])),MAX($Q$1:Q57)+1,0)</f>
        <v>57</v>
      </c>
      <c r="R58" s="116" t="str">
        <f>IFERROR(INDEX(Расходка[Наименование расходного материала],MATCH(Расходка[№],Поиск_расходки[Индекс1],0)),"")</f>
        <v/>
      </c>
      <c r="S58" s="116" t="str">
        <f>IFERROR(INDEX(Расходка[Наименование расходного материала],MATCH(Расходка[№],Поиск_расходки[Индекс2],0)),"")</f>
        <v/>
      </c>
      <c r="T58" s="116" t="str">
        <f>IFERROR(INDEX(Расходка[Наименование расходного материала],MATCH(Расходка[№],Поиск_расходки[Индекс3],0)),"")</f>
        <v/>
      </c>
      <c r="U58" s="116" t="str">
        <f>IFERROR(INDEX(Расходка[Наименование расходного материала],MATCH(Расходка[№],Поиск_расходки[Индекс4],0)),"")</f>
        <v/>
      </c>
      <c r="V58" s="116" t="str">
        <f>IFERROR(INDEX(Расходка[Наименование расходного материала],MATCH(Расходка[№],Поиск_расходки[Индекс5],0)),"")</f>
        <v/>
      </c>
      <c r="W58" s="116" t="str">
        <f>IFERROR(INDEX(Расходка[Наименование расходного материала],MATCH(Расходка[№],Поиск_расходки[Индекс6],0)),"")</f>
        <v/>
      </c>
      <c r="X58" s="116" t="str">
        <f>IFERROR(INDEX(Расходка[Наименование расходного материала],MATCH(Расходка[№],Поиск_расходки[Индекс7],0)),"")</f>
        <v>Launcher 6F JL 3.5</v>
      </c>
      <c r="Y58" s="116" t="str">
        <f>IFERROR(INDEX(Расходка[Наименование расходного материала],MATCH(Расходка[№],Поиск_расходки[Индекс8],0)),"")</f>
        <v>Launcher 6F JL 3.5</v>
      </c>
      <c r="Z58" s="116" t="str">
        <f>IFERROR(INDEX(Расходка[Наименование расходного материала],MATCH(Расходка[№],Поиск_расходки[Индекс9],0)),"")</f>
        <v>Launcher 6F JL 3.5</v>
      </c>
      <c r="AA58" s="116" t="str">
        <f>IFERROR(INDEX(Расходка[Наименование расходного материала],MATCH(Расходка[№],Поиск_расходки[Индекс10],0)),"")</f>
        <v>Launcher 6F JL 3.5</v>
      </c>
      <c r="AB58" s="116" t="str">
        <f>IFERROR(INDEX(Расходка[Наименование расходного материала],MATCH(Расходка[№],Поиск_расходки[Индекс11],0)),"")</f>
        <v>Launcher 6F JL 3.5</v>
      </c>
      <c r="AC58" s="116" t="str">
        <f>IFERROR(INDEX(Расходка[Наименование расходного материала],MATCH(Расходка[№],Поиск_расходки[Индекс12],0)),"")</f>
        <v>Launcher 6F JL 3.5</v>
      </c>
      <c r="AD58" s="116" t="str">
        <f>IFERROR(INDEX(Расходка[Наименование расходного материала],MATCH(Расходка[№],Поиск_расходки[Индекс13],0)),"")</f>
        <v>Launcher 6F JL 3.5</v>
      </c>
      <c r="AF58" s="4" t="s">
        <v>6</v>
      </c>
      <c r="AG58" s="4" t="s">
        <v>457</v>
      </c>
    </row>
    <row r="59" spans="1:33">
      <c r="A59">
        <v>58</v>
      </c>
      <c r="B59" t="s">
        <v>4</v>
      </c>
      <c r="C59" t="s">
        <v>329</v>
      </c>
      <c r="E59" s="117">
        <f>IF(ISNUMBER(SEARCH('Карта учёта'!$B$13,Расходка[[#This Row],[Наименование расходного материала]])),MAX($E$1:E58)+1,0)</f>
        <v>0</v>
      </c>
      <c r="F59" s="117">
        <f>IF(ISNUMBER(SEARCH('Карта учёта'!$B$14,Расходка[[#This Row],[Наименование расходного материала]])),MAX($F$1:F58)+1,0)</f>
        <v>0</v>
      </c>
      <c r="G59" s="117">
        <f>IF(ISNUMBER(SEARCH('Карта учёта'!$B$15,Расходка[Наименование расходного материала])),MAX($G$1:G58)+1,0)</f>
        <v>0</v>
      </c>
      <c r="H59" s="117">
        <f>IF(ISNUMBER(SEARCH('Карта учёта'!$B$16,Расходка[Наименование расходного материала])),MAX($H$1:H58)+1,0)</f>
        <v>0</v>
      </c>
      <c r="I59" s="117">
        <f>IF(ISNUMBER(SEARCH('Карта учёта'!$B$17,Расходка[Наименование расходного материала])),MAX($I$1:I58)+1,0)</f>
        <v>0</v>
      </c>
      <c r="J59" s="117">
        <f>IF(ISNUMBER(SEARCH('Карта учёта'!$B$18,Расходка[Наименование расходного материала])),MAX($J$1:J58)+1,0)</f>
        <v>0</v>
      </c>
      <c r="K59" s="117">
        <f>IF(ISNUMBER(SEARCH('Карта учёта'!$B$19,Расходка[Наименование расходного материала])),MAX($K$1:K58)+1,0)</f>
        <v>58</v>
      </c>
      <c r="L59" s="117">
        <f>IF(ISNUMBER(SEARCH('Карта учёта'!$B$20,Расходка[Наименование расходного материала])),MAX($L$1:L58)+1,0)</f>
        <v>58</v>
      </c>
      <c r="M59" s="117">
        <f>IF(ISNUMBER(SEARCH('Карта учёта'!$B$21,Расходка[Наименование расходного материала])),MAX($M$1:M58)+1,0)</f>
        <v>58</v>
      </c>
      <c r="N59" s="117">
        <f>IF(ISNUMBER(SEARCH('Карта учёта'!$B$22,Расходка[Наименование расходного материала])),MAX($N$1:N58)+1,0)</f>
        <v>58</v>
      </c>
      <c r="O59" s="117">
        <f>IF(ISNUMBER(SEARCH('Карта учёта'!$B$23,Расходка[Наименование расходного материала])),MAX($O$1:O58)+1,0)</f>
        <v>58</v>
      </c>
      <c r="P59" s="117">
        <f>IF(ISNUMBER(SEARCH('Карта учёта'!$B$24,Расходка[Наименование расходного материала])),MAX($P$1:P58)+1,0)</f>
        <v>58</v>
      </c>
      <c r="Q59" s="117">
        <f>IF(ISNUMBER(SEARCH('Карта учёта'!$B$25,Расходка[Наименование расходного материала])),MAX($Q$1:Q58)+1,0)</f>
        <v>58</v>
      </c>
      <c r="R59" s="116" t="str">
        <f>IFERROR(INDEX(Расходка[Наименование расходного материала],MATCH(Расходка[№],Поиск_расходки[Индекс1],0)),"")</f>
        <v/>
      </c>
      <c r="S59" s="116" t="str">
        <f>IFERROR(INDEX(Расходка[Наименование расходного материала],MATCH(Расходка[№],Поиск_расходки[Индекс2],0)),"")</f>
        <v/>
      </c>
      <c r="T59" s="116" t="str">
        <f>IFERROR(INDEX(Расходка[Наименование расходного материала],MATCH(Расходка[№],Поиск_расходки[Индекс3],0)),"")</f>
        <v/>
      </c>
      <c r="U59" s="116" t="str">
        <f>IFERROR(INDEX(Расходка[Наименование расходного материала],MATCH(Расходка[№],Поиск_расходки[Индекс4],0)),"")</f>
        <v/>
      </c>
      <c r="V59" s="116" t="str">
        <f>IFERROR(INDEX(Расходка[Наименование расходного материала],MATCH(Расходка[№],Поиск_расходки[Индекс5],0)),"")</f>
        <v/>
      </c>
      <c r="W59" s="116" t="str">
        <f>IFERROR(INDEX(Расходка[Наименование расходного материала],MATCH(Расходка[№],Поиск_расходки[Индекс6],0)),"")</f>
        <v/>
      </c>
      <c r="X59" s="116" t="str">
        <f>IFERROR(INDEX(Расходка[Наименование расходного материала],MATCH(Расходка[№],Поиск_расходки[Индекс7],0)),"")</f>
        <v>Launcher 6F JL 4.0</v>
      </c>
      <c r="Y59" s="116" t="str">
        <f>IFERROR(INDEX(Расходка[Наименование расходного материала],MATCH(Расходка[№],Поиск_расходки[Индекс8],0)),"")</f>
        <v>Launcher 6F JL 4.0</v>
      </c>
      <c r="Z59" s="116" t="str">
        <f>IFERROR(INDEX(Расходка[Наименование расходного материала],MATCH(Расходка[№],Поиск_расходки[Индекс9],0)),"")</f>
        <v>Launcher 6F JL 4.0</v>
      </c>
      <c r="AA59" s="116" t="str">
        <f>IFERROR(INDEX(Расходка[Наименование расходного материала],MATCH(Расходка[№],Поиск_расходки[Индекс10],0)),"")</f>
        <v>Launcher 6F JL 4.0</v>
      </c>
      <c r="AB59" s="116" t="str">
        <f>IFERROR(INDEX(Расходка[Наименование расходного материала],MATCH(Расходка[№],Поиск_расходки[Индекс11],0)),"")</f>
        <v>Launcher 6F JL 4.0</v>
      </c>
      <c r="AC59" s="116" t="str">
        <f>IFERROR(INDEX(Расходка[Наименование расходного материала],MATCH(Расходка[№],Поиск_расходки[Индекс12],0)),"")</f>
        <v>Launcher 6F JL 4.0</v>
      </c>
      <c r="AD59" s="116" t="str">
        <f>IFERROR(INDEX(Расходка[Наименование расходного материала],MATCH(Расходка[№],Поиск_расходки[Индекс13],0)),"")</f>
        <v>Launcher 6F JL 4.0</v>
      </c>
      <c r="AF59" s="4" t="s">
        <v>6</v>
      </c>
      <c r="AG59" s="4" t="s">
        <v>458</v>
      </c>
    </row>
    <row r="60" spans="1:33">
      <c r="A60">
        <v>59</v>
      </c>
      <c r="B60" t="s">
        <v>4</v>
      </c>
      <c r="C60" t="s">
        <v>335</v>
      </c>
      <c r="E60" s="117">
        <f>IF(ISNUMBER(SEARCH('Карта учёта'!$B$13,Расходка[[#This Row],[Наименование расходного материала]])),MAX($E$1:E59)+1,0)</f>
        <v>0</v>
      </c>
      <c r="F60" s="117">
        <f>IF(ISNUMBER(SEARCH('Карта учёта'!$B$14,Расходка[[#This Row],[Наименование расходного материала]])),MAX($F$1:F59)+1,0)</f>
        <v>0</v>
      </c>
      <c r="G60" s="117">
        <f>IF(ISNUMBER(SEARCH('Карта учёта'!$B$15,Расходка[Наименование расходного материала])),MAX($G$1:G59)+1,0)</f>
        <v>0</v>
      </c>
      <c r="H60" s="117">
        <f>IF(ISNUMBER(SEARCH('Карта учёта'!$B$16,Расходка[Наименование расходного материала])),MAX($H$1:H59)+1,0)</f>
        <v>0</v>
      </c>
      <c r="I60" s="117">
        <f>IF(ISNUMBER(SEARCH('Карта учёта'!$B$17,Расходка[Наименование расходного материала])),MAX($I$1:I59)+1,0)</f>
        <v>0</v>
      </c>
      <c r="J60" s="117">
        <f>IF(ISNUMBER(SEARCH('Карта учёта'!$B$18,Расходка[Наименование расходного материала])),MAX($J$1:J59)+1,0)</f>
        <v>0</v>
      </c>
      <c r="K60" s="117">
        <f>IF(ISNUMBER(SEARCH('Карта учёта'!$B$19,Расходка[Наименование расходного материала])),MAX($K$1:K59)+1,0)</f>
        <v>59</v>
      </c>
      <c r="L60" s="117">
        <f>IF(ISNUMBER(SEARCH('Карта учёта'!$B$20,Расходка[Наименование расходного материала])),MAX($L$1:L59)+1,0)</f>
        <v>59</v>
      </c>
      <c r="M60" s="117">
        <f>IF(ISNUMBER(SEARCH('Карта учёта'!$B$21,Расходка[Наименование расходного материала])),MAX($M$1:M59)+1,0)</f>
        <v>59</v>
      </c>
      <c r="N60" s="117">
        <f>IF(ISNUMBER(SEARCH('Карта учёта'!$B$22,Расходка[Наименование расходного материала])),MAX($N$1:N59)+1,0)</f>
        <v>59</v>
      </c>
      <c r="O60" s="117">
        <f>IF(ISNUMBER(SEARCH('Карта учёта'!$B$23,Расходка[Наименование расходного материала])),MAX($O$1:O59)+1,0)</f>
        <v>59</v>
      </c>
      <c r="P60" s="117">
        <f>IF(ISNUMBER(SEARCH('Карта учёта'!$B$24,Расходка[Наименование расходного материала])),MAX($P$1:P59)+1,0)</f>
        <v>59</v>
      </c>
      <c r="Q60" s="117">
        <f>IF(ISNUMBER(SEARCH('Карта учёта'!$B$25,Расходка[Наименование расходного материала])),MAX($Q$1:Q59)+1,0)</f>
        <v>59</v>
      </c>
      <c r="R60" s="116" t="str">
        <f>IFERROR(INDEX(Расходка[Наименование расходного материала],MATCH(Расходка[№],Поиск_расходки[Индекс1],0)),"")</f>
        <v/>
      </c>
      <c r="S60" s="116" t="str">
        <f>IFERROR(INDEX(Расходка[Наименование расходного материала],MATCH(Расходка[№],Поиск_расходки[Индекс2],0)),"")</f>
        <v/>
      </c>
      <c r="T60" s="116" t="str">
        <f>IFERROR(INDEX(Расходка[Наименование расходного материала],MATCH(Расходка[№],Поиск_расходки[Индекс3],0)),"")</f>
        <v/>
      </c>
      <c r="U60" s="116" t="str">
        <f>IFERROR(INDEX(Расходка[Наименование расходного материала],MATCH(Расходка[№],Поиск_расходки[Индекс4],0)),"")</f>
        <v/>
      </c>
      <c r="V60" s="116" t="str">
        <f>IFERROR(INDEX(Расходка[Наименование расходного материала],MATCH(Расходка[№],Поиск_расходки[Индекс5],0)),"")</f>
        <v/>
      </c>
      <c r="W60" s="116" t="str">
        <f>IFERROR(INDEX(Расходка[Наименование расходного материала],MATCH(Расходка[№],Поиск_расходки[Индекс6],0)),"")</f>
        <v/>
      </c>
      <c r="X60" s="116" t="str">
        <f>IFERROR(INDEX(Расходка[Наименование расходного материала],MATCH(Расходка[№],Поиск_расходки[Индекс7],0)),"")</f>
        <v>Launcher 6F JL 4.5</v>
      </c>
      <c r="Y60" s="116" t="str">
        <f>IFERROR(INDEX(Расходка[Наименование расходного материала],MATCH(Расходка[№],Поиск_расходки[Индекс8],0)),"")</f>
        <v>Launcher 6F JL 4.5</v>
      </c>
      <c r="Z60" s="116" t="str">
        <f>IFERROR(INDEX(Расходка[Наименование расходного материала],MATCH(Расходка[№],Поиск_расходки[Индекс9],0)),"")</f>
        <v>Launcher 6F JL 4.5</v>
      </c>
      <c r="AA60" s="116" t="str">
        <f>IFERROR(INDEX(Расходка[Наименование расходного материала],MATCH(Расходка[№],Поиск_расходки[Индекс10],0)),"")</f>
        <v>Launcher 6F JL 4.5</v>
      </c>
      <c r="AB60" s="116" t="str">
        <f>IFERROR(INDEX(Расходка[Наименование расходного материала],MATCH(Расходка[№],Поиск_расходки[Индекс11],0)),"")</f>
        <v>Launcher 6F JL 4.5</v>
      </c>
      <c r="AC60" s="116" t="str">
        <f>IFERROR(INDEX(Расходка[Наименование расходного материала],MATCH(Расходка[№],Поиск_расходки[Индекс12],0)),"")</f>
        <v>Launcher 6F JL 4.5</v>
      </c>
      <c r="AD60" s="116" t="str">
        <f>IFERROR(INDEX(Расходка[Наименование расходного материала],MATCH(Расходка[№],Поиск_расходки[Индекс13],0)),"")</f>
        <v>Launcher 6F JL 4.5</v>
      </c>
      <c r="AF60" s="4" t="s">
        <v>6</v>
      </c>
      <c r="AG60" s="4" t="s">
        <v>459</v>
      </c>
    </row>
    <row r="61" spans="1:33">
      <c r="A61">
        <v>60</v>
      </c>
      <c r="B61" t="s">
        <v>4</v>
      </c>
      <c r="C61" t="s">
        <v>330</v>
      </c>
      <c r="E61" s="117">
        <f>IF(ISNUMBER(SEARCH('Карта учёта'!$B$13,Расходка[[#This Row],[Наименование расходного материала]])),MAX($E$1:E60)+1,0)</f>
        <v>0</v>
      </c>
      <c r="F61" s="117">
        <f>IF(ISNUMBER(SEARCH('Карта учёта'!$B$14,Расходка[[#This Row],[Наименование расходного материала]])),MAX($F$1:F60)+1,0)</f>
        <v>0</v>
      </c>
      <c r="G61" s="117">
        <f>IF(ISNUMBER(SEARCH('Карта учёта'!$B$15,Расходка[Наименование расходного материала])),MAX($G$1:G60)+1,0)</f>
        <v>0</v>
      </c>
      <c r="H61" s="117">
        <f>IF(ISNUMBER(SEARCH('Карта учёта'!$B$16,Расходка[Наименование расходного материала])),MAX($H$1:H60)+1,0)</f>
        <v>0</v>
      </c>
      <c r="I61" s="117">
        <f>IF(ISNUMBER(SEARCH('Карта учёта'!$B$17,Расходка[Наименование расходного материала])),MAX($I$1:I60)+1,0)</f>
        <v>0</v>
      </c>
      <c r="J61" s="117">
        <f>IF(ISNUMBER(SEARCH('Карта учёта'!$B$18,Расходка[Наименование расходного материала])),MAX($J$1:J60)+1,0)</f>
        <v>0</v>
      </c>
      <c r="K61" s="117">
        <f>IF(ISNUMBER(SEARCH('Карта учёта'!$B$19,Расходка[Наименование расходного материала])),MAX($K$1:K60)+1,0)</f>
        <v>60</v>
      </c>
      <c r="L61" s="117">
        <f>IF(ISNUMBER(SEARCH('Карта учёта'!$B$20,Расходка[Наименование расходного материала])),MAX($L$1:L60)+1,0)</f>
        <v>60</v>
      </c>
      <c r="M61" s="117">
        <f>IF(ISNUMBER(SEARCH('Карта учёта'!$B$21,Расходка[Наименование расходного материала])),MAX($M$1:M60)+1,0)</f>
        <v>60</v>
      </c>
      <c r="N61" s="117">
        <f>IF(ISNUMBER(SEARCH('Карта учёта'!$B$22,Расходка[Наименование расходного материала])),MAX($N$1:N60)+1,0)</f>
        <v>60</v>
      </c>
      <c r="O61" s="117">
        <f>IF(ISNUMBER(SEARCH('Карта учёта'!$B$23,Расходка[Наименование расходного материала])),MAX($O$1:O60)+1,0)</f>
        <v>60</v>
      </c>
      <c r="P61" s="117">
        <f>IF(ISNUMBER(SEARCH('Карта учёта'!$B$24,Расходка[Наименование расходного материала])),MAX($P$1:P60)+1,0)</f>
        <v>60</v>
      </c>
      <c r="Q61" s="117">
        <f>IF(ISNUMBER(SEARCH('Карта учёта'!$B$25,Расходка[Наименование расходного материала])),MAX($Q$1:Q60)+1,0)</f>
        <v>60</v>
      </c>
      <c r="R61" s="116" t="str">
        <f>IFERROR(INDEX(Расходка[Наименование расходного материала],MATCH(Расходка[№],Поиск_расходки[Индекс1],0)),"")</f>
        <v/>
      </c>
      <c r="S61" s="116" t="str">
        <f>IFERROR(INDEX(Расходка[Наименование расходного материала],MATCH(Расходка[№],Поиск_расходки[Индекс2],0)),"")</f>
        <v/>
      </c>
      <c r="T61" s="116" t="str">
        <f>IFERROR(INDEX(Расходка[Наименование расходного материала],MATCH(Расходка[№],Поиск_расходки[Индекс3],0)),"")</f>
        <v/>
      </c>
      <c r="U61" s="116" t="str">
        <f>IFERROR(INDEX(Расходка[Наименование расходного материала],MATCH(Расходка[№],Поиск_расходки[Индекс4],0)),"")</f>
        <v/>
      </c>
      <c r="V61" s="116" t="str">
        <f>IFERROR(INDEX(Расходка[Наименование расходного материала],MATCH(Расходка[№],Поиск_расходки[Индекс5],0)),"")</f>
        <v/>
      </c>
      <c r="W61" s="116" t="str">
        <f>IFERROR(INDEX(Расходка[Наименование расходного материала],MATCH(Расходка[№],Поиск_расходки[Индекс6],0)),"")</f>
        <v/>
      </c>
      <c r="X61" s="116" t="str">
        <f>IFERROR(INDEX(Расходка[Наименование расходного материала],MATCH(Расходка[№],Поиск_расходки[Индекс7],0)),"")</f>
        <v>Launcher 6F JR 3.5</v>
      </c>
      <c r="Y61" s="116" t="str">
        <f>IFERROR(INDEX(Расходка[Наименование расходного материала],MATCH(Расходка[№],Поиск_расходки[Индекс8],0)),"")</f>
        <v>Launcher 6F JR 3.5</v>
      </c>
      <c r="Z61" s="116" t="str">
        <f>IFERROR(INDEX(Расходка[Наименование расходного материала],MATCH(Расходка[№],Поиск_расходки[Индекс9],0)),"")</f>
        <v>Launcher 6F JR 3.5</v>
      </c>
      <c r="AA61" s="116" t="str">
        <f>IFERROR(INDEX(Расходка[Наименование расходного материала],MATCH(Расходка[№],Поиск_расходки[Индекс10],0)),"")</f>
        <v>Launcher 6F JR 3.5</v>
      </c>
      <c r="AB61" s="116" t="str">
        <f>IFERROR(INDEX(Расходка[Наименование расходного материала],MATCH(Расходка[№],Поиск_расходки[Индекс11],0)),"")</f>
        <v>Launcher 6F JR 3.5</v>
      </c>
      <c r="AC61" s="116" t="str">
        <f>IFERROR(INDEX(Расходка[Наименование расходного материала],MATCH(Расходка[№],Поиск_расходки[Индекс12],0)),"")</f>
        <v>Launcher 6F JR 3.5</v>
      </c>
      <c r="AD61" s="116" t="str">
        <f>IFERROR(INDEX(Расходка[Наименование расходного материала],MATCH(Расходка[№],Поиск_расходки[Индекс13],0)),"")</f>
        <v>Launcher 6F JR 3.5</v>
      </c>
      <c r="AF61" s="4" t="s">
        <v>6</v>
      </c>
      <c r="AG61" s="4" t="s">
        <v>420</v>
      </c>
    </row>
    <row r="62" spans="1:33">
      <c r="A62">
        <v>61</v>
      </c>
      <c r="B62" t="s">
        <v>4</v>
      </c>
      <c r="C62" t="s">
        <v>331</v>
      </c>
      <c r="E62" s="117">
        <f>IF(ISNUMBER(SEARCH('Карта учёта'!$B$13,Расходка[[#This Row],[Наименование расходного материала]])),MAX($E$1:E61)+1,0)</f>
        <v>0</v>
      </c>
      <c r="F62" s="117">
        <f>IF(ISNUMBER(SEARCH('Карта учёта'!$B$14,Расходка[[#This Row],[Наименование расходного материала]])),MAX($F$1:F61)+1,0)</f>
        <v>0</v>
      </c>
      <c r="G62" s="117">
        <f>IF(ISNUMBER(SEARCH('Карта учёта'!$B$15,Расходка[Наименование расходного материала])),MAX($G$1:G61)+1,0)</f>
        <v>0</v>
      </c>
      <c r="H62" s="117">
        <f>IF(ISNUMBER(SEARCH('Карта учёта'!$B$16,Расходка[Наименование расходного материала])),MAX($H$1:H61)+1,0)</f>
        <v>0</v>
      </c>
      <c r="I62" s="117">
        <f>IF(ISNUMBER(SEARCH('Карта учёта'!$B$17,Расходка[Наименование расходного материала])),MAX($I$1:I61)+1,0)</f>
        <v>0</v>
      </c>
      <c r="J62" s="117">
        <f>IF(ISNUMBER(SEARCH('Карта учёта'!$B$18,Расходка[Наименование расходного материала])),MAX($J$1:J61)+1,0)</f>
        <v>0</v>
      </c>
      <c r="K62" s="117">
        <f>IF(ISNUMBER(SEARCH('Карта учёта'!$B$19,Расходка[Наименование расходного материала])),MAX($K$1:K61)+1,0)</f>
        <v>61</v>
      </c>
      <c r="L62" s="117">
        <f>IF(ISNUMBER(SEARCH('Карта учёта'!$B$20,Расходка[Наименование расходного материала])),MAX($L$1:L61)+1,0)</f>
        <v>61</v>
      </c>
      <c r="M62" s="117">
        <f>IF(ISNUMBER(SEARCH('Карта учёта'!$B$21,Расходка[Наименование расходного материала])),MAX($M$1:M61)+1,0)</f>
        <v>61</v>
      </c>
      <c r="N62" s="117">
        <f>IF(ISNUMBER(SEARCH('Карта учёта'!$B$22,Расходка[Наименование расходного материала])),MAX($N$1:N61)+1,0)</f>
        <v>61</v>
      </c>
      <c r="O62" s="117">
        <f>IF(ISNUMBER(SEARCH('Карта учёта'!$B$23,Расходка[Наименование расходного материала])),MAX($O$1:O61)+1,0)</f>
        <v>61</v>
      </c>
      <c r="P62" s="117">
        <f>IF(ISNUMBER(SEARCH('Карта учёта'!$B$24,Расходка[Наименование расходного материала])),MAX($P$1:P61)+1,0)</f>
        <v>61</v>
      </c>
      <c r="Q62" s="117">
        <f>IF(ISNUMBER(SEARCH('Карта учёта'!$B$25,Расходка[Наименование расходного материала])),MAX($Q$1:Q61)+1,0)</f>
        <v>61</v>
      </c>
      <c r="R62" s="116" t="str">
        <f>IFERROR(INDEX(Расходка[Наименование расходного материала],MATCH(Расходка[№],Поиск_расходки[Индекс1],0)),"")</f>
        <v/>
      </c>
      <c r="S62" s="116" t="str">
        <f>IFERROR(INDEX(Расходка[Наименование расходного материала],MATCH(Расходка[№],Поиск_расходки[Индекс2],0)),"")</f>
        <v/>
      </c>
      <c r="T62" s="116" t="str">
        <f>IFERROR(INDEX(Расходка[Наименование расходного материала],MATCH(Расходка[№],Поиск_расходки[Индекс3],0)),"")</f>
        <v/>
      </c>
      <c r="U62" s="116" t="str">
        <f>IFERROR(INDEX(Расходка[Наименование расходного материала],MATCH(Расходка[№],Поиск_расходки[Индекс4],0)),"")</f>
        <v/>
      </c>
      <c r="V62" s="116" t="str">
        <f>IFERROR(INDEX(Расходка[Наименование расходного материала],MATCH(Расходка[№],Поиск_расходки[Индекс5],0)),"")</f>
        <v/>
      </c>
      <c r="W62" s="116" t="str">
        <f>IFERROR(INDEX(Расходка[Наименование расходного материала],MATCH(Расходка[№],Поиск_расходки[Индекс6],0)),"")</f>
        <v/>
      </c>
      <c r="X62" s="116" t="str">
        <f>IFERROR(INDEX(Расходка[Наименование расходного материала],MATCH(Расходка[№],Поиск_расходки[Индекс7],0)),"")</f>
        <v>Launcher 6F JR 4.0</v>
      </c>
      <c r="Y62" s="116" t="str">
        <f>IFERROR(INDEX(Расходка[Наименование расходного материала],MATCH(Расходка[№],Поиск_расходки[Индекс8],0)),"")</f>
        <v>Launcher 6F JR 4.0</v>
      </c>
      <c r="Z62" s="116" t="str">
        <f>IFERROR(INDEX(Расходка[Наименование расходного материала],MATCH(Расходка[№],Поиск_расходки[Индекс9],0)),"")</f>
        <v>Launcher 6F JR 4.0</v>
      </c>
      <c r="AA62" s="116" t="str">
        <f>IFERROR(INDEX(Расходка[Наименование расходного материала],MATCH(Расходка[№],Поиск_расходки[Индекс10],0)),"")</f>
        <v>Launcher 6F JR 4.0</v>
      </c>
      <c r="AB62" s="116" t="str">
        <f>IFERROR(INDEX(Расходка[Наименование расходного материала],MATCH(Расходка[№],Поиск_расходки[Индекс11],0)),"")</f>
        <v>Launcher 6F JR 4.0</v>
      </c>
      <c r="AC62" s="116" t="str">
        <f>IFERROR(INDEX(Расходка[Наименование расходного материала],MATCH(Расходка[№],Поиск_расходки[Индекс12],0)),"")</f>
        <v>Launcher 6F JR 4.0</v>
      </c>
      <c r="AD62" s="116" t="str">
        <f>IFERROR(INDEX(Расходка[Наименование расходного материала],MATCH(Расходка[№],Поиск_расходки[Индекс13],0)),"")</f>
        <v>Launcher 6F JR 4.0</v>
      </c>
      <c r="AF62" s="4" t="s">
        <v>6</v>
      </c>
      <c r="AG62" s="4" t="s">
        <v>460</v>
      </c>
    </row>
    <row r="63" spans="1:33">
      <c r="A63">
        <v>62</v>
      </c>
      <c r="B63" t="s">
        <v>4</v>
      </c>
      <c r="C63" t="s">
        <v>341</v>
      </c>
      <c r="E63" s="117">
        <f>IF(ISNUMBER(SEARCH('Карта учёта'!$B$13,Расходка[[#This Row],[Наименование расходного материала]])),MAX($E$1:E62)+1,0)</f>
        <v>0</v>
      </c>
      <c r="F63" s="117">
        <f>IF(ISNUMBER(SEARCH('Карта учёта'!$B$14,Расходка[[#This Row],[Наименование расходного материала]])),MAX($F$1:F62)+1,0)</f>
        <v>0</v>
      </c>
      <c r="G63" s="117">
        <f>IF(ISNUMBER(SEARCH('Карта учёта'!$B$15,Расходка[Наименование расходного материала])),MAX($G$1:G62)+1,0)</f>
        <v>0</v>
      </c>
      <c r="H63" s="117">
        <f>IF(ISNUMBER(SEARCH('Карта учёта'!$B$16,Расходка[Наименование расходного материала])),MAX($H$1:H62)+1,0)</f>
        <v>0</v>
      </c>
      <c r="I63" s="117">
        <f>IF(ISNUMBER(SEARCH('Карта учёта'!$B$17,Расходка[Наименование расходного материала])),MAX($I$1:I62)+1,0)</f>
        <v>0</v>
      </c>
      <c r="J63" s="117">
        <f>IF(ISNUMBER(SEARCH('Карта учёта'!$B$18,Расходка[Наименование расходного материала])),MAX($J$1:J62)+1,0)</f>
        <v>0</v>
      </c>
      <c r="K63" s="117">
        <f>IF(ISNUMBER(SEARCH('Карта учёта'!$B$19,Расходка[Наименование расходного материала])),MAX($K$1:K62)+1,0)</f>
        <v>62</v>
      </c>
      <c r="L63" s="117">
        <f>IF(ISNUMBER(SEARCH('Карта учёта'!$B$20,Расходка[Наименование расходного материала])),MAX($L$1:L62)+1,0)</f>
        <v>62</v>
      </c>
      <c r="M63" s="117">
        <f>IF(ISNUMBER(SEARCH('Карта учёта'!$B$21,Расходка[Наименование расходного материала])),MAX($M$1:M62)+1,0)</f>
        <v>62</v>
      </c>
      <c r="N63" s="117">
        <f>IF(ISNUMBER(SEARCH('Карта учёта'!$B$22,Расходка[Наименование расходного материала])),MAX($N$1:N62)+1,0)</f>
        <v>62</v>
      </c>
      <c r="O63" s="117">
        <f>IF(ISNUMBER(SEARCH('Карта учёта'!$B$23,Расходка[Наименование расходного материала])),MAX($O$1:O62)+1,0)</f>
        <v>62</v>
      </c>
      <c r="P63" s="117">
        <f>IF(ISNUMBER(SEARCH('Карта учёта'!$B$24,Расходка[Наименование расходного материала])),MAX($P$1:P62)+1,0)</f>
        <v>62</v>
      </c>
      <c r="Q63" s="117">
        <f>IF(ISNUMBER(SEARCH('Карта учёта'!$B$25,Расходка[Наименование расходного материала])),MAX($Q$1:Q62)+1,0)</f>
        <v>62</v>
      </c>
      <c r="R63" s="116" t="str">
        <f>IFERROR(INDEX(Расходка[Наименование расходного материала],MATCH(Расходка[№],Поиск_расходки[Индекс1],0)),"")</f>
        <v/>
      </c>
      <c r="S63" s="116" t="str">
        <f>IFERROR(INDEX(Расходка[Наименование расходного материала],MATCH(Расходка[№],Поиск_расходки[Индекс2],0)),"")</f>
        <v/>
      </c>
      <c r="T63" s="116" t="str">
        <f>IFERROR(INDEX(Расходка[Наименование расходного материала],MATCH(Расходка[№],Поиск_расходки[Индекс3],0)),"")</f>
        <v/>
      </c>
      <c r="U63" s="116" t="str">
        <f>IFERROR(INDEX(Расходка[Наименование расходного материала],MATCH(Расходка[№],Поиск_расходки[Индекс4],0)),"")</f>
        <v/>
      </c>
      <c r="V63" s="116" t="str">
        <f>IFERROR(INDEX(Расходка[Наименование расходного материала],MATCH(Расходка[№],Поиск_расходки[Индекс5],0)),"")</f>
        <v/>
      </c>
      <c r="W63" s="116" t="str">
        <f>IFERROR(INDEX(Расходка[Наименование расходного материала],MATCH(Расходка[№],Поиск_расходки[Индекс6],0)),"")</f>
        <v/>
      </c>
      <c r="X63" s="116" t="str">
        <f>IFERROR(INDEX(Расходка[Наименование расходного материала],MATCH(Расходка[№],Поиск_расходки[Индекс7],0)),"")</f>
        <v>Launcher 7F JL 3.5</v>
      </c>
      <c r="Y63" s="116" t="str">
        <f>IFERROR(INDEX(Расходка[Наименование расходного материала],MATCH(Расходка[№],Поиск_расходки[Индекс8],0)),"")</f>
        <v>Launcher 7F JL 3.5</v>
      </c>
      <c r="Z63" s="116" t="str">
        <f>IFERROR(INDEX(Расходка[Наименование расходного материала],MATCH(Расходка[№],Поиск_расходки[Индекс9],0)),"")</f>
        <v>Launcher 7F JL 3.5</v>
      </c>
      <c r="AA63" s="116" t="str">
        <f>IFERROR(INDEX(Расходка[Наименование расходного материала],MATCH(Расходка[№],Поиск_расходки[Индекс10],0)),"")</f>
        <v>Launcher 7F JL 3.5</v>
      </c>
      <c r="AB63" s="116" t="str">
        <f>IFERROR(INDEX(Расходка[Наименование расходного материала],MATCH(Расходка[№],Поиск_расходки[Индекс11],0)),"")</f>
        <v>Launcher 7F JL 3.5</v>
      </c>
      <c r="AC63" s="116" t="str">
        <f>IFERROR(INDEX(Расходка[Наименование расходного материала],MATCH(Расходка[№],Поиск_расходки[Индекс12],0)),"")</f>
        <v>Launcher 7F JL 3.5</v>
      </c>
      <c r="AD63" s="116" t="str">
        <f>IFERROR(INDEX(Расходка[Наименование расходного материала],MATCH(Расходка[№],Поиск_расходки[Индекс13],0)),"")</f>
        <v>Launcher 7F JL 3.5</v>
      </c>
      <c r="AF63" s="4" t="s">
        <v>6</v>
      </c>
      <c r="AG63" s="4" t="s">
        <v>461</v>
      </c>
    </row>
    <row r="64" spans="1:33">
      <c r="A64">
        <v>63</v>
      </c>
      <c r="B64" t="s">
        <v>4</v>
      </c>
      <c r="C64" t="s">
        <v>340</v>
      </c>
      <c r="E64" s="117">
        <f>IF(ISNUMBER(SEARCH('Карта учёта'!$B$13,Расходка[[#This Row],[Наименование расходного материала]])),MAX($E$1:E63)+1,0)</f>
        <v>0</v>
      </c>
      <c r="F64" s="117">
        <f>IF(ISNUMBER(SEARCH('Карта учёта'!$B$14,Расходка[[#This Row],[Наименование расходного материала]])),MAX($F$1:F63)+1,0)</f>
        <v>0</v>
      </c>
      <c r="G64" s="117">
        <f>IF(ISNUMBER(SEARCH('Карта учёта'!$B$15,Расходка[Наименование расходного материала])),MAX($G$1:G63)+1,0)</f>
        <v>0</v>
      </c>
      <c r="H64" s="117">
        <f>IF(ISNUMBER(SEARCH('Карта учёта'!$B$16,Расходка[Наименование расходного материала])),MAX($H$1:H63)+1,0)</f>
        <v>0</v>
      </c>
      <c r="I64" s="117">
        <f>IF(ISNUMBER(SEARCH('Карта учёта'!$B$17,Расходка[Наименование расходного материала])),MAX($I$1:I63)+1,0)</f>
        <v>0</v>
      </c>
      <c r="J64" s="117">
        <f>IF(ISNUMBER(SEARCH('Карта учёта'!$B$18,Расходка[Наименование расходного материала])),MAX($J$1:J63)+1,0)</f>
        <v>0</v>
      </c>
      <c r="K64" s="117">
        <f>IF(ISNUMBER(SEARCH('Карта учёта'!$B$19,Расходка[Наименование расходного материала])),MAX($K$1:K63)+1,0)</f>
        <v>63</v>
      </c>
      <c r="L64" s="117">
        <f>IF(ISNUMBER(SEARCH('Карта учёта'!$B$20,Расходка[Наименование расходного материала])),MAX($L$1:L63)+1,0)</f>
        <v>63</v>
      </c>
      <c r="M64" s="117">
        <f>IF(ISNUMBER(SEARCH('Карта учёта'!$B$21,Расходка[Наименование расходного материала])),MAX($M$1:M63)+1,0)</f>
        <v>63</v>
      </c>
      <c r="N64" s="117">
        <f>IF(ISNUMBER(SEARCH('Карта учёта'!$B$22,Расходка[Наименование расходного материала])),MAX($N$1:N63)+1,0)</f>
        <v>63</v>
      </c>
      <c r="O64" s="117">
        <f>IF(ISNUMBER(SEARCH('Карта учёта'!$B$23,Расходка[Наименование расходного материала])),MAX($O$1:O63)+1,0)</f>
        <v>63</v>
      </c>
      <c r="P64" s="117">
        <f>IF(ISNUMBER(SEARCH('Карта учёта'!$B$24,Расходка[Наименование расходного материала])),MAX($P$1:P63)+1,0)</f>
        <v>63</v>
      </c>
      <c r="Q64" s="117">
        <f>IF(ISNUMBER(SEARCH('Карта учёта'!$B$25,Расходка[Наименование расходного материала])),MAX($Q$1:Q63)+1,0)</f>
        <v>63</v>
      </c>
      <c r="R64" s="116" t="str">
        <f>IFERROR(INDEX(Расходка[Наименование расходного материала],MATCH(Расходка[№],Поиск_расходки[Индекс1],0)),"")</f>
        <v/>
      </c>
      <c r="S64" s="116" t="str">
        <f>IFERROR(INDEX(Расходка[Наименование расходного материала],MATCH(Расходка[№],Поиск_расходки[Индекс2],0)),"")</f>
        <v/>
      </c>
      <c r="T64" s="116" t="str">
        <f>IFERROR(INDEX(Расходка[Наименование расходного материала],MATCH(Расходка[№],Поиск_расходки[Индекс3],0)),"")</f>
        <v/>
      </c>
      <c r="U64" s="116" t="str">
        <f>IFERROR(INDEX(Расходка[Наименование расходного материала],MATCH(Расходка[№],Поиск_расходки[Индекс4],0)),"")</f>
        <v/>
      </c>
      <c r="V64" s="116" t="str">
        <f>IFERROR(INDEX(Расходка[Наименование расходного материала],MATCH(Расходка[№],Поиск_расходки[Индекс5],0)),"")</f>
        <v/>
      </c>
      <c r="W64" s="116" t="str">
        <f>IFERROR(INDEX(Расходка[Наименование расходного материала],MATCH(Расходка[№],Поиск_расходки[Индекс6],0)),"")</f>
        <v/>
      </c>
      <c r="X64" s="116" t="str">
        <f>IFERROR(INDEX(Расходка[Наименование расходного материала],MATCH(Расходка[№],Поиск_расходки[Индекс7],0)),"")</f>
        <v>Launcher 7F JL 4.0</v>
      </c>
      <c r="Y64" s="116" t="str">
        <f>IFERROR(INDEX(Расходка[Наименование расходного материала],MATCH(Расходка[№],Поиск_расходки[Индекс8],0)),"")</f>
        <v>Launcher 7F JL 4.0</v>
      </c>
      <c r="Z64" s="116" t="str">
        <f>IFERROR(INDEX(Расходка[Наименование расходного материала],MATCH(Расходка[№],Поиск_расходки[Индекс9],0)),"")</f>
        <v>Launcher 7F JL 4.0</v>
      </c>
      <c r="AA64" s="116" t="str">
        <f>IFERROR(INDEX(Расходка[Наименование расходного материала],MATCH(Расходка[№],Поиск_расходки[Индекс10],0)),"")</f>
        <v>Launcher 7F JL 4.0</v>
      </c>
      <c r="AB64" s="116" t="str">
        <f>IFERROR(INDEX(Расходка[Наименование расходного материала],MATCH(Расходка[№],Поиск_расходки[Индекс11],0)),"")</f>
        <v>Launcher 7F JL 4.0</v>
      </c>
      <c r="AC64" s="116" t="str">
        <f>IFERROR(INDEX(Расходка[Наименование расходного материала],MATCH(Расходка[№],Поиск_расходки[Индекс12],0)),"")</f>
        <v>Launcher 7F JL 4.0</v>
      </c>
      <c r="AD64" s="116" t="str">
        <f>IFERROR(INDEX(Расходка[Наименование расходного материала],MATCH(Расходка[№],Поиск_расходки[Индекс13],0)),"")</f>
        <v>Launcher 7F JL 4.0</v>
      </c>
      <c r="AF64" s="4" t="s">
        <v>6</v>
      </c>
      <c r="AG64" s="4" t="s">
        <v>462</v>
      </c>
    </row>
    <row r="65" spans="1:33">
      <c r="A65">
        <v>64</v>
      </c>
      <c r="B65" t="s">
        <v>301</v>
      </c>
      <c r="C65" s="1" t="s">
        <v>332</v>
      </c>
      <c r="E65" s="117">
        <f>IF(ISNUMBER(SEARCH('Карта учёта'!$B$13,Расходка[[#This Row],[Наименование расходного материала]])),MAX($E$1:E64)+1,0)</f>
        <v>0</v>
      </c>
      <c r="F65" s="117">
        <f>IF(ISNUMBER(SEARCH('Карта учёта'!$B$14,Расходка[[#This Row],[Наименование расходного материала]])),MAX($F$1:F64)+1,0)</f>
        <v>0</v>
      </c>
      <c r="G65" s="117">
        <f>IF(ISNUMBER(SEARCH('Карта учёта'!$B$15,Расходка[Наименование расходного материала])),MAX($G$1:G64)+1,0)</f>
        <v>0</v>
      </c>
      <c r="H65" s="117">
        <f>IF(ISNUMBER(SEARCH('Карта учёта'!$B$16,Расходка[Наименование расходного материала])),MAX($H$1:H64)+1,0)</f>
        <v>0</v>
      </c>
      <c r="I65" s="117">
        <f>IF(ISNUMBER(SEARCH('Карта учёта'!$B$17,Расходка[Наименование расходного материала])),MAX($I$1:I64)+1,0)</f>
        <v>0</v>
      </c>
      <c r="J65" s="117">
        <f>IF(ISNUMBER(SEARCH('Карта учёта'!$B$18,Расходка[Наименование расходного материала])),MAX($J$1:J64)+1,0)</f>
        <v>0</v>
      </c>
      <c r="K65" s="117">
        <f>IF(ISNUMBER(SEARCH('Карта учёта'!$B$19,Расходка[Наименование расходного материала])),MAX($K$1:K64)+1,0)</f>
        <v>64</v>
      </c>
      <c r="L65" s="117">
        <f>IF(ISNUMBER(SEARCH('Карта учёта'!$B$20,Расходка[Наименование расходного материала])),MAX($L$1:L64)+1,0)</f>
        <v>64</v>
      </c>
      <c r="M65" s="117">
        <f>IF(ISNUMBER(SEARCH('Карта учёта'!$B$21,Расходка[Наименование расходного материала])),MAX($M$1:M64)+1,0)</f>
        <v>64</v>
      </c>
      <c r="N65" s="117">
        <f>IF(ISNUMBER(SEARCH('Карта учёта'!$B$22,Расходка[Наименование расходного материала])),MAX($N$1:N64)+1,0)</f>
        <v>64</v>
      </c>
      <c r="O65" s="117">
        <f>IF(ISNUMBER(SEARCH('Карта учёта'!$B$23,Расходка[Наименование расходного материала])),MAX($O$1:O64)+1,0)</f>
        <v>64</v>
      </c>
      <c r="P65" s="117">
        <f>IF(ISNUMBER(SEARCH('Карта учёта'!$B$24,Расходка[Наименование расходного материала])),MAX($P$1:P64)+1,0)</f>
        <v>64</v>
      </c>
      <c r="Q65" s="117">
        <f>IF(ISNUMBER(SEARCH('Карта учёта'!$B$25,Расходка[Наименование расходного материала])),MAX($Q$1:Q64)+1,0)</f>
        <v>64</v>
      </c>
      <c r="R65" s="116" t="str">
        <f>IFERROR(INDEX(Расходка[Наименование расходного материала],MATCH(Расходка[№],Поиск_расходки[Индекс1],0)),"")</f>
        <v/>
      </c>
      <c r="S65" s="116" t="str">
        <f>IFERROR(INDEX(Расходка[Наименование расходного материала],MATCH(Расходка[№],Поиск_расходки[Индекс2],0)),"")</f>
        <v/>
      </c>
      <c r="T65" s="116" t="str">
        <f>IFERROR(INDEX(Расходка[Наименование расходного материала],MATCH(Расходка[№],Поиск_расходки[Индекс3],0)),"")</f>
        <v/>
      </c>
      <c r="U65" s="116" t="str">
        <f>IFERROR(INDEX(Расходка[Наименование расходного материала],MATCH(Расходка[№],Поиск_расходки[Индекс4],0)),"")</f>
        <v/>
      </c>
      <c r="V65" s="116" t="str">
        <f>IFERROR(INDEX(Расходка[Наименование расходного материала],MATCH(Расходка[№],Поиск_расходки[Индекс5],0)),"")</f>
        <v/>
      </c>
      <c r="W65" s="116" t="str">
        <f>IFERROR(INDEX(Расходка[Наименование расходного материала],MATCH(Расходка[№],Поиск_расходки[Индекс6],0)),"")</f>
        <v/>
      </c>
      <c r="X65" s="116" t="str">
        <f>IFERROR(INDEX(Расходка[Наименование расходного материала],MATCH(Расходка[№],Поиск_расходки[Индекс7],0)),"")</f>
        <v>Angio-Seal™ VIP</v>
      </c>
      <c r="Y65" s="116" t="str">
        <f>IFERROR(INDEX(Расходка[Наименование расходного материала],MATCH(Расходка[№],Поиск_расходки[Индекс8],0)),"")</f>
        <v>Angio-Seal™ VIP</v>
      </c>
      <c r="Z65" s="116" t="str">
        <f>IFERROR(INDEX(Расходка[Наименование расходного материала],MATCH(Расходка[№],Поиск_расходки[Индекс9],0)),"")</f>
        <v>Angio-Seal™ VIP</v>
      </c>
      <c r="AA65" s="116" t="str">
        <f>IFERROR(INDEX(Расходка[Наименование расходного материала],MATCH(Расходка[№],Поиск_расходки[Индекс10],0)),"")</f>
        <v>Angio-Seal™ VIP</v>
      </c>
      <c r="AB65" s="116" t="str">
        <f>IFERROR(INDEX(Расходка[Наименование расходного материала],MATCH(Расходка[№],Поиск_расходки[Индекс11],0)),"")</f>
        <v>Angio-Seal™ VIP</v>
      </c>
      <c r="AC65" s="116" t="str">
        <f>IFERROR(INDEX(Расходка[Наименование расходного материала],MATCH(Расходка[№],Поиск_расходки[Индекс12],0)),"")</f>
        <v>Angio-Seal™ VIP</v>
      </c>
      <c r="AD65" s="116" t="str">
        <f>IFERROR(INDEX(Расходка[Наименование расходного материала],MATCH(Расходка[№],Поиск_расходки[Индекс13],0)),"")</f>
        <v>Angio-Seal™ VIP</v>
      </c>
      <c r="AF65" s="4" t="s">
        <v>6</v>
      </c>
      <c r="AG65" s="4" t="s">
        <v>463</v>
      </c>
    </row>
    <row r="66" spans="1:33">
      <c r="A66">
        <v>65</v>
      </c>
      <c r="E66" s="117">
        <f>IF(ISNUMBER(SEARCH('Карта учёта'!$B$13,Расходка[[#This Row],[Наименование расходного материала]])),MAX($E$1:E65)+1,0)</f>
        <v>0</v>
      </c>
      <c r="F66" s="117">
        <f>IF(ISNUMBER(SEARCH('Карта учёта'!$B$14,Расходка[[#This Row],[Наименование расходного материала]])),MAX($F$1:F65)+1,0)</f>
        <v>0</v>
      </c>
      <c r="G66" s="117">
        <f>IF(ISNUMBER(SEARCH('Карта учёта'!$B$15,Расходка[Наименование расходного материала])),MAX($G$1:G65)+1,0)</f>
        <v>0</v>
      </c>
      <c r="H66" s="117">
        <f>IF(ISNUMBER(SEARCH('Карта учёта'!$B$16,Расходка[Наименование расходного материала])),MAX($H$1:H65)+1,0)</f>
        <v>0</v>
      </c>
      <c r="I66" s="117">
        <f>IF(ISNUMBER(SEARCH('Карта учёта'!$B$17,Расходка[Наименование расходного материала])),MAX($I$1:I65)+1,0)</f>
        <v>0</v>
      </c>
      <c r="J66" s="117">
        <f>IF(ISNUMBER(SEARCH('Карта учёта'!$B$18,Расходка[Наименование расходного материала])),MAX($J$1:J65)+1,0)</f>
        <v>0</v>
      </c>
      <c r="K66" s="117">
        <f>IF(ISNUMBER(SEARCH('Карта учёта'!$B$19,Расходка[Наименование расходного материала])),MAX($K$1:K65)+1,0)</f>
        <v>0</v>
      </c>
      <c r="L66" s="117">
        <f>IF(ISNUMBER(SEARCH('Карта учёта'!$B$20,Расходка[Наименование расходного материала])),MAX($L$1:L65)+1,0)</f>
        <v>0</v>
      </c>
      <c r="M66" s="117">
        <f>IF(ISNUMBER(SEARCH('Карта учёта'!$B$21,Расходка[Наименование расходного материала])),MAX($M$1:M65)+1,0)</f>
        <v>0</v>
      </c>
      <c r="N66" s="117">
        <f>IF(ISNUMBER(SEARCH('Карта учёта'!$B$22,Расходка[Наименование расходного материала])),MAX($N$1:N65)+1,0)</f>
        <v>0</v>
      </c>
      <c r="O66" s="117">
        <f>IF(ISNUMBER(SEARCH('Карта учёта'!$B$23,Расходка[Наименование расходного материала])),MAX($O$1:O65)+1,0)</f>
        <v>0</v>
      </c>
      <c r="P66" s="117">
        <f>IF(ISNUMBER(SEARCH('Карта учёта'!$B$24,Расходка[Наименование расходного материала])),MAX($P$1:P65)+1,0)</f>
        <v>0</v>
      </c>
      <c r="Q66" s="117">
        <f>IF(ISNUMBER(SEARCH('Карта учёта'!$B$25,Расходка[Наименование расходного материала])),MAX($Q$1:Q65)+1,0)</f>
        <v>0</v>
      </c>
      <c r="R66" s="116" t="str">
        <f>IFERROR(INDEX(Расходка[Наименование расходного материала],MATCH(Расходка[№],Поиск_расходки[Индекс1],0)),"")</f>
        <v/>
      </c>
      <c r="S66" s="116" t="str">
        <f>IFERROR(INDEX(Расходка[Наименование расходного материала],MATCH(Расходка[№],Поиск_расходки[Индекс2],0)),"")</f>
        <v/>
      </c>
      <c r="T66" s="116" t="str">
        <f>IFERROR(INDEX(Расходка[Наименование расходного материала],MATCH(Расходка[№],Поиск_расходки[Индекс3],0)),"")</f>
        <v/>
      </c>
      <c r="U66" s="116" t="str">
        <f>IFERROR(INDEX(Расходка[Наименование расходного материала],MATCH(Расходка[№],Поиск_расходки[Индекс4],0)),"")</f>
        <v/>
      </c>
      <c r="V66" s="116" t="str">
        <f>IFERROR(INDEX(Расходка[Наименование расходного материала],MATCH(Расходка[№],Поиск_расходки[Индекс5],0)),"")</f>
        <v/>
      </c>
      <c r="W66" s="116" t="str">
        <f>IFERROR(INDEX(Расходка[Наименование расходного материала],MATCH(Расходка[№],Поиск_расходки[Индекс6],0)),"")</f>
        <v/>
      </c>
      <c r="X66" s="116" t="str">
        <f>IFERROR(INDEX(Расходка[Наименование расходного материала],MATCH(Расходка[№],Поиск_расходки[Индекс7],0)),"")</f>
        <v/>
      </c>
      <c r="Y66" s="116" t="str">
        <f>IFERROR(INDEX(Расходка[Наименование расходного материала],MATCH(Расходка[№],Поиск_расходки[Индекс8],0)),"")</f>
        <v/>
      </c>
      <c r="Z66" s="116" t="str">
        <f>IFERROR(INDEX(Расходка[Наименование расходного материала],MATCH(Расходка[№],Поиск_расходки[Индекс9],0)),"")</f>
        <v/>
      </c>
      <c r="AA66" s="116" t="str">
        <f>IFERROR(INDEX(Расходка[Наименование расходного материала],MATCH(Расходка[№],Поиск_расходки[Индекс10],0)),"")</f>
        <v/>
      </c>
      <c r="AB66" s="116" t="str">
        <f>IFERROR(INDEX(Расходка[Наименование расходного материала],MATCH(Расходка[№],Поиск_расходки[Индекс11],0)),"")</f>
        <v/>
      </c>
      <c r="AC66" s="116" t="str">
        <f>IFERROR(INDEX(Расходка[Наименование расходного материала],MATCH(Расходка[№],Поиск_расходки[Индекс12],0)),"")</f>
        <v/>
      </c>
      <c r="AD66" s="116" t="str">
        <f>IFERROR(INDEX(Расходка[Наименование расходного материала],MATCH(Расходка[№],Поиск_расходки[Индекс13],0)),"")</f>
        <v/>
      </c>
      <c r="AF66" s="4" t="s">
        <v>6</v>
      </c>
      <c r="AG66" s="4" t="s">
        <v>464</v>
      </c>
    </row>
    <row r="67" spans="1:33">
      <c r="E67" s="202">
        <f>IF(ISNUMBER(SEARCH('Карта учёта'!$B$13,Расходка[[#This Row],[Наименование расходного материала]])),MAX($E$1:E66)+1,0)</f>
        <v>0</v>
      </c>
      <c r="F67" s="202">
        <f>IF(ISNUMBER(SEARCH('Карта учёта'!$B$14,Расходка[[#This Row],[Наименование расходного материала]])),MAX($F$1:F66)+1,0)</f>
        <v>0</v>
      </c>
      <c r="G67" s="202">
        <f>IF(ISNUMBER(SEARCH('Карта учёта'!$B$15,Расходка[Наименование расходного материала])),MAX($G$1:G66)+1,0)</f>
        <v>0</v>
      </c>
      <c r="H67" s="202">
        <f>IF(ISNUMBER(SEARCH('Карта учёта'!$B$16,Расходка[Наименование расходного материала])),MAX($H$1:H66)+1,0)</f>
        <v>0</v>
      </c>
      <c r="I67" s="202">
        <f>IF(ISNUMBER(SEARCH('Карта учёта'!$B$17,Расходка[Наименование расходного материала])),MAX($I$1:I66)+1,0)</f>
        <v>0</v>
      </c>
      <c r="J67" s="202">
        <f>IF(ISNUMBER(SEARCH('Карта учёта'!$B$18,Расходка[Наименование расходного материала])),MAX($J$1:J66)+1,0)</f>
        <v>0</v>
      </c>
      <c r="K67" s="202">
        <f>IF(ISNUMBER(SEARCH('Карта учёта'!$B$19,Расходка[Наименование расходного материала])),MAX($K$1:K66)+1,0)</f>
        <v>0</v>
      </c>
      <c r="L67" s="202">
        <f>IF(ISNUMBER(SEARCH('Карта учёта'!$B$20,Расходка[Наименование расходного материала])),MAX($L$1:L66)+1,0)</f>
        <v>0</v>
      </c>
      <c r="M67" s="202">
        <f>IF(ISNUMBER(SEARCH('Карта учёта'!$B$21,Расходка[Наименование расходного материала])),MAX($M$1:M66)+1,0)</f>
        <v>0</v>
      </c>
      <c r="N67" s="202">
        <f>IF(ISNUMBER(SEARCH('Карта учёта'!$B$22,Расходка[Наименование расходного материала])),MAX($N$1:N66)+1,0)</f>
        <v>0</v>
      </c>
      <c r="O67" s="202">
        <f>IF(ISNUMBER(SEARCH('Карта учёта'!$B$23,Расходка[Наименование расходного материала])),MAX($O$1:O66)+1,0)</f>
        <v>0</v>
      </c>
      <c r="P67" s="202">
        <f>IF(ISNUMBER(SEARCH('Карта учёта'!$B$24,Расходка[Наименование расходного материала])),MAX($P$1:P66)+1,0)</f>
        <v>0</v>
      </c>
      <c r="Q67" s="202">
        <f>IF(ISNUMBER(SEARCH('Карта учёта'!$B$25,Расходка[Наименование расходного материала])),MAX($Q$1:Q66)+1,0)</f>
        <v>0</v>
      </c>
      <c r="R67" s="203" t="str">
        <f>IFERROR(INDEX(Расходка[Наименование расходного материала],MATCH(Расходка[№],Поиск_расходки[Индекс1],0)),"")</f>
        <v/>
      </c>
      <c r="S67" s="203" t="str">
        <f>IFERROR(INDEX(Расходка[Наименование расходного материала],MATCH(Расходка[№],Поиск_расходки[Индекс2],0)),"")</f>
        <v/>
      </c>
      <c r="T67" s="203" t="str">
        <f>IFERROR(INDEX(Расходка[Наименование расходного материала],MATCH(Расходка[№],Поиск_расходки[Индекс3],0)),"")</f>
        <v/>
      </c>
      <c r="U67" s="203" t="str">
        <f>IFERROR(INDEX(Расходка[Наименование расходного материала],MATCH(Расходка[№],Поиск_расходки[Индекс4],0)),"")</f>
        <v/>
      </c>
      <c r="V67" s="203" t="str">
        <f>IFERROR(INDEX(Расходка[Наименование расходного материала],MATCH(Расходка[№],Поиск_расходки[Индекс5],0)),"")</f>
        <v/>
      </c>
      <c r="W67" s="203" t="str">
        <f>IFERROR(INDEX(Расходка[Наименование расходного материала],MATCH(Расходка[№],Поиск_расходки[Индекс6],0)),"")</f>
        <v/>
      </c>
      <c r="X67" s="203" t="str">
        <f>IFERROR(INDEX(Расходка[Наименование расходного материала],MATCH(Расходка[№],Поиск_расходки[Индекс7],0)),"")</f>
        <v/>
      </c>
      <c r="Y67" s="203" t="str">
        <f>IFERROR(INDEX(Расходка[Наименование расходного материала],MATCH(Расходка[№],Поиск_расходки[Индекс8],0)),"")</f>
        <v/>
      </c>
      <c r="Z67" s="203" t="str">
        <f>IFERROR(INDEX(Расходка[Наименование расходного материала],MATCH(Расходка[№],Поиск_расходки[Индекс9],0)),"")</f>
        <v/>
      </c>
      <c r="AA67" s="203" t="str">
        <f>IFERROR(INDEX(Расходка[Наименование расходного материала],MATCH(Расходка[№],Поиск_расходки[Индекс10],0)),"")</f>
        <v/>
      </c>
      <c r="AB67" s="203" t="str">
        <f>IFERROR(INDEX(Расходка[Наименование расходного материала],MATCH(Расходка[№],Поиск_расходки[Индекс11],0)),"")</f>
        <v/>
      </c>
      <c r="AC67" s="203" t="str">
        <f>IFERROR(INDEX(Расходка[Наименование расходного материала],MATCH(Расходка[№],Поиск_расходки[Индекс12],0)),"")</f>
        <v/>
      </c>
      <c r="AD67" s="203" t="str">
        <f>IFERROR(INDEX(Расходка[Наименование расходного материала],MATCH(Расходка[№],Поиск_расходки[Индекс13],0)),"")</f>
        <v/>
      </c>
      <c r="AF67" s="4" t="s">
        <v>6</v>
      </c>
      <c r="AG67" s="4" t="s">
        <v>465</v>
      </c>
    </row>
    <row r="68" spans="1:33">
      <c r="E68" s="202">
        <f>IF(ISNUMBER(SEARCH('Карта учёта'!$B$13,Расходка[[#This Row],[Наименование расходного материала]])),MAX($E$1:E67)+1,0)</f>
        <v>0</v>
      </c>
      <c r="F68" s="202">
        <f>IF(ISNUMBER(SEARCH('Карта учёта'!$B$14,Расходка[[#This Row],[Наименование расходного материала]])),MAX($F$1:F67)+1,0)</f>
        <v>0</v>
      </c>
      <c r="G68" s="202">
        <f>IF(ISNUMBER(SEARCH('Карта учёта'!$B$15,Расходка[Наименование расходного материала])),MAX($G$1:G67)+1,0)</f>
        <v>0</v>
      </c>
      <c r="H68" s="202">
        <f>IF(ISNUMBER(SEARCH('Карта учёта'!$B$16,Расходка[Наименование расходного материала])),MAX($H$1:H67)+1,0)</f>
        <v>0</v>
      </c>
      <c r="I68" s="202">
        <f>IF(ISNUMBER(SEARCH('Карта учёта'!$B$17,Расходка[Наименование расходного материала])),MAX($I$1:I67)+1,0)</f>
        <v>0</v>
      </c>
      <c r="J68" s="202">
        <f>IF(ISNUMBER(SEARCH('Карта учёта'!$B$18,Расходка[Наименование расходного материала])),MAX($J$1:J67)+1,0)</f>
        <v>0</v>
      </c>
      <c r="K68" s="202">
        <f>IF(ISNUMBER(SEARCH('Карта учёта'!$B$19,Расходка[Наименование расходного материала])),MAX($K$1:K67)+1,0)</f>
        <v>0</v>
      </c>
      <c r="L68" s="202">
        <f>IF(ISNUMBER(SEARCH('Карта учёта'!$B$20,Расходка[Наименование расходного материала])),MAX($L$1:L67)+1,0)</f>
        <v>0</v>
      </c>
      <c r="M68" s="202">
        <f>IF(ISNUMBER(SEARCH('Карта учёта'!$B$21,Расходка[Наименование расходного материала])),MAX($M$1:M67)+1,0)</f>
        <v>0</v>
      </c>
      <c r="N68" s="202">
        <f>IF(ISNUMBER(SEARCH('Карта учёта'!$B$22,Расходка[Наименование расходного материала])),MAX($N$1:N67)+1,0)</f>
        <v>0</v>
      </c>
      <c r="O68" s="202">
        <f>IF(ISNUMBER(SEARCH('Карта учёта'!$B$23,Расходка[Наименование расходного материала])),MAX($O$1:O67)+1,0)</f>
        <v>0</v>
      </c>
      <c r="P68" s="202">
        <f>IF(ISNUMBER(SEARCH('Карта учёта'!$B$24,Расходка[Наименование расходного материала])),MAX($P$1:P67)+1,0)</f>
        <v>0</v>
      </c>
      <c r="Q68" s="202">
        <f>IF(ISNUMBER(SEARCH('Карта учёта'!$B$25,Расходка[Наименование расходного материала])),MAX($Q$1:Q67)+1,0)</f>
        <v>0</v>
      </c>
      <c r="R68" s="203" t="str">
        <f>IFERROR(INDEX(Расходка[Наименование расходного материала],MATCH(Расходка[№],Поиск_расходки[Индекс1],0)),"")</f>
        <v/>
      </c>
      <c r="S68" s="203" t="str">
        <f>IFERROR(INDEX(Расходка[Наименование расходного материала],MATCH(Расходка[№],Поиск_расходки[Индекс2],0)),"")</f>
        <v/>
      </c>
      <c r="T68" s="203" t="str">
        <f>IFERROR(INDEX(Расходка[Наименование расходного материала],MATCH(Расходка[№],Поиск_расходки[Индекс3],0)),"")</f>
        <v/>
      </c>
      <c r="U68" s="203" t="str">
        <f>IFERROR(INDEX(Расходка[Наименование расходного материала],MATCH(Расходка[№],Поиск_расходки[Индекс4],0)),"")</f>
        <v/>
      </c>
      <c r="V68" s="203" t="str">
        <f>IFERROR(INDEX(Расходка[Наименование расходного материала],MATCH(Расходка[№],Поиск_расходки[Индекс5],0)),"")</f>
        <v/>
      </c>
      <c r="W68" s="203" t="str">
        <f>IFERROR(INDEX(Расходка[Наименование расходного материала],MATCH(Расходка[№],Поиск_расходки[Индекс6],0)),"")</f>
        <v/>
      </c>
      <c r="X68" s="203" t="str">
        <f>IFERROR(INDEX(Расходка[Наименование расходного материала],MATCH(Расходка[№],Поиск_расходки[Индекс7],0)),"")</f>
        <v/>
      </c>
      <c r="Y68" s="203" t="str">
        <f>IFERROR(INDEX(Расходка[Наименование расходного материала],MATCH(Расходка[№],Поиск_расходки[Индекс8],0)),"")</f>
        <v/>
      </c>
      <c r="Z68" s="203" t="str">
        <f>IFERROR(INDEX(Расходка[Наименование расходного материала],MATCH(Расходка[№],Поиск_расходки[Индекс9],0)),"")</f>
        <v/>
      </c>
      <c r="AA68" s="203" t="str">
        <f>IFERROR(INDEX(Расходка[Наименование расходного материала],MATCH(Расходка[№],Поиск_расходки[Индекс10],0)),"")</f>
        <v/>
      </c>
      <c r="AB68" s="203" t="str">
        <f>IFERROR(INDEX(Расходка[Наименование расходного материала],MATCH(Расходка[№],Поиск_расходки[Индекс11],0)),"")</f>
        <v/>
      </c>
      <c r="AC68" s="203" t="str">
        <f>IFERROR(INDEX(Расходка[Наименование расходного материала],MATCH(Расходка[№],Поиск_расходки[Индекс12],0)),"")</f>
        <v/>
      </c>
      <c r="AD68" s="203" t="str">
        <f>IFERROR(INDEX(Расходка[Наименование расходного материала],MATCH(Расходка[№],Поиск_расходки[Индекс13],0)),"")</f>
        <v/>
      </c>
      <c r="AF68" s="4" t="s">
        <v>6</v>
      </c>
      <c r="AG68" s="4" t="s">
        <v>466</v>
      </c>
    </row>
    <row r="69" spans="1:33">
      <c r="E69" s="202">
        <f>IF(ISNUMBER(SEARCH('Карта учёта'!$B$13,Расходка[[#This Row],[Наименование расходного материала]])),MAX($E$1:E68)+1,0)</f>
        <v>0</v>
      </c>
      <c r="F69" s="202">
        <f>IF(ISNUMBER(SEARCH('Карта учёта'!$B$14,Расходка[[#This Row],[Наименование расходного материала]])),MAX($F$1:F68)+1,0)</f>
        <v>0</v>
      </c>
      <c r="G69" s="202">
        <f>IF(ISNUMBER(SEARCH('Карта учёта'!$B$15,Расходка[Наименование расходного материала])),MAX($G$1:G68)+1,0)</f>
        <v>0</v>
      </c>
      <c r="H69" s="202">
        <f>IF(ISNUMBER(SEARCH('Карта учёта'!$B$16,Расходка[Наименование расходного материала])),MAX($H$1:H68)+1,0)</f>
        <v>0</v>
      </c>
      <c r="I69" s="202">
        <f>IF(ISNUMBER(SEARCH('Карта учёта'!$B$17,Расходка[Наименование расходного материала])),MAX($I$1:I68)+1,0)</f>
        <v>0</v>
      </c>
      <c r="J69" s="202">
        <f>IF(ISNUMBER(SEARCH('Карта учёта'!$B$18,Расходка[Наименование расходного материала])),MAX($J$1:J68)+1,0)</f>
        <v>0</v>
      </c>
      <c r="K69" s="202">
        <f>IF(ISNUMBER(SEARCH('Карта учёта'!$B$19,Расходка[Наименование расходного материала])),MAX($K$1:K68)+1,0)</f>
        <v>0</v>
      </c>
      <c r="L69" s="202">
        <f>IF(ISNUMBER(SEARCH('Карта учёта'!$B$20,Расходка[Наименование расходного материала])),MAX($L$1:L68)+1,0)</f>
        <v>0</v>
      </c>
      <c r="M69" s="202">
        <f>IF(ISNUMBER(SEARCH('Карта учёта'!$B$21,Расходка[Наименование расходного материала])),MAX($M$1:M68)+1,0)</f>
        <v>0</v>
      </c>
      <c r="N69" s="202">
        <f>IF(ISNUMBER(SEARCH('Карта учёта'!$B$22,Расходка[Наименование расходного материала])),MAX($N$1:N68)+1,0)</f>
        <v>0</v>
      </c>
      <c r="O69" s="202">
        <f>IF(ISNUMBER(SEARCH('Карта учёта'!$B$23,Расходка[Наименование расходного материала])),MAX($O$1:O68)+1,0)</f>
        <v>0</v>
      </c>
      <c r="P69" s="202">
        <f>IF(ISNUMBER(SEARCH('Карта учёта'!$B$24,Расходка[Наименование расходного материала])),MAX($P$1:P68)+1,0)</f>
        <v>0</v>
      </c>
      <c r="Q69" s="202">
        <f>IF(ISNUMBER(SEARCH('Карта учёта'!$B$25,Расходка[Наименование расходного материала])),MAX($Q$1:Q68)+1,0)</f>
        <v>0</v>
      </c>
      <c r="R69" s="203" t="str">
        <f>IFERROR(INDEX(Расходка[Наименование расходного материала],MATCH(Расходка[№],Поиск_расходки[Индекс1],0)),"")</f>
        <v/>
      </c>
      <c r="S69" s="203" t="str">
        <f>IFERROR(INDEX(Расходка[Наименование расходного материала],MATCH(Расходка[№],Поиск_расходки[Индекс2],0)),"")</f>
        <v/>
      </c>
      <c r="T69" s="203" t="str">
        <f>IFERROR(INDEX(Расходка[Наименование расходного материала],MATCH(Расходка[№],Поиск_расходки[Индекс3],0)),"")</f>
        <v/>
      </c>
      <c r="U69" s="203" t="str">
        <f>IFERROR(INDEX(Расходка[Наименование расходного материала],MATCH(Расходка[№],Поиск_расходки[Индекс4],0)),"")</f>
        <v/>
      </c>
      <c r="V69" s="203" t="str">
        <f>IFERROR(INDEX(Расходка[Наименование расходного материала],MATCH(Расходка[№],Поиск_расходки[Индекс5],0)),"")</f>
        <v/>
      </c>
      <c r="W69" s="203" t="str">
        <f>IFERROR(INDEX(Расходка[Наименование расходного материала],MATCH(Расходка[№],Поиск_расходки[Индекс6],0)),"")</f>
        <v/>
      </c>
      <c r="X69" s="203" t="str">
        <f>IFERROR(INDEX(Расходка[Наименование расходного материала],MATCH(Расходка[№],Поиск_расходки[Индекс7],0)),"")</f>
        <v/>
      </c>
      <c r="Y69" s="203" t="str">
        <f>IFERROR(INDEX(Расходка[Наименование расходного материала],MATCH(Расходка[№],Поиск_расходки[Индекс8],0)),"")</f>
        <v/>
      </c>
      <c r="Z69" s="203" t="str">
        <f>IFERROR(INDEX(Расходка[Наименование расходного материала],MATCH(Расходка[№],Поиск_расходки[Индекс9],0)),"")</f>
        <v/>
      </c>
      <c r="AA69" s="203" t="str">
        <f>IFERROR(INDEX(Расходка[Наименование расходного материала],MATCH(Расходка[№],Поиск_расходки[Индекс10],0)),"")</f>
        <v/>
      </c>
      <c r="AB69" s="203" t="str">
        <f>IFERROR(INDEX(Расходка[Наименование расходного материала],MATCH(Расходка[№],Поиск_расходки[Индекс11],0)),"")</f>
        <v/>
      </c>
      <c r="AC69" s="203" t="str">
        <f>IFERROR(INDEX(Расходка[Наименование расходного материала],MATCH(Расходка[№],Поиск_расходки[Индекс12],0)),"")</f>
        <v/>
      </c>
      <c r="AD69" s="203" t="str">
        <f>IFERROR(INDEX(Расходка[Наименование расходного материала],MATCH(Расходка[№],Поиск_расходки[Индекс13],0)),"")</f>
        <v/>
      </c>
      <c r="AF69" s="4" t="s">
        <v>6</v>
      </c>
      <c r="AG69" s="4" t="s">
        <v>467</v>
      </c>
    </row>
    <row r="70" spans="1:33">
      <c r="AF70" s="4" t="s">
        <v>6</v>
      </c>
      <c r="AG70" s="4" t="s">
        <v>468</v>
      </c>
    </row>
    <row r="71" spans="1:33">
      <c r="AF71" s="4" t="s">
        <v>6</v>
      </c>
      <c r="AG71" s="4" t="s">
        <v>423</v>
      </c>
    </row>
    <row r="72" spans="1:33">
      <c r="AF72" s="4" t="s">
        <v>6</v>
      </c>
      <c r="AG72" s="4" t="s">
        <v>469</v>
      </c>
    </row>
    <row r="73" spans="1:33">
      <c r="AF73" s="4" t="s">
        <v>6</v>
      </c>
      <c r="AG73" s="4" t="s">
        <v>424</v>
      </c>
    </row>
    <row r="74" spans="1:33">
      <c r="AF74" s="4" t="s">
        <v>6</v>
      </c>
      <c r="AG74" s="4" t="s">
        <v>470</v>
      </c>
    </row>
    <row r="75" spans="1:33">
      <c r="AF75" s="4" t="s">
        <v>6</v>
      </c>
      <c r="AG75" s="4" t="s">
        <v>471</v>
      </c>
    </row>
    <row r="76" spans="1:33">
      <c r="AF76" s="4" t="s">
        <v>6</v>
      </c>
      <c r="AG76" s="4" t="s">
        <v>472</v>
      </c>
    </row>
    <row r="77" spans="1:33">
      <c r="AF77" s="4" t="s">
        <v>6</v>
      </c>
      <c r="AG77" s="4" t="s">
        <v>473</v>
      </c>
    </row>
    <row r="78" spans="1:33">
      <c r="AF78" s="4" t="s">
        <v>6</v>
      </c>
      <c r="AG78" s="4" t="s">
        <v>474</v>
      </c>
    </row>
    <row r="79" spans="1:33">
      <c r="AF79" s="4" t="s">
        <v>6</v>
      </c>
      <c r="AG79" s="4" t="s">
        <v>475</v>
      </c>
    </row>
    <row r="80" spans="1:33">
      <c r="AF80" s="4" t="s">
        <v>6</v>
      </c>
      <c r="AG80" s="4" t="s">
        <v>476</v>
      </c>
    </row>
    <row r="81" spans="32:33">
      <c r="AF81" s="4" t="s">
        <v>6</v>
      </c>
      <c r="AG81" s="4" t="s">
        <v>477</v>
      </c>
    </row>
    <row r="82" spans="32:33">
      <c r="AF82" s="4" t="s">
        <v>6</v>
      </c>
      <c r="AG82" s="4" t="s">
        <v>478</v>
      </c>
    </row>
    <row r="83" spans="32:33">
      <c r="AF83" s="4" t="s">
        <v>6</v>
      </c>
      <c r="AG83" s="4" t="s">
        <v>479</v>
      </c>
    </row>
    <row r="84" spans="32:33">
      <c r="AF84" s="4" t="s">
        <v>6</v>
      </c>
      <c r="AG84" s="4" t="s">
        <v>430</v>
      </c>
    </row>
    <row r="85" spans="32:33">
      <c r="AF85" s="4" t="s">
        <v>6</v>
      </c>
      <c r="AG85" s="4" t="s">
        <v>431</v>
      </c>
    </row>
    <row r="86" spans="32:33">
      <c r="AF86" s="4" t="s">
        <v>6</v>
      </c>
      <c r="AG86" s="4" t="s">
        <v>480</v>
      </c>
    </row>
    <row r="87" spans="32:33">
      <c r="AF87" s="4" t="s">
        <v>6</v>
      </c>
      <c r="AG87" s="4" t="s">
        <v>481</v>
      </c>
    </row>
    <row r="88" spans="32:33">
      <c r="AF88" s="4" t="s">
        <v>6</v>
      </c>
      <c r="AG88" s="4" t="s">
        <v>482</v>
      </c>
    </row>
    <row r="89" spans="32:33">
      <c r="AF89" s="4" t="s">
        <v>6</v>
      </c>
      <c r="AG89" s="4" t="s">
        <v>483</v>
      </c>
    </row>
    <row r="90" spans="32:33">
      <c r="AF90" s="4" t="s">
        <v>6</v>
      </c>
      <c r="AG90" s="4" t="s">
        <v>484</v>
      </c>
    </row>
    <row r="91" spans="32:33">
      <c r="AF91" s="4" t="s">
        <v>6</v>
      </c>
      <c r="AG91" s="4" t="s">
        <v>485</v>
      </c>
    </row>
    <row r="92" spans="32:33">
      <c r="AF92" s="4" t="s">
        <v>6</v>
      </c>
      <c r="AG92" s="4" t="s">
        <v>486</v>
      </c>
    </row>
    <row r="93" spans="32:33">
      <c r="AF93" s="4" t="s">
        <v>6</v>
      </c>
      <c r="AG93" s="4" t="s">
        <v>487</v>
      </c>
    </row>
    <row r="94" spans="32:33">
      <c r="AF94" s="4" t="s">
        <v>6</v>
      </c>
      <c r="AG94" s="4" t="s">
        <v>434</v>
      </c>
    </row>
    <row r="95" spans="32:33">
      <c r="AF95" s="4" t="s">
        <v>6</v>
      </c>
      <c r="AG95" s="4" t="s">
        <v>435</v>
      </c>
    </row>
    <row r="96" spans="32:33">
      <c r="AF96" s="4" t="s">
        <v>6</v>
      </c>
      <c r="AG96" s="4" t="s">
        <v>488</v>
      </c>
    </row>
    <row r="97" spans="32:33">
      <c r="AF97" s="4" t="s">
        <v>6</v>
      </c>
      <c r="AG97" s="4" t="s">
        <v>489</v>
      </c>
    </row>
  </sheetData>
  <sheetProtection sheet="1" objects="1" scenarios="1" formatCells="0" formatColumns="0"/>
  <phoneticPr fontId="14" type="noConversion"/>
  <dataValidations count="1">
    <dataValidation type="list" allowBlank="1" showInputMessage="1" showErrorMessage="1" sqref="B2:B66">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9"/>
  <sheetViews>
    <sheetView zoomScale="90" zoomScaleNormal="90" workbookViewId="0">
      <selection activeCell="F23" sqref="F23"/>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112</v>
      </c>
      <c r="B1" t="s">
        <v>111</v>
      </c>
      <c r="C1" t="s">
        <v>113</v>
      </c>
      <c r="E1" t="s">
        <v>175</v>
      </c>
    </row>
    <row r="2" spans="1:5">
      <c r="A2" t="s">
        <v>134</v>
      </c>
      <c r="B2" t="s">
        <v>107</v>
      </c>
      <c r="C2" t="str">
        <f t="shared" ref="C2:C16" si="0">CONCATENATE(A2,B2)</f>
        <v xml:space="preserve">Заведующий отделения: Д.В. Карчевский </v>
      </c>
      <c r="E2" t="s">
        <v>172</v>
      </c>
    </row>
    <row r="3" spans="1:5">
      <c r="A3" t="s">
        <v>124</v>
      </c>
      <c r="B3" t="s">
        <v>109</v>
      </c>
      <c r="C3" t="str">
        <f t="shared" si="0"/>
        <v xml:space="preserve">И/О заведующего отделения: В.Л. Мартынко </v>
      </c>
      <c r="E3" t="s">
        <v>179</v>
      </c>
    </row>
    <row r="4" spans="1:5">
      <c r="A4" t="s">
        <v>124</v>
      </c>
      <c r="B4" t="s">
        <v>116</v>
      </c>
      <c r="C4" t="str">
        <f>CONCATENATE(A4,B4)</f>
        <v xml:space="preserve">И/О заведующего отделения: А.В. Воронков </v>
      </c>
      <c r="E4" t="s">
        <v>173</v>
      </c>
    </row>
    <row r="5" spans="1:5">
      <c r="A5" t="s">
        <v>108</v>
      </c>
      <c r="B5" t="s">
        <v>118</v>
      </c>
      <c r="C5" t="str">
        <f t="shared" si="0"/>
        <v>Оператор: В.В. Анохин</v>
      </c>
      <c r="E5" t="s">
        <v>170</v>
      </c>
    </row>
    <row r="6" spans="1:5">
      <c r="A6" t="s">
        <v>108</v>
      </c>
      <c r="B6" t="s">
        <v>116</v>
      </c>
      <c r="C6" t="str">
        <f t="shared" si="0"/>
        <v xml:space="preserve">Оператор: А.В. Воронков </v>
      </c>
      <c r="E6" t="s">
        <v>303</v>
      </c>
    </row>
    <row r="7" spans="1:5">
      <c r="A7" t="s">
        <v>108</v>
      </c>
      <c r="B7" t="s">
        <v>119</v>
      </c>
      <c r="C7" t="str">
        <f t="shared" si="0"/>
        <v>Оператор: И.Н. Зимин</v>
      </c>
      <c r="E7" t="s">
        <v>180</v>
      </c>
    </row>
    <row r="8" spans="1:5">
      <c r="A8" t="s">
        <v>108</v>
      </c>
      <c r="B8" t="s">
        <v>107</v>
      </c>
      <c r="C8" t="str">
        <f t="shared" si="0"/>
        <v xml:space="preserve">Оператор: Д.В. Карчевский </v>
      </c>
      <c r="E8" t="s">
        <v>181</v>
      </c>
    </row>
    <row r="9" spans="1:5">
      <c r="A9" t="s">
        <v>108</v>
      </c>
      <c r="B9" t="s">
        <v>109</v>
      </c>
      <c r="C9" t="str">
        <f t="shared" si="0"/>
        <v xml:space="preserve">Оператор: В.Л. Мартынко </v>
      </c>
      <c r="E9" t="s">
        <v>182</v>
      </c>
    </row>
    <row r="10" spans="1:5">
      <c r="A10" t="s">
        <v>108</v>
      </c>
      <c r="B10" t="s">
        <v>114</v>
      </c>
      <c r="C10" t="str">
        <f t="shared" si="0"/>
        <v xml:space="preserve">Оператор: А.С. Меренков </v>
      </c>
      <c r="E10" t="s">
        <v>183</v>
      </c>
    </row>
    <row r="11" spans="1:5">
      <c r="A11" t="s">
        <v>108</v>
      </c>
      <c r="B11" t="s">
        <v>117</v>
      </c>
      <c r="C11" t="str">
        <f t="shared" si="0"/>
        <v xml:space="preserve">Оператор: О.В. Мещеряков </v>
      </c>
      <c r="E11" t="s">
        <v>184</v>
      </c>
    </row>
    <row r="12" spans="1:5">
      <c r="A12" t="s">
        <v>108</v>
      </c>
      <c r="B12" t="s">
        <v>115</v>
      </c>
      <c r="C12" t="str">
        <f t="shared" si="0"/>
        <v xml:space="preserve">Оператор: И.А. Московский </v>
      </c>
    </row>
    <row r="13" spans="1:5">
      <c r="A13" t="s">
        <v>108</v>
      </c>
      <c r="B13" t="s">
        <v>121</v>
      </c>
      <c r="C13" t="str">
        <f>CONCATENATE(A13,B13)</f>
        <v>Оператор: А.Ф. Паращенко</v>
      </c>
    </row>
    <row r="14" spans="1:5">
      <c r="A14" t="s">
        <v>108</v>
      </c>
      <c r="B14" t="s">
        <v>110</v>
      </c>
      <c r="C14" t="str">
        <f t="shared" si="0"/>
        <v xml:space="preserve">Оператор: А.С. Щербаков </v>
      </c>
    </row>
    <row r="15" spans="1:5">
      <c r="A15" t="s">
        <v>120</v>
      </c>
      <c r="B15" t="s">
        <v>122</v>
      </c>
      <c r="C15" t="str">
        <f t="shared" si="0"/>
        <v>Старшая мед.сетра: О.Н. Черткова</v>
      </c>
    </row>
    <row r="16" spans="1:5">
      <c r="A16" t="s">
        <v>123</v>
      </c>
      <c r="B16" t="s">
        <v>350</v>
      </c>
      <c r="C16" t="str">
        <f t="shared" si="0"/>
        <v xml:space="preserve">И/О старшей мед.сетры: А.А. Нефёдова </v>
      </c>
    </row>
    <row r="17" spans="1:3">
      <c r="A17" t="s">
        <v>123</v>
      </c>
      <c r="B17" t="s">
        <v>349</v>
      </c>
      <c r="C17" t="str">
        <f>CONCATENATE(A17,B17)</f>
        <v>И/О старшей мед.сетры: А.М. Казанцева</v>
      </c>
    </row>
    <row r="20" spans="1:3">
      <c r="A20" t="s">
        <v>175</v>
      </c>
      <c r="B20" t="s">
        <v>174</v>
      </c>
    </row>
    <row r="21" spans="1:3">
      <c r="A21" t="s">
        <v>170</v>
      </c>
      <c r="B21" t="s">
        <v>267</v>
      </c>
    </row>
    <row r="22" spans="1:3">
      <c r="A22" t="s">
        <v>170</v>
      </c>
      <c r="B22" t="s">
        <v>176</v>
      </c>
    </row>
    <row r="23" spans="1:3">
      <c r="A23" t="s">
        <v>170</v>
      </c>
      <c r="B23" t="s">
        <v>304</v>
      </c>
    </row>
    <row r="24" spans="1:3">
      <c r="A24" t="s">
        <v>170</v>
      </c>
      <c r="B24" t="s">
        <v>250</v>
      </c>
    </row>
    <row r="25" spans="1:3">
      <c r="A25" t="s">
        <v>170</v>
      </c>
      <c r="B25" t="s">
        <v>264</v>
      </c>
    </row>
    <row r="26" spans="1:3">
      <c r="A26" t="s">
        <v>170</v>
      </c>
      <c r="B26" t="s">
        <v>268</v>
      </c>
    </row>
    <row r="27" spans="1:3">
      <c r="A27" t="s">
        <v>170</v>
      </c>
      <c r="B27" t="s">
        <v>256</v>
      </c>
    </row>
    <row r="28" spans="1:3">
      <c r="A28" t="s">
        <v>170</v>
      </c>
      <c r="B28" t="s">
        <v>255</v>
      </c>
    </row>
    <row r="29" spans="1:3">
      <c r="A29" t="s">
        <v>170</v>
      </c>
      <c r="B29" t="s">
        <v>302</v>
      </c>
    </row>
    <row r="30" spans="1:3">
      <c r="A30" t="s">
        <v>170</v>
      </c>
      <c r="B30" t="s">
        <v>254</v>
      </c>
    </row>
    <row r="31" spans="1:3">
      <c r="A31" t="s">
        <v>170</v>
      </c>
      <c r="B31" t="s">
        <v>270</v>
      </c>
    </row>
    <row r="32" spans="1:3">
      <c r="A32" t="s">
        <v>170</v>
      </c>
      <c r="B32" t="s">
        <v>353</v>
      </c>
    </row>
    <row r="33" spans="1:2">
      <c r="A33" t="s">
        <v>170</v>
      </c>
      <c r="B33" t="s">
        <v>263</v>
      </c>
    </row>
    <row r="34" spans="1:2">
      <c r="A34" t="s">
        <v>170</v>
      </c>
      <c r="B34" t="s">
        <v>249</v>
      </c>
    </row>
    <row r="35" spans="1:2">
      <c r="A35" t="s">
        <v>170</v>
      </c>
      <c r="B35" t="s">
        <v>253</v>
      </c>
    </row>
    <row r="36" spans="1:2">
      <c r="A36" t="s">
        <v>170</v>
      </c>
      <c r="B36" t="s">
        <v>248</v>
      </c>
    </row>
    <row r="37" spans="1:2">
      <c r="A37" t="s">
        <v>170</v>
      </c>
      <c r="B37" t="s">
        <v>366</v>
      </c>
    </row>
    <row r="38" spans="1:2">
      <c r="A38" t="s">
        <v>170</v>
      </c>
      <c r="B38" t="s">
        <v>513</v>
      </c>
    </row>
    <row r="39" spans="1:2">
      <c r="A39" t="s">
        <v>170</v>
      </c>
      <c r="B39" t="s">
        <v>266</v>
      </c>
    </row>
    <row r="40" spans="1:2">
      <c r="A40" t="s">
        <v>170</v>
      </c>
      <c r="B40" t="s">
        <v>265</v>
      </c>
    </row>
    <row r="41" spans="1:2">
      <c r="A41" t="s">
        <v>170</v>
      </c>
      <c r="B41" t="s">
        <v>257</v>
      </c>
    </row>
    <row r="42" spans="1:2">
      <c r="A42" t="s">
        <v>170</v>
      </c>
      <c r="B42" t="s">
        <v>251</v>
      </c>
    </row>
    <row r="43" spans="1:2">
      <c r="A43" t="s">
        <v>170</v>
      </c>
      <c r="B43" t="s">
        <v>252</v>
      </c>
    </row>
    <row r="44" spans="1:2">
      <c r="A44" t="s">
        <v>303</v>
      </c>
      <c r="B44" t="s">
        <v>260</v>
      </c>
    </row>
    <row r="45" spans="1:2">
      <c r="A45" t="s">
        <v>303</v>
      </c>
      <c r="B45" t="s">
        <v>261</v>
      </c>
    </row>
    <row r="46" spans="1:2">
      <c r="A46" t="s">
        <v>303</v>
      </c>
      <c r="B46" t="s">
        <v>262</v>
      </c>
    </row>
    <row r="47" spans="1:2">
      <c r="A47" t="s">
        <v>303</v>
      </c>
      <c r="B47" t="s">
        <v>178</v>
      </c>
    </row>
    <row r="48" spans="1:2">
      <c r="A48" t="s">
        <v>303</v>
      </c>
      <c r="B48" t="s">
        <v>258</v>
      </c>
    </row>
    <row r="49" spans="1:2">
      <c r="A49" t="s">
        <v>303</v>
      </c>
      <c r="B49" t="s">
        <v>269</v>
      </c>
    </row>
    <row r="50" spans="1:2">
      <c r="A50" t="s">
        <v>303</v>
      </c>
      <c r="B50" t="s">
        <v>177</v>
      </c>
    </row>
    <row r="51" spans="1:2">
      <c r="A51" t="s">
        <v>303</v>
      </c>
      <c r="B51" t="s">
        <v>509</v>
      </c>
    </row>
    <row r="52" spans="1:2">
      <c r="A52" t="s">
        <v>303</v>
      </c>
      <c r="B52" t="s">
        <v>259</v>
      </c>
    </row>
    <row r="53" spans="1:2">
      <c r="A53" t="s">
        <v>303</v>
      </c>
      <c r="B53" t="s">
        <v>371</v>
      </c>
    </row>
    <row r="54" spans="1:2">
      <c r="A54" t="s">
        <v>303</v>
      </c>
      <c r="B54" t="s">
        <v>367</v>
      </c>
    </row>
    <row r="55" spans="1:2">
      <c r="A55" t="s">
        <v>171</v>
      </c>
      <c r="B55" t="s">
        <v>144</v>
      </c>
    </row>
    <row r="56" spans="1:2">
      <c r="A56" t="s">
        <v>171</v>
      </c>
      <c r="B56" t="s">
        <v>147</v>
      </c>
    </row>
    <row r="57" spans="1:2">
      <c r="A57" t="s">
        <v>171</v>
      </c>
      <c r="B57" t="s">
        <v>150</v>
      </c>
    </row>
    <row r="58" spans="1:2">
      <c r="A58" t="s">
        <v>171</v>
      </c>
      <c r="B58" t="s">
        <v>153</v>
      </c>
    </row>
    <row r="59" spans="1:2">
      <c r="A59" t="s">
        <v>171</v>
      </c>
      <c r="B59" t="s">
        <v>156</v>
      </c>
    </row>
    <row r="60" spans="1:2">
      <c r="A60" t="s">
        <v>171</v>
      </c>
      <c r="B60" t="s">
        <v>159</v>
      </c>
    </row>
    <row r="61" spans="1:2">
      <c r="A61" t="s">
        <v>171</v>
      </c>
      <c r="B61" t="s">
        <v>164</v>
      </c>
    </row>
    <row r="62" spans="1:2">
      <c r="A62" t="s">
        <v>171</v>
      </c>
      <c r="B62" t="s">
        <v>275</v>
      </c>
    </row>
    <row r="63" spans="1:2">
      <c r="A63" t="s">
        <v>171</v>
      </c>
      <c r="B63" t="s">
        <v>166</v>
      </c>
    </row>
    <row r="64" spans="1:2">
      <c r="A64" t="s">
        <v>171</v>
      </c>
      <c r="B64" t="s">
        <v>167</v>
      </c>
    </row>
    <row r="65" spans="1:2">
      <c r="A65" t="s">
        <v>171</v>
      </c>
      <c r="B65" t="s">
        <v>168</v>
      </c>
    </row>
    <row r="66" spans="1:2">
      <c r="A66" t="s">
        <v>171</v>
      </c>
      <c r="B66" t="s">
        <v>169</v>
      </c>
    </row>
    <row r="67" spans="1:2">
      <c r="A67" t="s">
        <v>171</v>
      </c>
      <c r="B67" t="s">
        <v>141</v>
      </c>
    </row>
    <row r="68" spans="1:2">
      <c r="A68" t="s">
        <v>171</v>
      </c>
      <c r="B68" t="s">
        <v>185</v>
      </c>
    </row>
    <row r="69" spans="1:2">
      <c r="A69" t="s">
        <v>172</v>
      </c>
      <c r="B69" t="s">
        <v>342</v>
      </c>
    </row>
    <row r="70" spans="1:2">
      <c r="A70" t="s">
        <v>172</v>
      </c>
      <c r="B70" t="s">
        <v>143</v>
      </c>
    </row>
    <row r="71" spans="1:2">
      <c r="A71" t="s">
        <v>172</v>
      </c>
      <c r="B71" t="s">
        <v>369</v>
      </c>
    </row>
    <row r="72" spans="1:2">
      <c r="A72" t="s">
        <v>172</v>
      </c>
      <c r="B72" t="s">
        <v>146</v>
      </c>
    </row>
    <row r="73" spans="1:2">
      <c r="A73" t="s">
        <v>172</v>
      </c>
      <c r="B73" t="s">
        <v>140</v>
      </c>
    </row>
    <row r="74" spans="1:2">
      <c r="A74" t="s">
        <v>172</v>
      </c>
      <c r="B74" t="s">
        <v>149</v>
      </c>
    </row>
    <row r="75" spans="1:2">
      <c r="A75" t="s">
        <v>172</v>
      </c>
      <c r="B75" t="s">
        <v>152</v>
      </c>
    </row>
    <row r="76" spans="1:2">
      <c r="A76" t="s">
        <v>172</v>
      </c>
      <c r="B76" t="s">
        <v>155</v>
      </c>
    </row>
    <row r="77" spans="1:2">
      <c r="A77" t="s">
        <v>172</v>
      </c>
      <c r="B77" t="s">
        <v>158</v>
      </c>
    </row>
    <row r="78" spans="1:2">
      <c r="A78" t="s">
        <v>172</v>
      </c>
      <c r="B78" t="s">
        <v>161</v>
      </c>
    </row>
    <row r="79" spans="1:2">
      <c r="A79" t="s">
        <v>172</v>
      </c>
      <c r="B79" t="s">
        <v>163</v>
      </c>
    </row>
    <row r="80" spans="1:2">
      <c r="A80" t="s">
        <v>184</v>
      </c>
      <c r="B80" t="s">
        <v>142</v>
      </c>
    </row>
    <row r="81" spans="1:2">
      <c r="A81" t="s">
        <v>184</v>
      </c>
      <c r="B81" t="s">
        <v>274</v>
      </c>
    </row>
    <row r="82" spans="1:2">
      <c r="A82" t="s">
        <v>184</v>
      </c>
      <c r="B82" t="s">
        <v>145</v>
      </c>
    </row>
    <row r="83" spans="1:2">
      <c r="A83" t="s">
        <v>184</v>
      </c>
      <c r="B83" t="s">
        <v>148</v>
      </c>
    </row>
    <row r="84" spans="1:2">
      <c r="A84" t="s">
        <v>184</v>
      </c>
      <c r="B84" t="s">
        <v>151</v>
      </c>
    </row>
    <row r="85" spans="1:2">
      <c r="A85" t="s">
        <v>184</v>
      </c>
      <c r="B85" t="s">
        <v>154</v>
      </c>
    </row>
    <row r="86" spans="1:2">
      <c r="A86" t="s">
        <v>184</v>
      </c>
      <c r="B86" t="s">
        <v>160</v>
      </c>
    </row>
    <row r="87" spans="1:2">
      <c r="A87" t="s">
        <v>184</v>
      </c>
      <c r="B87" t="s">
        <v>157</v>
      </c>
    </row>
    <row r="88" spans="1:2">
      <c r="A88" t="s">
        <v>184</v>
      </c>
      <c r="B88" t="s">
        <v>162</v>
      </c>
    </row>
    <row r="89" spans="1:2">
      <c r="A89" t="s">
        <v>184</v>
      </c>
      <c r="B89" t="s">
        <v>165</v>
      </c>
    </row>
  </sheetData>
  <sheetProtection sheet="1" objects="1" scenarios="1"/>
  <phoneticPr fontId="14" type="noConversion"/>
  <dataValidations count="1">
    <dataValidation type="list" allowBlank="1" showInputMessage="1" showErrorMessage="1" sqref="A21:A89">
      <formula1>INDIRECT("Должность[Должность]")</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F19" sqref="F19"/>
    </sheetView>
  </sheetViews>
  <sheetFormatPr defaultRowHeight="15"/>
  <cols>
    <col min="1" max="1" width="73.7109375" bestFit="1" customWidth="1"/>
  </cols>
  <sheetData>
    <row r="1" spans="1:1" ht="61.9" customHeight="1">
      <c r="A1" s="195" t="s">
        <v>385</v>
      </c>
    </row>
    <row r="2" spans="1:1">
      <c r="A2" t="s">
        <v>382</v>
      </c>
    </row>
    <row r="3" spans="1:1">
      <c r="A3" t="s">
        <v>386</v>
      </c>
    </row>
    <row r="4" spans="1:1">
      <c r="A4" t="s">
        <v>387</v>
      </c>
    </row>
    <row r="5" spans="1:1">
      <c r="A5" t="s">
        <v>383</v>
      </c>
    </row>
    <row r="6" spans="1:1">
      <c r="A6" t="s">
        <v>384</v>
      </c>
    </row>
    <row r="7" spans="1:1" ht="14.45" customHeight="1"/>
    <row r="8" spans="1:1" ht="14.45" customHeight="1"/>
    <row r="9" spans="1:1" ht="14.45" customHeight="1"/>
    <row r="10" spans="1:1" ht="14.45" customHeight="1"/>
    <row r="11" spans="1:1" ht="14.45" customHeight="1"/>
    <row r="12" spans="1:1" ht="14.45" customHeight="1"/>
    <row r="13" spans="1:1" ht="14.45" customHeight="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Ангиограф Плановый</cp:lastModifiedBy>
  <cp:lastPrinted>2023-06-05T05:22:41Z</cp:lastPrinted>
  <dcterms:created xsi:type="dcterms:W3CDTF">2015-06-05T18:19:34Z</dcterms:created>
  <dcterms:modified xsi:type="dcterms:W3CDTF">2023-06-05T05:22:49Z</dcterms:modified>
</cp:coreProperties>
</file>