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P:\Лучший сосудистый центр 2023\Щербаков\Протоколы\2023\Июль\"/>
    </mc:Choice>
  </mc:AlternateContent>
  <xr:revisionPtr revIDLastSave="0" documentId="13_ncr:1_{E2747215-BB4E-445E-A09A-E3A3D235E53C}" xr6:coauthVersionLast="47" xr6:coauthVersionMax="47" xr10:uidLastSave="{00000000-0000-0000-0000-000000000000}"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xr2:uid="{00000000-000D-0000-FFFF-FFFF00000000}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F67" i="1"/>
  <c r="F68" i="1"/>
  <c r="F69" i="1"/>
  <c r="F70" i="1"/>
  <c r="G67" i="1"/>
  <c r="G68" i="1"/>
  <c r="G69" i="1"/>
  <c r="G70" i="1"/>
  <c r="H67" i="1"/>
  <c r="H68" i="1"/>
  <c r="H69" i="1"/>
  <c r="H70" i="1"/>
  <c r="I67" i="1"/>
  <c r="I68" i="1"/>
  <c r="I69" i="1"/>
  <c r="I70" i="1"/>
  <c r="J67" i="1"/>
  <c r="J68" i="1"/>
  <c r="J69" i="1"/>
  <c r="J70" i="1"/>
  <c r="K67" i="1"/>
  <c r="K68" i="1"/>
  <c r="K69" i="1"/>
  <c r="K70" i="1"/>
  <c r="L67" i="1"/>
  <c r="L68" i="1"/>
  <c r="L69" i="1"/>
  <c r="L70" i="1"/>
  <c r="M67" i="1"/>
  <c r="M68" i="1"/>
  <c r="M69" i="1"/>
  <c r="M70" i="1"/>
  <c r="N67" i="1"/>
  <c r="N68" i="1"/>
  <c r="N69" i="1"/>
  <c r="N70" i="1"/>
  <c r="O67" i="1"/>
  <c r="O68" i="1"/>
  <c r="O69" i="1"/>
  <c r="O70" i="1"/>
  <c r="P67" i="1"/>
  <c r="P68" i="1"/>
  <c r="P69" i="1"/>
  <c r="P70" i="1"/>
  <c r="Q67" i="1"/>
  <c r="Q68" i="1"/>
  <c r="Q69" i="1"/>
  <c r="Q70" i="1"/>
  <c r="R67" i="1"/>
  <c r="R68" i="1"/>
  <c r="R69" i="1"/>
  <c r="R70" i="1"/>
  <c r="S67" i="1"/>
  <c r="S68" i="1"/>
  <c r="S69" i="1"/>
  <c r="S70" i="1"/>
  <c r="T67" i="1"/>
  <c r="T68" i="1"/>
  <c r="T69" i="1"/>
  <c r="T70" i="1"/>
  <c r="U67" i="1"/>
  <c r="U68" i="1"/>
  <c r="U69" i="1"/>
  <c r="U70" i="1"/>
  <c r="V67" i="1"/>
  <c r="V68" i="1"/>
  <c r="V69" i="1"/>
  <c r="V70" i="1"/>
  <c r="W67" i="1"/>
  <c r="W68" i="1"/>
  <c r="W69" i="1"/>
  <c r="W70" i="1"/>
  <c r="X67" i="1"/>
  <c r="X68" i="1"/>
  <c r="X69" i="1"/>
  <c r="X70" i="1"/>
  <c r="Y67" i="1"/>
  <c r="Y68" i="1"/>
  <c r="Y69" i="1"/>
  <c r="Y70" i="1"/>
  <c r="Z67" i="1"/>
  <c r="Z68" i="1"/>
  <c r="Z69" i="1"/>
  <c r="Z70" i="1"/>
  <c r="AA67" i="1"/>
  <c r="AA68" i="1"/>
  <c r="AA69" i="1"/>
  <c r="AA70" i="1"/>
  <c r="AB67" i="1"/>
  <c r="AB68" i="1"/>
  <c r="AB69" i="1"/>
  <c r="AB70" i="1"/>
  <c r="AC67" i="1"/>
  <c r="AC68" i="1"/>
  <c r="AC69" i="1"/>
  <c r="AC70" i="1"/>
  <c r="AD67" i="1"/>
  <c r="AD68" i="1"/>
  <c r="AD69" i="1"/>
  <c r="AD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E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P7" i="1" s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P11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1" i="1" l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O16" i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6" i="1" s="1"/>
  <c r="M15" i="1"/>
  <c r="M16" i="1" s="1"/>
  <c r="M17" i="1" s="1"/>
  <c r="P59" i="1"/>
  <c r="P60" i="1" s="1"/>
  <c r="P61" i="1" s="1"/>
  <c r="P62" i="1" s="1"/>
  <c r="P63" i="1" s="1"/>
  <c r="P64" i="1" s="1"/>
  <c r="P65" i="1" s="1"/>
  <c r="AC66" i="1" s="1"/>
  <c r="J12" i="1"/>
  <c r="J13" i="1" s="1"/>
  <c r="J14" i="1" s="1"/>
  <c r="J15" i="1" s="1"/>
  <c r="J16" i="1" s="1"/>
  <c r="R61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R64" i="1" l="1"/>
  <c r="R65" i="1"/>
  <c r="R63" i="1"/>
  <c r="AC64" i="1"/>
  <c r="AC65" i="1"/>
  <c r="F16" i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AD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21" i="1" l="1"/>
  <c r="AD19" i="1"/>
  <c r="AD64" i="1"/>
  <c r="AD65" i="1"/>
  <c r="AD63" i="1"/>
  <c r="AB61" i="1"/>
  <c r="O62" i="1"/>
  <c r="O63" i="1" s="1"/>
  <c r="O64" i="1" s="1"/>
  <c r="O65" i="1" s="1"/>
  <c r="AB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4" i="1" l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W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U66" i="1" s="1"/>
  <c r="W64" i="1"/>
  <c r="W65" i="1"/>
  <c r="U2" i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61" i="1"/>
  <c r="I54" i="1"/>
  <c r="I55" i="1" s="1"/>
  <c r="I56" i="1" s="1"/>
  <c r="I57" i="1" s="1"/>
  <c r="I58" i="1" s="1"/>
  <c r="I59" i="1" s="1"/>
  <c r="I60" i="1" s="1"/>
  <c r="I61" i="1" s="1"/>
  <c r="I62" i="1" s="1"/>
  <c r="U49" i="1"/>
  <c r="F51" i="1"/>
  <c r="G47" i="1"/>
  <c r="K47" i="1"/>
  <c r="L35" i="1"/>
  <c r="M34" i="1"/>
  <c r="AB31" i="1"/>
  <c r="N32" i="1"/>
  <c r="N33" i="1" s="1"/>
  <c r="AC31" i="1"/>
  <c r="AB29" i="1"/>
  <c r="AC29" i="1"/>
  <c r="U46" i="1" l="1"/>
  <c r="U53" i="1"/>
  <c r="U42" i="1"/>
  <c r="U62" i="1"/>
  <c r="U39" i="1"/>
  <c r="U41" i="1"/>
  <c r="U44" i="1"/>
  <c r="U47" i="1"/>
  <c r="U56" i="1"/>
  <c r="U58" i="1"/>
  <c r="U65" i="1"/>
  <c r="U43" i="1"/>
  <c r="U40" i="1"/>
  <c r="U48" i="1"/>
  <c r="U51" i="1"/>
  <c r="U55" i="1"/>
  <c r="U50" i="1"/>
  <c r="U54" i="1"/>
  <c r="U45" i="1"/>
  <c r="U52" i="1"/>
  <c r="U60" i="1"/>
  <c r="U59" i="1"/>
  <c r="U57" i="1"/>
  <c r="U63" i="1"/>
  <c r="U64" i="1"/>
  <c r="I63" i="1"/>
  <c r="I64" i="1" s="1"/>
  <c r="I65" i="1" s="1"/>
  <c r="V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51" i="1" l="1"/>
  <c r="V65" i="1"/>
  <c r="V64" i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F64" i="1" s="1"/>
  <c r="S2" i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F65" i="1" l="1"/>
  <c r="S66" i="1" s="1"/>
  <c r="S48" i="1"/>
  <c r="S46" i="1"/>
  <c r="S47" i="1"/>
  <c r="S43" i="1"/>
  <c r="S57" i="1"/>
  <c r="S59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61" i="1" l="1"/>
  <c r="S62" i="1"/>
  <c r="S41" i="1"/>
  <c r="S40" i="1"/>
  <c r="S55" i="1"/>
  <c r="S45" i="1"/>
  <c r="S65" i="1"/>
  <c r="S63" i="1"/>
  <c r="S49" i="1"/>
  <c r="S53" i="1"/>
  <c r="S44" i="1"/>
  <c r="S42" i="1"/>
  <c r="S60" i="1"/>
  <c r="S56" i="1"/>
  <c r="S39" i="1"/>
  <c r="S50" i="1"/>
  <c r="S64" i="1"/>
  <c r="S51" i="1"/>
  <c r="S58" i="1"/>
  <c r="S54" i="1"/>
  <c r="S5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X66" i="1" s="1"/>
  <c r="AC47" i="1"/>
  <c r="AB23" i="1"/>
  <c r="AC46" i="1"/>
  <c r="AB47" i="1"/>
  <c r="M41" i="1"/>
  <c r="L41" i="1"/>
  <c r="X64" i="1" l="1"/>
  <c r="X65" i="1"/>
  <c r="X2" i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AA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AA64" i="1" l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G64" i="1" l="1"/>
  <c r="T4" i="1"/>
  <c r="T3" i="1"/>
  <c r="M54" i="1"/>
  <c r="M55" i="1" s="1"/>
  <c r="L51" i="1"/>
  <c r="L52" i="1" s="1"/>
  <c r="L53" i="1" s="1"/>
  <c r="G65" i="1" l="1"/>
  <c r="T10" i="1" s="1"/>
  <c r="M56" i="1"/>
  <c r="M57" i="1" s="1"/>
  <c r="L54" i="1"/>
  <c r="T66" i="1" l="1"/>
  <c r="T5" i="1"/>
  <c r="T65" i="1"/>
  <c r="T35" i="1"/>
  <c r="T45" i="1"/>
  <c r="T9" i="1"/>
  <c r="T43" i="1"/>
  <c r="T60" i="1"/>
  <c r="T6" i="1"/>
  <c r="T44" i="1"/>
  <c r="T30" i="1"/>
  <c r="T18" i="1"/>
  <c r="T53" i="1"/>
  <c r="T27" i="1"/>
  <c r="T51" i="1"/>
  <c r="T13" i="1"/>
  <c r="T21" i="1"/>
  <c r="T25" i="1"/>
  <c r="T46" i="1"/>
  <c r="T33" i="1"/>
  <c r="T42" i="1"/>
  <c r="T47" i="1"/>
  <c r="T48" i="1"/>
  <c r="T59" i="1"/>
  <c r="T52" i="1"/>
  <c r="T7" i="1"/>
  <c r="T23" i="1"/>
  <c r="T34" i="1"/>
  <c r="T61" i="1"/>
  <c r="T50" i="1"/>
  <c r="T57" i="1"/>
  <c r="T12" i="1"/>
  <c r="T28" i="1"/>
  <c r="T36" i="1"/>
  <c r="T58" i="1"/>
  <c r="T16" i="1"/>
  <c r="T17" i="1"/>
  <c r="T39" i="1"/>
  <c r="T31" i="1"/>
  <c r="T37" i="1"/>
  <c r="T15" i="1"/>
  <c r="T54" i="1"/>
  <c r="T40" i="1"/>
  <c r="T14" i="1"/>
  <c r="T8" i="1"/>
  <c r="T41" i="1"/>
  <c r="T38" i="1"/>
  <c r="T19" i="1"/>
  <c r="T26" i="1"/>
  <c r="T20" i="1"/>
  <c r="T32" i="1"/>
  <c r="T62" i="1"/>
  <c r="T63" i="1"/>
  <c r="T64" i="1"/>
  <c r="T55" i="1"/>
  <c r="T24" i="1"/>
  <c r="T56" i="1"/>
  <c r="T22" i="1"/>
  <c r="T49" i="1"/>
  <c r="T11" i="1"/>
  <c r="T29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Y66" i="1" s="1"/>
  <c r="Y64" i="1" l="1"/>
  <c r="Y65" i="1"/>
  <c r="M61" i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M64" i="1" s="1"/>
  <c r="M65" i="1" s="1"/>
  <c r="Z66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64" i="1" l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Щербаков</author>
  </authors>
  <commentList>
    <comment ref="B8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Ангиограф Экстренный</author>
  </authors>
  <commentList>
    <comment ref="C8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<sst xmlns="http://schemas.openxmlformats.org/spreadsheetml/2006/main" count="866" uniqueCount="526">
  <si>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</si>
  <si>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</si>
  <si>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</si>
  <si>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</si>
  <si>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</si>
  <si>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</si>
  <si>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</si>
  <si>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</si>
  <si>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</si>
  <si>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</si>
  <si>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</si>
  <si>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</si>
  <si>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</si>
  <si>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</si>
  <si>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</si>
  <si>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</si>
  <si>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</si>
  <si>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</si>
  <si>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</si>
  <si>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</si>
  <si>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</si>
  <si>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</si>
  <si>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</si>
  <si>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</si>
  <si>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</si>
  <si>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</si>
  <si>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</si>
  <si>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</si>
  <si>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</si>
  <si>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</si>
  <si>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</si>
  <si>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</si>
  <si>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</si>
  <si>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</si>
  <si>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</si>
  <si>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</si>
  <si>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</si>
  <si>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</si>
  <si>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</si>
  <si>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</si>
  <si>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</si>
  <si>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</si>
  <si>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</si>
  <si>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</si>
  <si>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</si>
  <si>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</si>
  <si>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</si>
  <si>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</si>
  <si>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</si>
  <si>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</si>
  <si>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</si>
  <si>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</si>
  <si>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</si>
  <si>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</si>
  <si>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</si>
  <si>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</si>
  <si>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</si>
  <si>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</si>
  <si>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</si>
  <si>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</si>
  <si>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</si>
  <si>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</si>
  <si>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</si>
  <si>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</si>
  <si>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</si>
  <si>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</si>
  <si>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</si>
  <si>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</si>
  <si>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</si>
  <si>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</si>
  <si>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</si>
  <si>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</si>
  <si>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</si>
  <si>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</si>
  <si>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</si>
  <si>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</si>
  <si>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</si>
  <si>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</si>
  <si>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</si>
  <si>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</si>
  <si>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</si>
  <si>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</si>
  <si>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</si>
  <si>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</si>
  <si>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</si>
  <si>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</si>
  <si>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</si>
  <si>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</si>
  <si>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</si>
  <si>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</si>
  <si>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</si>
  <si>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</si>
  <si>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</si>
  <si>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</si>
  <si>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</si>
  <si>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</si>
  <si>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</si>
  <si>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</si>
  <si>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</si>
  <si>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</si>
  <si>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</si>
  <si>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</si>
  <si>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</si>
  <si>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</si>
  <si>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</si>
  <si>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</si>
  <si>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</si>
  <si>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</si>
  <si>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</si>
  <si>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</si>
  <si>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</si>
  <si>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</si>
  <si>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</si>
  <si>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</si>
  <si>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</si>
  <si>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</si>
  <si>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</si>
  <si>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</si>
  <si>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</si>
  <si>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</si>
  <si>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</si>
  <si>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</si>
  <si>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</si>
  <si>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</si>
  <si>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</si>
  <si>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</si>
  <si>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</si>
  <si>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</si>
  <si>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</si>
  <si>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</si>
  <si>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</si>
  <si>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</si>
  <si>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</si>
  <si>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</si>
  <si>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</si>
  <si>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</si>
  <si>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</si>
  <si>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</si>
  <si>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</si>
  <si>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</si>
  <si>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</si>
  <si>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</si>
  <si>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</si>
  <si>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</si>
  <si>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</si>
  <si>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</si>
  <si>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</si>
  <si>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</si>
  <si>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</si>
  <si>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</si>
  <si>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</si>
  <si>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</si>
  <si>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</si>
  <si>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</si>
  <si>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</si>
  <si>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</si>
  <si>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</si>
  <si>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</si>
  <si>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</si>
  <si>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</si>
  <si>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</si>
  <si>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</si>
  <si>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</si>
  <si>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</si>
  <si>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</si>
  <si>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</si>
  <si>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</si>
  <si>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</si>
  <si>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</si>
  <si>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</si>
  <si>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</si>
  <si>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</si>
  <si>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</si>
  <si>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</si>
  <si>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</si>
  <si>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</si>
  <si>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</si>
  <si>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</si>
  <si>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</si>
  <si>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</si>
  <si>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</si>
  <si>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</si>
  <si>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</si>
  <si>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</si>
  <si>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</si>
  <si>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</si>
  <si>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</si>
  <si>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</si>
  <si>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</si>
  <si>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</si>
  <si>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</si>
  <si>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</si>
  <si>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</si>
  <si>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</si>
  <si>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</si>
  <si>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</si>
  <si>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</si>
  <si>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</si>
  <si>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</si>
  <si>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</si>
  <si>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</si>
  <si>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</si>
  <si>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</si>
  <si>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</si>
  <si>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</si>
  <si>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</si>
  <si>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</si>
  <si>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</si>
  <si>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</si>
  <si>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</si>
  <si>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</si>
  <si>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</si>
  <si>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</si>
  <si>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</si>
  <si>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</si>
  <si>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</si>
  <si>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</si>
  <si>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</si>
  <si>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</si>
  <si>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</si>
  <si>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</si>
  <si>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</si>
  <si>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</si>
  <si>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</si>
  <si>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</si>
  <si>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</si>
  <si>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</si>
  <si>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</si>
  <si>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</si>
  <si>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</si>
  <si>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</si>
  <si>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</si>
  <si>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</si>
  <si>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</si>
  <si>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</si>
  <si>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</si>
  <si>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</si>
  <si>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</si>
  <si>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</si>
  <si>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</si>
  <si>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</si>
  <si>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</si>
  <si>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</si>
  <si>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</si>
  <si>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</si>
  <si>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</si>
  <si>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</si>
  <si>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</si>
  <si>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</si>
  <si>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</si>
  <si>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</si>
  <si>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</si>
  <si>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</si>
  <si>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</si>
  <si>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</si>
  <si>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</si>
  <si>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</si>
  <si>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</si>
  <si>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</si>
  <si>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</si>
  <si>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</si>
  <si>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</si>
  <si>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</si>
  <si>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</si>
  <si>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</si>
  <si>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</si>
  <si>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</si>
  <si>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</si>
  <si>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</si>
  <si>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</si>
  <si>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</si>
  <si>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</si>
  <si>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</si>
  <si>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</si>
  <si>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</si>
  <si>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</si>
  <si>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</si>
  <si>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</si>
  <si>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</si>
  <si>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</si>
  <si>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</si>
  <si>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</si>
  <si>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</si>
  <si>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</si>
  <si>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</si>
  <si>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</si>
  <si>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</si>
  <si>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</si>
  <si>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</si>
  <si>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</si>
  <si>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</si>
  <si>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</si>
  <si>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</si>
  <si>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</si>
  <si>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</si>
  <si>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</si>
  <si>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</si>
  <si>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</si>
  <si>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</si>
  <si>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</si>
  <si>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</si>
  <si>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</si>
  <si>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</si>
  <si>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</si>
  <si>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</si>
  <si>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</si>
  <si>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</si>
  <si>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</si>
  <si>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</si>
  <si>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</si>
  <si>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</si>
  <si>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</si>
  <si>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</si>
  <si>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</si>
  <si>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</si>
  <si>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</si>
  <si>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</si>
  <si>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</si>
  <si>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</si>
  <si>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</si>
  <si>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</si>
  <si>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</si>
  <si>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</si>
  <si>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</si>
  <si>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</si>
  <si>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</si>
  <si>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</si>
  <si>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</si>
  <si>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</si>
  <si>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</si>
  <si>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</si>
  <si>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</si>
  <si>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</si>
  <si>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</si>
  <si>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</si>
  <si>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</si>
  <si>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</si>
  <si>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</si>
  <si>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</si>
  <si>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</si>
  <si>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</si>
  <si>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</si>
  <si>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</si>
  <si>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</si>
  <si>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</si>
  <si>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</si>
  <si>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</si>
  <si>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</si>
  <si>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</si>
  <si>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</si>
  <si>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</si>
  <si>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</si>
  <si>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</si>
  <si>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</si>
  <si>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</si>
  <si>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</si>
  <si>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</si>
  <si>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</si>
  <si>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</si>
  <si>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</si>
  <si>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</si>
  <si>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</si>
  <si>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</si>
  <si>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</si>
  <si>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</si>
  <si>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</si>
  <si>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</si>
  <si>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</si>
  <si>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</si>
  <si>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</si>
  <si>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</si>
  <si>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</si>
  <si>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</si>
  <si>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</si>
  <si>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</si>
  <si>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</si>
  <si>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</si>
  <si>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</si>
  <si>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</si>
  <si>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</si>
  <si>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</si>
  <si>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</si>
  <si>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</si>
  <si>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</si>
  <si>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</si>
  <si>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</si>
  <si>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</si>
  <si>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</si>
  <si>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</si>
  <si>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</si>
  <si>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</si>
  <si>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</si>
  <si>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</si>
  <si>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</si>
  <si>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</si>
  <si>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</si>
  <si>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</si>
  <si>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</si>
  <si>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</si>
  <si>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</si>
  <si>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</si>
  <si>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</si>
  <si>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</si>
  <si>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</si>
  <si>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</si>
  <si>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</si>
  <si>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</si>
  <si>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</si>
  <si>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</si>
  <si>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</si>
  <si>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</si>
  <si>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</si>
  <si>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</si>
  <si>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</si>
  <si>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</si>
  <si>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</si>
  <si>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</si>
  <si>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</si>
  <si>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</si>
  <si>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</si>
  <si>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</si>
  <si>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</si>
  <si>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</si>
  <si>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</si>
  <si>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</si>
  <si>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</si>
  <si>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</si>
  <si>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</si>
  <si>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</si>
  <si>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</si>
  <si>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</si>
  <si>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</si>
  <si>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</si>
  <si>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</si>
  <si>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</si>
  <si>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</si>
  <si>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</si>
  <si>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</si>
  <si>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</si>
  <si>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</si>
  <si>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</si>
  <si>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</si>
  <si>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</si>
  <si>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</si>
  <si>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</si>
  <si>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</si>
  <si>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</si>
  <si>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</si>
  <si>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</si>
  <si>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</si>
  <si>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</si>
  <si>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</si>
  <si>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</si>
  <si>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</si>
  <si>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</si>
  <si>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</si>
  <si>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</si>
  <si>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</si>
  <si>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</si>
  <si>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</si>
  <si>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</si>
  <si>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</si>
  <si>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</si>
  <si>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</si>
  <si>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</si>
  <si>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</si>
  <si>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</si>
  <si>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</si>
  <si>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</si>
  <si>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</si>
  <si>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</si>
  <si>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</si>
  <si>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</si>
  <si>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</si>
  <si>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</si>
  <si>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</si>
  <si>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</si>
  <si>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</si>
  <si>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</si>
  <si>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</si>
  <si>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</si>
  <si>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</si>
  <si>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</si>
  <si>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</si>
  <si>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</si>
  <si>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</si>
  <si>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</si>
  <si>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</si>
  <si>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</si>
  <si>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</si>
  <si>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</si>
  <si>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</si>
  <si>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</si>
  <si>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</si>
  <si>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</si>
  <si>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</si>
  <si>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</si>
  <si>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</si>
  <si>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</si>
  <si>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</si>
  <si>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</si>
  <si>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</si>
  <si>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</si>
  <si>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</si>
  <si>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</si>
  <si>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</si>
  <si>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</si>
  <si>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</si>
  <si>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</si>
  <si>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</si>
  <si>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</si>
  <si>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</si>
  <si>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</si>
  <si>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</si>
  <si>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</si>
  <si>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>300 ml</t>
  </si>
  <si>
    <t>Устье ЛКА катетеризировано проводниковым катетером Launcher EBU 3,5 6Fr. Коронарный проводник Fielder заведен в дистальный сегмент ПНА. Провести коронарный проводник за зону окклюзии ДВ не удалось. Произведена предилатация субтотального стеноза среднего сегмента ПНА БК Euphora 2,25-15 мм, давлением 12 атм. В зону остаточных стенозов среднего сегмента позиционированы и имплантированы DES  Resolute Integtity 2.5-22 мм и DES  Resolute Integtity 2.75-22 мм давлением 12 атм. Постдилатация стентов БК NC Колибри 3.0-15, давлением до 18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ПНА TIMI III. Ангиографический удовлетворительный. Пациентка в стабильном состоянии транспортируется в ПРИТ для дальнейшего наблюдения и лечения.</t>
  </si>
  <si>
    <t>100 ml</t>
  </si>
  <si>
    <t>03:06</t>
  </si>
  <si>
    <t>Седов В.А.</t>
  </si>
  <si>
    <t>проходим, контуры ровные.</t>
  </si>
  <si>
    <t>умеренный кальциноз проксимального сегмента, неровности контуров проксимального сегмента, стенозы среднего сегмента 30%. Антеградный кроовоток  TIMI III.</t>
  </si>
  <si>
    <t>умеренный кальциноз проксимального сегмента, неровности контуров проксимального сегмента, среднего и дистального сегментов. Антеградный кроовоток  TIMI III.</t>
  </si>
  <si>
    <t>Левый</t>
  </si>
  <si>
    <t>бассейн гипоплазирован. Антеградный кроовоток  TIMI III.</t>
  </si>
  <si>
    <t xml:space="preserve">1) 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</si>
</sst>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h:mm;@"/>
    <numFmt numFmtId="166" formatCode="&quot;&quot;&quot;&quot;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41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5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4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4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5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4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5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 xr:uid="{00000000-0005-0000-0000-000000000000}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 xr:uid="{00000000-0005-0000-0000-000006000000}"/>
    <cellStyle name="Стиль 1" xfId="2" xr:uid="{00000000-0005-0000-0000-000007000000}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0000000}" name="Опер.Бригада" displayName="Опер.Бригада" ref="D9:H13" headerRowCount="0" totalsRowShown="0" headerRowDxfId="117" dataDxfId="116" tableBorderDxfId="115" totalsRowBorderDxfId="114">
  <tableColumns count="5">
    <tableColumn id="1" xr3:uid="{00000000-0010-0000-0000-000001000000}" name="Должность" headerRowDxfId="113" dataDxfId="112"/>
    <tableColumn id="5" xr3:uid="{00000000-0010-0000-0000-000005000000}" name="Столбец2" headerRowDxfId="111" dataDxfId="110"/>
    <tableColumn id="4" xr3:uid="{00000000-0010-0000-0000-000004000000}" name="Столбец1" headerRowDxfId="109" dataDxfId="108"/>
    <tableColumn id="2" xr3:uid="{00000000-0010-0000-0000-000002000000}" name="Бригада_1" headerRowDxfId="107" dataDxfId="106"/>
    <tableColumn id="3" xr3:uid="{00000000-0010-0000-0000-000003000000}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Код.Модели" displayName="Код.Модели" ref="F2:T9" headerRowCount="0" totalsRowShown="0" headerRowCellStyle="Обычный" dataCellStyle="Обычный">
  <tableColumns count="15">
    <tableColumn id="1" xr3:uid="{00000000-0010-0000-0900-000001000000}" name="Диагноз" dataCellStyle="Обычный"/>
    <tableColumn id="2" xr3:uid="{00000000-0010-0000-0900-000002000000}" name="Код модели" dataDxfId="60" dataCellStyle="Обычный"/>
    <tableColumn id="3" xr3:uid="{00000000-0010-0000-0900-000003000000}" name="Стент3" dataDxfId="59" dataCellStyle="Обычный"/>
    <tableColumn id="4" xr3:uid="{00000000-0010-0000-0900-000004000000}" name="Стент4" dataDxfId="58" dataCellStyle="Обычный"/>
    <tableColumn id="5" xr3:uid="{00000000-0010-0000-0900-000005000000}" name="Стент5" dataDxfId="57" dataCellStyle="Обычный"/>
    <tableColumn id="6" xr3:uid="{00000000-0010-0000-0900-000006000000}" name="Стент6" dataDxfId="56" dataCellStyle="Обычный"/>
    <tableColumn id="7" xr3:uid="{00000000-0010-0000-0900-000007000000}" name="Стент7" dataDxfId="55" dataCellStyle="Обычный"/>
    <tableColumn id="8" xr3:uid="{00000000-0010-0000-0900-000008000000}" name="Стент8" dataDxfId="54" dataCellStyle="Обычный"/>
    <tableColumn id="9" xr3:uid="{00000000-0010-0000-0900-000009000000}" name="Стент9" dataDxfId="53" dataCellStyle="Обычный"/>
    <tableColumn id="10" xr3:uid="{00000000-0010-0000-0900-00000A000000}" name="Стент10" dataDxfId="52" dataCellStyle="Обычный"/>
    <tableColumn id="11" xr3:uid="{00000000-0010-0000-0900-00000B000000}" name="Стент11" dataDxfId="51" dataCellStyle="Обычный"/>
    <tableColumn id="12" xr3:uid="{00000000-0010-0000-0900-00000C000000}" name="Стент12" dataDxfId="50" dataCellStyle="Обычный"/>
    <tableColumn id="13" xr3:uid="{00000000-0010-0000-0900-00000D000000}" name="Стент13" dataDxfId="49" dataCellStyle="Обычный"/>
    <tableColumn id="14" xr3:uid="{00000000-0010-0000-0900-00000E000000}" name="Стент14" dataDxfId="48" dataCellStyle="Обычный"/>
    <tableColumn id="15" xr3:uid="{00000000-0010-0000-0900-00000F000000}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Код.Метода" displayName="Код.Метода" ref="F12:T15" headerRowCount="0" totalsRowShown="0" dataDxfId="46">
  <tableColumns count="15">
    <tableColumn id="1" xr3:uid="{00000000-0010-0000-0A00-000001000000}" name="Диагноз"/>
    <tableColumn id="2" xr3:uid="{00000000-0010-0000-0A00-000002000000}" name="Код метода" dataDxfId="45"/>
    <tableColumn id="3" xr3:uid="{00000000-0010-0000-0A00-000003000000}" name="Стенты" dataDxfId="44"/>
    <tableColumn id="4" xr3:uid="{00000000-0010-0000-0A00-000004000000}" name="Стенты2" dataDxfId="43"/>
    <tableColumn id="5" xr3:uid="{00000000-0010-0000-0A00-000005000000}" name="Стенты3" dataDxfId="42"/>
    <tableColumn id="6" xr3:uid="{00000000-0010-0000-0A00-000006000000}" name="Стенты4" dataDxfId="41"/>
    <tableColumn id="7" xr3:uid="{00000000-0010-0000-0A00-000007000000}" name="Стенты5" dataDxfId="40"/>
    <tableColumn id="8" xr3:uid="{00000000-0010-0000-0A00-000008000000}" name="Стенты6" dataDxfId="39"/>
    <tableColumn id="9" xr3:uid="{00000000-0010-0000-0A00-000009000000}" name="Стенты7" dataDxfId="38"/>
    <tableColumn id="10" xr3:uid="{00000000-0010-0000-0A00-00000A000000}" name="Стенты8" dataDxfId="37"/>
    <tableColumn id="11" xr3:uid="{00000000-0010-0000-0A00-00000B000000}" name="Стенты9" dataDxfId="36"/>
    <tableColumn id="12" xr3:uid="{00000000-0010-0000-0A00-00000C000000}" name="Стенты10" dataDxfId="35"/>
    <tableColumn id="13" xr3:uid="{00000000-0010-0000-0A00-00000D000000}" name="Стенты11" dataDxfId="34"/>
    <tableColumn id="14" xr3:uid="{00000000-0010-0000-0A00-00000E000000}" name="Стенты12" dataDxfId="33"/>
    <tableColumn id="15" xr3:uid="{00000000-0010-0000-0A00-00000F000000}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B000000}" name="Другое" displayName="Другое" ref="F17:F24" totalsRowShown="0">
  <autoFilter ref="F17:F24" xr:uid="{00000000-0009-0000-0100-000014000000}"/>
  <tableColumns count="1">
    <tableColumn id="1" xr3:uid="{00000000-0010-0000-0B00-000001000000}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C000000}" name="Расходка" displayName="Расходка" ref="A1:C66" totalsRowShown="0">
  <sortState xmlns:xlrd2="http://schemas.microsoft.com/office/spreadsheetml/2017/richdata2" ref="A2:C65">
    <sortCondition ref="B2"/>
  </sortState>
  <tableColumns count="3">
    <tableColumn id="1" xr3:uid="{00000000-0010-0000-0C00-000001000000}" name="№"/>
    <tableColumn id="2" xr3:uid="{00000000-0010-0000-0C00-000002000000}" name="Тип расходного материала "/>
    <tableColumn id="3" xr3:uid="{00000000-0010-0000-0C00-000003000000}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D000000}" name="Размеры" displayName="Размеры" ref="AF1:AG97" totalsRowShown="0" headerRowDxfId="31">
  <sortState xmlns:xlrd2="http://schemas.microsoft.com/office/spreadsheetml/2017/richdata2" ref="AF2:AG62">
    <sortCondition ref="AF2:AF62"/>
    <sortCondition ref="AG2:AG62"/>
  </sortState>
  <tableColumns count="2">
    <tableColumn id="3" xr3:uid="{00000000-0010-0000-0D00-000003000000}" name="Тип" dataDxfId="30"/>
    <tableColumn id="1" xr3:uid="{00000000-0010-0000-0D00-000001000000}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Контраст" displayName="Контраст" ref="AI1:AK8" totalsRowShown="0">
  <autoFilter ref="AI1:AK8" xr:uid="{00000000-0009-0000-0100-000008000000}"/>
  <tableColumns count="3">
    <tableColumn id="1" xr3:uid="{00000000-0010-0000-0E00-000001000000}" name="Контраст "/>
    <tableColumn id="2" xr3:uid="{00000000-0010-0000-0E00-000002000000}" name="Название"/>
    <tableColumn id="3" xr3:uid="{00000000-0010-0000-0E00-000003000000}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F000000}" name="Поиск_расходки" displayName="Поиск_расходки" ref="E1:AD70" totalsRowShown="0">
  <tableColumns count="26">
    <tableColumn id="1" xr3:uid="{00000000-0010-0000-0F00-000001000000}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xr3:uid="{00000000-0010-0000-0F00-000002000000}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xr3:uid="{00000000-0010-0000-0F00-000003000000}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xr3:uid="{00000000-0010-0000-0F00-000004000000}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xr3:uid="{00000000-0010-0000-0F00-000005000000}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xr3:uid="{00000000-0010-0000-0F00-000006000000}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xr3:uid="{00000000-0010-0000-0F00-000007000000}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xr3:uid="{00000000-0010-0000-0F00-000008000000}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xr3:uid="{00000000-0010-0000-0F00-000009000000}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xr3:uid="{00000000-0010-0000-0F00-00000A000000}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xr3:uid="{00000000-0010-0000-0F00-00000B000000}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xr3:uid="{00000000-0010-0000-0F00-00000C000000}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xr3:uid="{00000000-0010-0000-0F00-00000D000000}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xr3:uid="{00000000-0010-0000-0F00-00000E000000}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xr3:uid="{00000000-0010-0000-0F00-00000F000000}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xr3:uid="{00000000-0010-0000-0F00-000010000000}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xr3:uid="{00000000-0010-0000-0F00-000011000000}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xr3:uid="{00000000-0010-0000-0F00-000012000000}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xr3:uid="{00000000-0010-0000-0F00-000013000000}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xr3:uid="{00000000-0010-0000-0F00-000014000000}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xr3:uid="{00000000-0010-0000-0F00-000015000000}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xr3:uid="{00000000-0010-0000-0F00-000016000000}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xr3:uid="{00000000-0010-0000-0F00-000017000000}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xr3:uid="{00000000-0010-0000-0F00-000018000000}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xr3:uid="{00000000-0010-0000-0F00-000019000000}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xr3:uid="{00000000-0010-0000-0F00-00001A000000}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0000000}" name="Таблица19" displayName="Таблица19" ref="AI10:AI20" totalsRowShown="0">
  <autoFilter ref="AI10:AI20" xr:uid="{00000000-0009-0000-0100-000013000000}"/>
  <tableColumns count="1">
    <tableColumn id="1" xr3:uid="{00000000-0010-0000-1000-000001000000}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1000000}" name="Коды_Расходки" displayName="Коды_Расходки" ref="AM1:AO12" totalsRowShown="0">
  <autoFilter ref="AM1:AO12" xr:uid="{00000000-0009-0000-0100-000015000000}"/>
  <tableColumns count="3">
    <tableColumn id="1" xr3:uid="{00000000-0010-0000-1100-000001000000}" name="Код НК МИ" dataDxfId="2"/>
    <tableColumn id="2" xr3:uid="{00000000-0010-0000-1100-000002000000}" name="АБР" dataDxfId="1"/>
    <tableColumn id="3" xr3:uid="{00000000-0010-0000-1100-000003000000}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12000000}" name="Сотрудники" displayName="Сотрудники" ref="A1:C17" totalsRowShown="0">
  <autoFilter ref="A1:C17" xr:uid="{00000000-0009-0000-0100-000005000000}"/>
  <tableColumns count="3">
    <tableColumn id="1" xr3:uid="{00000000-0010-0000-1200-000001000000}" name="Должность: "/>
    <tableColumn id="2" xr3:uid="{00000000-0010-0000-1200-000002000000}" name="ФИО"/>
    <tableColumn id="3" xr3:uid="{00000000-0010-0000-1200-000003000000}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1000000}" name="Таблица24" displayName="Таблица24" ref="A12:B16" headerRowCount="0" totalsRowShown="0" headerRowDxfId="103" dataDxfId="102">
  <tableColumns count="2">
    <tableColumn id="1" xr3:uid="{00000000-0010-0000-0100-000001000000}" name="Столбец1" headerRowDxfId="101" dataDxfId="100"/>
    <tableColumn id="2" xr3:uid="{00000000-0010-0000-0100-000002000000}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3000000}" name="Сотрудники_2" displayName="Сотрудники_2" ref="A20:B89" totalsRowShown="0">
  <autoFilter ref="A20:B89" xr:uid="{00000000-0009-0000-0100-00000A000000}"/>
  <sortState xmlns:xlrd2="http://schemas.microsoft.com/office/spreadsheetml/2017/richdata2" ref="A21:B89">
    <sortCondition ref="A21:A89"/>
    <sortCondition ref="B21:B89"/>
  </sortState>
  <tableColumns count="2">
    <tableColumn id="1" xr3:uid="{00000000-0010-0000-1300-000001000000}" name="Должность"/>
    <tableColumn id="2" xr3:uid="{00000000-0010-0000-1300-000002000000}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Должность" displayName="Должность" ref="E1:E11" totalsRowShown="0">
  <autoFilter ref="E1:E11" xr:uid="{00000000-0009-0000-0100-00000E000000}"/>
  <tableColumns count="1">
    <tableColumn id="1" xr3:uid="{00000000-0010-0000-1400-000001000000}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Опер.Бригада12" displayName="Опер.Бригада12" ref="D13:H17" headerRowCount="0" totalsRowShown="0" headerRowDxfId="97" dataDxfId="96" tableBorderDxfId="95" totalsRowBorderDxfId="94">
  <tableColumns count="5">
    <tableColumn id="1" xr3:uid="{00000000-0010-0000-0200-000001000000}" name="Должность" headerRowDxfId="93" dataDxfId="92"/>
    <tableColumn id="5" xr3:uid="{00000000-0010-0000-0200-000005000000}" name="Столбец2" headerRowDxfId="91" dataDxfId="90"/>
    <tableColumn id="4" xr3:uid="{00000000-0010-0000-0200-000004000000}" name="Столбец1" headerRowDxfId="89" dataDxfId="88"/>
    <tableColumn id="2" xr3:uid="{00000000-0010-0000-0200-000002000000}" name="Бригада_1" headerRowDxfId="87" dataDxfId="86"/>
    <tableColumn id="3" xr3:uid="{00000000-0010-0000-0200-000003000000}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3000000}" name="Таблица2416" displayName="Таблица2416" ref="A17:B21" headerRowCount="0" totalsRowShown="0" headerRowDxfId="83" dataDxfId="82">
  <tableColumns count="2">
    <tableColumn id="1" xr3:uid="{00000000-0010-0000-0300-000001000000}" name="Столбец1" headerRowDxfId="81" dataDxfId="80"/>
    <tableColumn id="2" xr3:uid="{00000000-0010-0000-0300-000002000000}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Карта_Учёта" displayName="Карта_Учёта" ref="A12:D25" totalsRowShown="0" headerRowDxfId="77" headerRowBorderDxfId="76" tableBorderDxfId="75">
  <tableColumns count="4">
    <tableColumn id="1" xr3:uid="{00000000-0010-0000-0400-000001000000}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xr3:uid="{00000000-0010-0000-0400-000002000000}" name="Наименование расходного материала" dataDxfId="73"/>
    <tableColumn id="3" xr3:uid="{00000000-0010-0000-0400-000003000000}" name="Размер" dataDxfId="72"/>
    <tableColumn id="4" xr3:uid="{00000000-0010-0000-0400-000004000000}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Манипуляции" displayName="Манипуляции" ref="A4:B6" headerRowDxfId="70" dataDxfId="69">
  <tableColumns count="2">
    <tableColumn id="1" xr3:uid="{00000000-0010-0000-0500-000001000000}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xr3:uid="{00000000-0010-0000-0500-000002000000}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Вмешательства" displayName="Вмешательства" ref="A1:D35" totalsRowShown="0" headerRowDxfId="66" tableBorderDxfId="65">
  <tableColumns count="4">
    <tableColumn id="1" xr3:uid="{00000000-0010-0000-0600-000001000000}" name="№" dataDxfId="64"/>
    <tableColumn id="2" xr3:uid="{00000000-0010-0000-0600-000002000000}" name="Код услуги" dataDxfId="63"/>
    <tableColumn id="3" xr3:uid="{00000000-0010-0000-0600-000003000000}" name="Номенклатура мед.услуги" dataDxfId="62"/>
    <tableColumn id="4" xr3:uid="{00000000-0010-0000-0600-000004000000}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7000000}" name="Локализация" displayName="Локализация" ref="V1:V13">
  <autoFilter ref="V1:V13" xr:uid="{00000000-0009-0000-0100-000010000000}"/>
  <tableColumns count="1">
    <tableColumn id="1" xr3:uid="{00000000-0010-0000-0700-000001000000}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8000000}" name="Таблица2" displayName="Таблица2" ref="V15:V17" totalsRowShown="0">
  <autoFilter ref="V15:V17" xr:uid="{00000000-0009-0000-0100-000002000000}"/>
  <tableColumns count="1">
    <tableColumn id="1" xr3:uid="{00000000-0010-0000-0800-000001000000}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B53" sqref="B53"/>
    </sheetView>
  </sheetViews>
  <sheetFormatPr defaultColWidth="8.85546875" defaultRowHeight="15" x14ac:dyDescent="0.2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x14ac:dyDescent="0.25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 x14ac:dyDescent="0.25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 x14ac:dyDescent="0.25">
      <c r="A8" s="14" t="s">
        <v>191</v>
      </c>
      <c r="B8" s="20">
        <v>45112</v>
      </c>
      <c r="C8" s="54"/>
      <c r="D8" s="16" t="s">
        <v>186</v>
      </c>
      <c r="E8" s="29"/>
      <c r="F8" s="29"/>
      <c r="G8" s="17"/>
      <c r="H8" s="18"/>
    </row>
    <row r="9" spans="1:8" ht="15.6" customHeight="1" x14ac:dyDescent="0.25">
      <c r="A9" s="21" t="s">
        <v>193</v>
      </c>
      <c r="B9" s="22">
        <v>0.38194444444444442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 x14ac:dyDescent="0.3">
      <c r="A10" s="83" t="s">
        <v>194</v>
      </c>
      <c r="B10" s="84">
        <v>0.40277777777777773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 x14ac:dyDescent="0.3">
      <c r="A11" s="89" t="s">
        <v>192</v>
      </c>
      <c r="B11" s="90" t="s">
        <v>519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 x14ac:dyDescent="0.25">
      <c r="A12" s="81" t="s">
        <v>8</v>
      </c>
      <c r="B12" s="82">
        <v>18263</v>
      </c>
      <c r="C12" s="12"/>
      <c r="D12" s="96" t="s">
        <v>303</v>
      </c>
      <c r="E12" s="94"/>
      <c r="F12" s="94"/>
      <c r="G12" s="24" t="s">
        <v>178</v>
      </c>
      <c r="H12" s="26"/>
    </row>
    <row r="13" spans="1:8" ht="15.75" x14ac:dyDescent="0.25">
      <c r="A13" s="15" t="s">
        <v>10</v>
      </c>
      <c r="B13" s="30">
        <f>DATEDIF(B12,B8,"y")</f>
        <v>73</v>
      </c>
      <c r="C13" s="12"/>
      <c r="D13" s="96"/>
      <c r="E13" s="94"/>
      <c r="F13" s="94"/>
      <c r="G13" s="24"/>
      <c r="H13" s="26"/>
    </row>
    <row r="14" spans="1:8" ht="15.75" x14ac:dyDescent="0.25">
      <c r="A14" s="15" t="s">
        <v>12</v>
      </c>
      <c r="B14" s="19">
        <v>17732</v>
      </c>
      <c r="C14" s="12"/>
      <c r="D14" s="36"/>
      <c r="E14" s="36"/>
      <c r="F14" s="36"/>
      <c r="G14" s="37"/>
      <c r="H14" s="56"/>
    </row>
    <row r="15" spans="1:8" ht="15.75" x14ac:dyDescent="0.25">
      <c r="A15" s="15" t="s">
        <v>133</v>
      </c>
      <c r="B15" s="19">
        <v>35</v>
      </c>
      <c r="D15" s="36"/>
      <c r="E15" s="36"/>
      <c r="F15" s="36"/>
      <c r="G15" s="169" t="s">
        <v>404</v>
      </c>
      <c r="H15" s="173" t="s">
        <v>518</v>
      </c>
    </row>
    <row r="16" spans="1:8" ht="15.6" customHeight="1" x14ac:dyDescent="0.25">
      <c r="A16" s="15" t="s">
        <v>106</v>
      </c>
      <c r="B16" s="19" t="s">
        <v>312</v>
      </c>
      <c r="D16" s="36"/>
      <c r="E16" s="36"/>
      <c r="F16" s="36"/>
      <c r="G16" s="170" t="s">
        <v>407</v>
      </c>
      <c r="H16" s="168">
        <v>3830</v>
      </c>
    </row>
    <row r="17" spans="1:8" ht="14.45" customHeight="1" x14ac:dyDescent="0.25">
      <c r="A17" s="40"/>
      <c r="B17" s="31"/>
      <c r="C17" s="31"/>
      <c r="D17" s="88"/>
      <c r="E17" s="88"/>
      <c r="F17" s="88"/>
      <c r="G17" s="171" t="s">
        <v>393</v>
      </c>
      <c r="H17" s="172">
        <f>H16*0.0019</f>
        <v>7.2770000000000001</v>
      </c>
    </row>
    <row r="18" spans="1:8" ht="14.45" customHeight="1" x14ac:dyDescent="0.25">
      <c r="A18" s="57" t="s">
        <v>188</v>
      </c>
      <c r="B18" s="87" t="s">
        <v>523</v>
      </c>
      <c r="D18" s="28" t="s">
        <v>210</v>
      </c>
      <c r="E18" s="28"/>
      <c r="F18" s="28"/>
      <c r="G18" s="85" t="s">
        <v>189</v>
      </c>
      <c r="H18" s="86" t="s">
        <v>512</v>
      </c>
    </row>
    <row r="19" spans="1:8" ht="14.45" customHeight="1" x14ac:dyDescent="0.25">
      <c r="A19" s="40"/>
      <c r="B19" s="31"/>
      <c r="C19" s="31"/>
      <c r="D19" s="34"/>
      <c r="E19" s="34"/>
      <c r="F19" s="34"/>
      <c r="G19" s="31"/>
      <c r="H19" s="41"/>
    </row>
    <row r="20" spans="1:8" ht="14.45" customHeight="1" x14ac:dyDescent="0.25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 x14ac:dyDescent="0.25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 x14ac:dyDescent="0.25">
      <c r="A22" s="59" t="s">
        <v>271</v>
      </c>
      <c r="B22" s="219" t="s">
        <v>521</v>
      </c>
      <c r="C22" s="219"/>
      <c r="D22" s="219"/>
      <c r="E22" s="219"/>
      <c r="F22" s="219"/>
      <c r="G22" s="219"/>
      <c r="H22" s="220"/>
    </row>
    <row r="23" spans="1:8" ht="14.45" customHeight="1" x14ac:dyDescent="0.25">
      <c r="A23" s="38"/>
      <c r="B23" s="221"/>
      <c r="C23" s="221"/>
      <c r="D23" s="221"/>
      <c r="E23" s="221"/>
      <c r="F23" s="221"/>
      <c r="G23" s="221"/>
      <c r="H23" s="222"/>
    </row>
    <row r="24" spans="1:8" ht="14.45" customHeight="1" x14ac:dyDescent="0.25">
      <c r="A24" s="60"/>
      <c r="B24" s="221"/>
      <c r="C24" s="221"/>
      <c r="D24" s="221"/>
      <c r="E24" s="221"/>
      <c r="F24" s="221"/>
      <c r="G24" s="221"/>
      <c r="H24" s="222"/>
    </row>
    <row r="25" spans="1:8" ht="14.45" customHeight="1" x14ac:dyDescent="0.25">
      <c r="A25" s="38"/>
      <c r="B25" s="221"/>
      <c r="C25" s="221"/>
      <c r="D25" s="221"/>
      <c r="E25" s="221"/>
      <c r="F25" s="221"/>
      <c r="G25" s="221"/>
      <c r="H25" s="222"/>
    </row>
    <row r="26" spans="1:8" ht="14.45" customHeight="1" x14ac:dyDescent="0.25">
      <c r="A26" s="40"/>
      <c r="B26" s="223"/>
      <c r="C26" s="223"/>
      <c r="D26" s="223"/>
      <c r="E26" s="223"/>
      <c r="F26" s="223"/>
      <c r="G26" s="223"/>
      <c r="H26" s="224"/>
    </row>
    <row r="27" spans="1:8" ht="14.45" customHeight="1" x14ac:dyDescent="0.25">
      <c r="A27" s="59" t="s">
        <v>272</v>
      </c>
      <c r="B27" s="219" t="s">
        <v>522</v>
      </c>
      <c r="C27" s="219"/>
      <c r="D27" s="219"/>
      <c r="E27" s="219"/>
      <c r="F27" s="219"/>
      <c r="G27" s="219"/>
      <c r="H27" s="220"/>
    </row>
    <row r="28" spans="1:8" ht="15.6" customHeight="1" x14ac:dyDescent="0.25">
      <c r="A28" s="38"/>
      <c r="B28" s="221"/>
      <c r="C28" s="221"/>
      <c r="D28" s="221"/>
      <c r="E28" s="221"/>
      <c r="F28" s="221"/>
      <c r="G28" s="221"/>
      <c r="H28" s="222"/>
    </row>
    <row r="29" spans="1:8" ht="14.45" customHeight="1" x14ac:dyDescent="0.25">
      <c r="A29" s="38"/>
      <c r="B29" s="221"/>
      <c r="C29" s="221"/>
      <c r="D29" s="221"/>
      <c r="E29" s="221"/>
      <c r="F29" s="221"/>
      <c r="G29" s="221"/>
      <c r="H29" s="222"/>
    </row>
    <row r="30" spans="1:8" ht="14.45" customHeight="1" x14ac:dyDescent="0.25">
      <c r="A30" s="32"/>
      <c r="B30" s="221"/>
      <c r="C30" s="221"/>
      <c r="D30" s="221"/>
      <c r="E30" s="221"/>
      <c r="F30" s="221"/>
      <c r="G30" s="221"/>
      <c r="H30" s="222"/>
    </row>
    <row r="31" spans="1:8" ht="14.45" customHeight="1" x14ac:dyDescent="0.25">
      <c r="A31" s="33"/>
      <c r="B31" s="223"/>
      <c r="C31" s="223"/>
      <c r="D31" s="223"/>
      <c r="E31" s="223"/>
      <c r="F31" s="223"/>
      <c r="G31" s="223"/>
      <c r="H31" s="224"/>
    </row>
    <row r="32" spans="1:8" ht="14.45" customHeight="1" x14ac:dyDescent="0.25">
      <c r="A32" s="59" t="s">
        <v>273</v>
      </c>
      <c r="B32" s="219" t="s">
        <v>524</v>
      </c>
      <c r="C32" s="219"/>
      <c r="D32" s="219"/>
      <c r="E32" s="219"/>
      <c r="F32" s="219"/>
      <c r="G32" s="219"/>
      <c r="H32" s="220"/>
    </row>
    <row r="33" spans="1:8" ht="14.45" customHeight="1" x14ac:dyDescent="0.25">
      <c r="A33" s="38"/>
      <c r="B33" s="221"/>
      <c r="C33" s="221"/>
      <c r="D33" s="221"/>
      <c r="E33" s="221"/>
      <c r="F33" s="221"/>
      <c r="G33" s="221"/>
      <c r="H33" s="222"/>
    </row>
    <row r="34" spans="1:8" ht="15.6" customHeight="1" x14ac:dyDescent="0.25">
      <c r="A34" s="38"/>
      <c r="B34" s="221"/>
      <c r="C34" s="221"/>
      <c r="D34" s="221"/>
      <c r="E34" s="221"/>
      <c r="F34" s="221"/>
      <c r="G34" s="221"/>
      <c r="H34" s="222"/>
    </row>
    <row r="35" spans="1:8" ht="14.45" customHeight="1" x14ac:dyDescent="0.25">
      <c r="A35" s="38"/>
      <c r="B35" s="221"/>
      <c r="C35" s="221"/>
      <c r="D35" s="221"/>
      <c r="E35" s="221"/>
      <c r="F35" s="221"/>
      <c r="G35" s="221"/>
      <c r="H35" s="222"/>
    </row>
    <row r="36" spans="1:8" ht="15.6" customHeight="1" x14ac:dyDescent="0.25">
      <c r="A36" s="38"/>
      <c r="B36" s="221"/>
      <c r="C36" s="221"/>
      <c r="D36" s="221"/>
      <c r="E36" s="221"/>
      <c r="F36" s="221"/>
      <c r="G36" s="221"/>
      <c r="H36" s="222"/>
    </row>
    <row r="37" spans="1:8" ht="14.45" customHeight="1" x14ac:dyDescent="0.25">
      <c r="A37" s="38"/>
      <c r="D37" s="207" t="str">
        <f>IF($A$6=Вмешательства!$D$3,Вмешательства!$F$18,"")</f>
        <v/>
      </c>
      <c r="E37" s="207"/>
      <c r="F37" s="120"/>
      <c r="G37" s="120"/>
      <c r="H37" s="124"/>
    </row>
    <row r="38" spans="1:8" ht="14.45" customHeight="1" x14ac:dyDescent="0.25">
      <c r="A38" s="38"/>
      <c r="C38" s="125"/>
      <c r="D38" s="208"/>
      <c r="E38" s="209"/>
      <c r="F38" s="209"/>
      <c r="G38" s="209"/>
      <c r="H38" s="210"/>
    </row>
    <row r="39" spans="1:8" ht="14.45" customHeight="1" x14ac:dyDescent="0.25">
      <c r="A39" s="35"/>
      <c r="B39" s="120"/>
      <c r="C39" s="125"/>
      <c r="D39" s="209"/>
      <c r="E39" s="209"/>
      <c r="F39" s="209"/>
      <c r="G39" s="209"/>
      <c r="H39" s="210"/>
    </row>
    <row r="40" spans="1:8" ht="14.45" customHeight="1" x14ac:dyDescent="0.25">
      <c r="A40" s="35"/>
      <c r="B40" s="120"/>
      <c r="C40" s="125"/>
      <c r="D40" s="209"/>
      <c r="E40" s="209"/>
      <c r="F40" s="209"/>
      <c r="G40" s="209"/>
      <c r="H40" s="210"/>
    </row>
    <row r="41" spans="1:8" ht="14.45" customHeight="1" x14ac:dyDescent="0.25">
      <c r="A41" s="35"/>
      <c r="B41" s="120"/>
      <c r="C41" s="125"/>
      <c r="D41" s="209"/>
      <c r="E41" s="209"/>
      <c r="F41" s="209"/>
      <c r="G41" s="209"/>
      <c r="H41" s="210"/>
    </row>
    <row r="42" spans="1:8" ht="14.45" customHeight="1" x14ac:dyDescent="0.25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 x14ac:dyDescent="0.25">
      <c r="A43" s="35"/>
      <c r="B43" s="120"/>
      <c r="C43" s="127"/>
      <c r="D43" s="204" t="s">
        <v>525</v>
      </c>
      <c r="E43" s="205"/>
      <c r="F43" s="205"/>
      <c r="G43" s="205"/>
      <c r="H43" s="206"/>
    </row>
    <row r="44" spans="1:8" ht="14.45" customHeight="1" x14ac:dyDescent="0.25">
      <c r="A44" s="35"/>
      <c r="B44" s="120"/>
      <c r="C44" s="127"/>
      <c r="D44" s="205"/>
      <c r="E44" s="205"/>
      <c r="F44" s="205"/>
      <c r="G44" s="205"/>
      <c r="H44" s="206"/>
    </row>
    <row r="45" spans="1:8" ht="14.45" customHeight="1" x14ac:dyDescent="0.25">
      <c r="A45" s="35"/>
      <c r="B45" s="120"/>
      <c r="C45" s="127"/>
      <c r="D45" s="205"/>
      <c r="E45" s="205"/>
      <c r="F45" s="205"/>
      <c r="G45" s="205"/>
      <c r="H45" s="206"/>
    </row>
    <row r="46" spans="1:8" x14ac:dyDescent="0.25">
      <c r="A46" s="35"/>
      <c r="B46" s="120"/>
      <c r="C46" s="127"/>
      <c r="D46" s="205"/>
      <c r="E46" s="205"/>
      <c r="F46" s="205"/>
      <c r="G46" s="205"/>
      <c r="H46" s="206"/>
    </row>
    <row r="47" spans="1:8" x14ac:dyDescent="0.25">
      <c r="A47" s="38"/>
      <c r="C47" s="127"/>
      <c r="D47" s="205"/>
      <c r="E47" s="205"/>
      <c r="F47" s="205"/>
      <c r="G47" s="205"/>
      <c r="H47" s="206"/>
    </row>
    <row r="48" spans="1:8" x14ac:dyDescent="0.25">
      <c r="A48" s="38"/>
      <c r="C48" s="127"/>
      <c r="D48" s="205"/>
      <c r="E48" s="205"/>
      <c r="F48" s="205"/>
      <c r="G48" s="205"/>
      <c r="H48" s="206"/>
    </row>
    <row r="49" spans="1:13" x14ac:dyDescent="0.25">
      <c r="A49" s="40"/>
      <c r="B49" s="31"/>
      <c r="C49" s="128"/>
      <c r="D49" s="205"/>
      <c r="E49" s="205"/>
      <c r="F49" s="205"/>
      <c r="G49" s="205"/>
      <c r="H49" s="206"/>
    </row>
    <row r="50" spans="1:13" x14ac:dyDescent="0.25">
      <c r="A50" s="38"/>
      <c r="D50" s="205"/>
      <c r="E50" s="205"/>
      <c r="F50" s="205"/>
      <c r="G50" s="205"/>
      <c r="H50" s="206"/>
      <c r="M50" t="s">
        <v>211</v>
      </c>
    </row>
    <row r="51" spans="1:13" x14ac:dyDescent="0.25">
      <c r="A51" s="62" t="s">
        <v>199</v>
      </c>
      <c r="B51" s="63" t="s">
        <v>517</v>
      </c>
      <c r="G51" s="74" t="str">
        <f>$G$9</f>
        <v>Щербаков А.С.</v>
      </c>
      <c r="H51" s="64"/>
    </row>
    <row r="52" spans="1:13" x14ac:dyDescent="0.25">
      <c r="A52" s="38"/>
      <c r="H52" s="39"/>
    </row>
    <row r="53" spans="1:13" x14ac:dyDescent="0.25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 x14ac:dyDescent="0.25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 xr:uid="{00000000-0002-0000-0000-000000000000}">
      <formula1>INDIRECT("Должность[Должность]")</formula1>
    </dataValidation>
    <dataValidation type="list" allowBlank="1" showInputMessage="1" showErrorMessage="1" sqref="H9:H13" xr:uid="{00000000-0002-0000-0000-000001000000}">
      <formula1>Должность_Сотрудник</formula1>
    </dataValidation>
    <dataValidation type="list" allowBlank="1" showInputMessage="1" showErrorMessage="1" sqref="A51" xr:uid="{00000000-0002-0000-0000-000002000000}">
      <formula1>INDIRECT("Контраст[Название]")</formula1>
    </dataValidation>
    <dataValidation type="list" allowBlank="1" showInputMessage="1" showErrorMessage="1" sqref="B53" xr:uid="{00000000-0002-0000-0000-000003000000}">
      <formula1>"Извлечён,Оставлен,М/О ушито Angio-Seal™"</formula1>
    </dataValidation>
    <dataValidation type="list" allowBlank="1" showInputMessage="1" showErrorMessage="1" sqref="H18" xr:uid="{00000000-0002-0000-0000-000004000000}">
      <formula1>"лучевой,ульнарный,локтевой,дистальный,бедренный,rad et femoral"</formula1>
    </dataValidation>
    <dataValidation type="list" allowBlank="1" showInputMessage="1" showErrorMessage="1" sqref="B51" xr:uid="{00000000-0002-0000-0000-000005000000}">
      <formula1>"50 ml,100 ml,150 ml,200 ml,250 ml,300 ml,350 ml,400 ml,450 ml,500 ml,"</formula1>
    </dataValidation>
    <dataValidation type="list" allowBlank="1" showInputMessage="1" showErrorMessage="1" sqref="E15:F15 B18" xr:uid="{00000000-0002-0000-0000-000006000000}">
      <formula1>"Правый,Левый,Сбалансированный "</formula1>
    </dataValidation>
    <dataValidation type="list" allowBlank="1" showInputMessage="1" showErrorMessage="1" sqref="A6:H6" xr:uid="{00000000-0002-0000-0000-000007000000}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 xr:uid="{00000000-0002-0000-0000-000008000000}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9000000}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L54"/>
  <sheetViews>
    <sheetView showGridLines="0" showWhiteSpace="0" view="pageBreakPreview" topLeftCell="A19" zoomScaleNormal="100" zoomScaleSheetLayoutView="100" zoomScalePageLayoutView="90" workbookViewId="0">
      <selection activeCell="D40" sqref="D40:H49"/>
    </sheetView>
  </sheetViews>
  <sheetFormatPr defaultColWidth="8.85546875" defaultRowHeight="15" x14ac:dyDescent="0.2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 x14ac:dyDescent="0.25">
      <c r="A1" s="43" t="s">
        <v>135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136</v>
      </c>
      <c r="B2" s="47"/>
      <c r="C2" s="47"/>
      <c r="D2" s="47"/>
      <c r="E2" s="47"/>
      <c r="F2" s="47"/>
      <c r="G2" s="47"/>
      <c r="H2" s="48"/>
    </row>
    <row r="3" spans="1:8" x14ac:dyDescent="0.25">
      <c r="A3" s="46" t="s">
        <v>137</v>
      </c>
      <c r="B3" s="47"/>
      <c r="C3" s="47"/>
      <c r="D3" s="47"/>
      <c r="E3" s="47"/>
      <c r="F3" s="47"/>
      <c r="G3" s="47"/>
      <c r="H3" s="48"/>
    </row>
    <row r="4" spans="1:8" x14ac:dyDescent="0.25">
      <c r="A4" s="49" t="s">
        <v>138</v>
      </c>
      <c r="B4" s="50"/>
      <c r="C4" s="50"/>
      <c r="D4" s="50"/>
      <c r="E4" s="50"/>
      <c r="F4" s="50"/>
      <c r="G4" s="50"/>
      <c r="H4" s="51"/>
    </row>
    <row r="5" spans="1:8" x14ac:dyDescent="0.25">
      <c r="A5" s="38"/>
      <c r="H5" s="39"/>
    </row>
    <row r="6" spans="1:8" ht="15.6" customHeight="1" x14ac:dyDescent="0.25">
      <c r="A6" s="235" t="s">
        <v>208</v>
      </c>
      <c r="B6" s="236"/>
      <c r="C6" s="236"/>
      <c r="D6" s="236"/>
      <c r="E6" s="236"/>
      <c r="F6" s="236"/>
      <c r="G6" s="236"/>
      <c r="H6" s="237"/>
    </row>
    <row r="7" spans="1:8" ht="21.6" customHeight="1" x14ac:dyDescent="0.25">
      <c r="A7" s="235"/>
      <c r="B7" s="236"/>
      <c r="C7" s="236"/>
      <c r="D7" s="236"/>
      <c r="E7" s="236"/>
      <c r="F7" s="236"/>
      <c r="G7" s="236"/>
      <c r="H7" s="237"/>
    </row>
    <row r="8" spans="1:8" ht="17.25" thickBot="1" x14ac:dyDescent="0.35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4" t="s">
        <v>221</v>
      </c>
      <c r="D8" s="234"/>
      <c r="E8" s="234"/>
      <c r="F8" s="194">
        <v>2</v>
      </c>
      <c r="G8" s="119" t="s">
        <v>309</v>
      </c>
      <c r="H8" s="162"/>
    </row>
    <row r="9" spans="1:8" ht="15.75" thickTop="1" x14ac:dyDescent="0.25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4"/>
      <c r="D9" s="234"/>
      <c r="E9" s="234"/>
      <c r="F9" s="194"/>
      <c r="G9" s="119"/>
      <c r="H9" s="39"/>
    </row>
    <row r="10" spans="1:8" x14ac:dyDescent="0.25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8"/>
      <c r="D10" s="238"/>
      <c r="E10" s="238"/>
      <c r="F10" s="198"/>
      <c r="G10" s="119"/>
      <c r="H10" s="39"/>
    </row>
    <row r="11" spans="1:8" x14ac:dyDescent="0.25">
      <c r="A11" s="196"/>
      <c r="B11" s="201"/>
      <c r="C11" s="197">
        <f>SUM(F8:F10)</f>
        <v>2</v>
      </c>
      <c r="H11" s="39"/>
    </row>
    <row r="12" spans="1:8" ht="18.75" x14ac:dyDescent="0.25">
      <c r="A12" s="75" t="s">
        <v>191</v>
      </c>
      <c r="B12" s="20">
        <f>КАГ!B8</f>
        <v>45112</v>
      </c>
      <c r="C12" s="12"/>
      <c r="D12" s="16" t="s">
        <v>186</v>
      </c>
      <c r="E12" s="29"/>
      <c r="F12" s="29"/>
      <c r="G12" s="17"/>
      <c r="H12" s="18"/>
    </row>
    <row r="13" spans="1:8" ht="15.75" x14ac:dyDescent="0.25">
      <c r="A13" s="76" t="s">
        <v>193</v>
      </c>
      <c r="B13" s="22">
        <v>0.50694444444444442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 x14ac:dyDescent="0.25">
      <c r="A14" s="76" t="s">
        <v>194</v>
      </c>
      <c r="B14" s="22">
        <v>0.5625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 x14ac:dyDescent="0.3">
      <c r="A15" s="167" t="s">
        <v>392</v>
      </c>
      <c r="B15" s="192">
        <f>IF(B14&lt;B13,B14+1,B14)-B13</f>
        <v>5.555555555555558E-2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 x14ac:dyDescent="0.3">
      <c r="A16" s="89" t="s">
        <v>192</v>
      </c>
      <c r="B16" s="156" t="str">
        <f>КАГ!B11</f>
        <v>Седов В.А.</v>
      </c>
      <c r="D16" s="96" t="s">
        <v>303</v>
      </c>
      <c r="E16" s="94"/>
      <c r="F16" s="94"/>
      <c r="G16" s="80" t="str">
        <f>КАГ!G12</f>
        <v>Галамага Н.Е.</v>
      </c>
      <c r="H16" s="92" t="str">
        <f>IF(ISBLANK(КАГ!H12),"",КАГ!H12)</f>
        <v/>
      </c>
    </row>
    <row r="17" spans="1:8" ht="16.5" thickTop="1" x14ac:dyDescent="0.25">
      <c r="A17" s="15" t="s">
        <v>8</v>
      </c>
      <c r="B17" s="67">
        <f>КАГ!B12</f>
        <v>18263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 x14ac:dyDescent="0.25">
      <c r="A18" s="15" t="s">
        <v>10</v>
      </c>
      <c r="B18" s="30">
        <f>КАГ!B13</f>
        <v>73</v>
      </c>
      <c r="H18" s="39"/>
    </row>
    <row r="19" spans="1:8" ht="14.45" customHeight="1" x14ac:dyDescent="0.25">
      <c r="A19" s="15" t="s">
        <v>12</v>
      </c>
      <c r="B19" s="68">
        <f>КАГ!B14</f>
        <v>17732</v>
      </c>
      <c r="C19" s="69"/>
      <c r="D19" s="69"/>
      <c r="E19" s="69"/>
      <c r="F19" s="69"/>
      <c r="G19" s="169" t="s">
        <v>404</v>
      </c>
      <c r="H19" s="184" t="str">
        <f>КАГ!H15</f>
        <v>03:06</v>
      </c>
    </row>
    <row r="20" spans="1:8" ht="14.45" customHeight="1" x14ac:dyDescent="0.25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407</v>
      </c>
      <c r="H20" s="185">
        <f>КАГ!H16</f>
        <v>3830</v>
      </c>
    </row>
    <row r="21" spans="1:8" ht="14.45" customHeight="1" x14ac:dyDescent="0.25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393</v>
      </c>
      <c r="H21" s="172">
        <f>КАГ!H17</f>
        <v>7.2770000000000001</v>
      </c>
    </row>
    <row r="22" spans="1:8" ht="14.45" customHeight="1" x14ac:dyDescent="0.25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IFERROR(SUM(IF($B$21=Вмешательства!F3,SUM(КАГ!$B$9+0.01),"")),"")</f>
        <v/>
      </c>
    </row>
    <row r="23" spans="1:8" ht="14.45" customHeight="1" x14ac:dyDescent="0.25">
      <c r="A23" s="65" t="s">
        <v>396</v>
      </c>
      <c r="B23" s="176" t="s">
        <v>395</v>
      </c>
      <c r="C23" s="166"/>
      <c r="D23" s="166"/>
      <c r="E23" s="166"/>
      <c r="F23" s="166"/>
      <c r="H23" s="39"/>
    </row>
    <row r="24" spans="1:8" ht="14.45" customHeight="1" x14ac:dyDescent="0.3">
      <c r="A24" s="187" t="s">
        <v>394</v>
      </c>
      <c r="B24" s="174"/>
      <c r="C24" s="174"/>
      <c r="D24" s="174"/>
      <c r="E24" s="174"/>
      <c r="F24" s="174"/>
      <c r="G24" s="174"/>
      <c r="H24" s="175"/>
    </row>
    <row r="25" spans="1:8" ht="14.45" customHeight="1" x14ac:dyDescent="0.25">
      <c r="A25" s="242" t="s">
        <v>516</v>
      </c>
      <c r="B25" s="243"/>
      <c r="C25" s="243"/>
      <c r="D25" s="243"/>
      <c r="E25" s="243"/>
      <c r="F25" s="243"/>
      <c r="G25" s="243"/>
      <c r="H25" s="244"/>
    </row>
    <row r="26" spans="1:8" ht="14.45" customHeight="1" x14ac:dyDescent="0.25">
      <c r="A26" s="245"/>
      <c r="B26" s="243"/>
      <c r="C26" s="243"/>
      <c r="D26" s="243"/>
      <c r="E26" s="243"/>
      <c r="F26" s="243"/>
      <c r="G26" s="243"/>
      <c r="H26" s="244"/>
    </row>
    <row r="27" spans="1:8" ht="14.45" customHeight="1" x14ac:dyDescent="0.25">
      <c r="A27" s="245"/>
      <c r="B27" s="243"/>
      <c r="C27" s="243"/>
      <c r="D27" s="243"/>
      <c r="E27" s="243"/>
      <c r="F27" s="243"/>
      <c r="G27" s="243"/>
      <c r="H27" s="244"/>
    </row>
    <row r="28" spans="1:8" ht="14.45" customHeight="1" x14ac:dyDescent="0.25">
      <c r="A28" s="245"/>
      <c r="B28" s="243"/>
      <c r="C28" s="243"/>
      <c r="D28" s="243"/>
      <c r="E28" s="243"/>
      <c r="F28" s="243"/>
      <c r="G28" s="243"/>
      <c r="H28" s="244"/>
    </row>
    <row r="29" spans="1:8" ht="14.45" customHeight="1" x14ac:dyDescent="0.25">
      <c r="A29" s="245"/>
      <c r="B29" s="243"/>
      <c r="C29" s="243"/>
      <c r="D29" s="243"/>
      <c r="E29" s="243"/>
      <c r="F29" s="243"/>
      <c r="G29" s="243"/>
      <c r="H29" s="244"/>
    </row>
    <row r="30" spans="1:8" ht="14.45" customHeight="1" x14ac:dyDescent="0.25">
      <c r="A30" s="245"/>
      <c r="B30" s="243"/>
      <c r="C30" s="243"/>
      <c r="D30" s="243"/>
      <c r="E30" s="243"/>
      <c r="F30" s="243"/>
      <c r="G30" s="243"/>
      <c r="H30" s="244"/>
    </row>
    <row r="31" spans="1:8" ht="14.45" customHeight="1" x14ac:dyDescent="0.25">
      <c r="A31" s="245"/>
      <c r="B31" s="243"/>
      <c r="C31" s="243"/>
      <c r="D31" s="243"/>
      <c r="E31" s="243"/>
      <c r="F31" s="243"/>
      <c r="G31" s="243"/>
      <c r="H31" s="244"/>
    </row>
    <row r="32" spans="1:8" ht="14.45" customHeight="1" x14ac:dyDescent="0.25">
      <c r="A32" s="245"/>
      <c r="B32" s="243"/>
      <c r="C32" s="243"/>
      <c r="D32" s="243"/>
      <c r="E32" s="243"/>
      <c r="F32" s="243"/>
      <c r="G32" s="243"/>
      <c r="H32" s="244"/>
    </row>
    <row r="33" spans="1:12" ht="14.45" customHeight="1" x14ac:dyDescent="0.25">
      <c r="A33" s="245"/>
      <c r="B33" s="243"/>
      <c r="C33" s="243"/>
      <c r="D33" s="243"/>
      <c r="E33" s="243"/>
      <c r="F33" s="243"/>
      <c r="G33" s="243"/>
      <c r="H33" s="244"/>
    </row>
    <row r="34" spans="1:12" ht="14.45" customHeight="1" x14ac:dyDescent="0.25">
      <c r="A34" s="245"/>
      <c r="B34" s="243"/>
      <c r="C34" s="243"/>
      <c r="D34" s="243"/>
      <c r="E34" s="243"/>
      <c r="F34" s="243"/>
      <c r="G34" s="243"/>
      <c r="H34" s="244"/>
    </row>
    <row r="35" spans="1:12" ht="14.45" customHeight="1" x14ac:dyDescent="0.25">
      <c r="A35" s="245"/>
      <c r="B35" s="243"/>
      <c r="C35" s="243"/>
      <c r="D35" s="243"/>
      <c r="E35" s="243"/>
      <c r="F35" s="243"/>
      <c r="G35" s="243"/>
      <c r="H35" s="244"/>
    </row>
    <row r="36" spans="1:12" ht="14.45" customHeight="1" x14ac:dyDescent="0.25">
      <c r="A36" s="245"/>
      <c r="B36" s="243"/>
      <c r="C36" s="243"/>
      <c r="D36" s="243"/>
      <c r="E36" s="243"/>
      <c r="F36" s="243"/>
      <c r="G36" s="243"/>
      <c r="H36" s="244"/>
    </row>
    <row r="37" spans="1:12" ht="14.45" customHeight="1" x14ac:dyDescent="0.25">
      <c r="A37" s="245"/>
      <c r="B37" s="243"/>
      <c r="C37" s="243"/>
      <c r="D37" s="243"/>
      <c r="E37" s="243"/>
      <c r="F37" s="243"/>
      <c r="G37" s="243"/>
      <c r="H37" s="244"/>
    </row>
    <row r="38" spans="1:12" ht="14.45" customHeight="1" x14ac:dyDescent="0.25">
      <c r="A38" s="181" t="s">
        <v>400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 x14ac:dyDescent="0.25">
      <c r="A39" s="177" t="s">
        <v>397</v>
      </c>
      <c r="B39" s="70" t="s">
        <v>399</v>
      </c>
      <c r="C39" s="122"/>
      <c r="D39" s="123" t="s">
        <v>187</v>
      </c>
      <c r="E39" s="72"/>
      <c r="F39" s="72"/>
      <c r="G39" s="72"/>
      <c r="H39" s="73"/>
    </row>
    <row r="40" spans="1:12" ht="14.45" customHeight="1" x14ac:dyDescent="0.25">
      <c r="A40" s="178" t="s">
        <v>398</v>
      </c>
      <c r="B40" s="182" t="s">
        <v>391</v>
      </c>
      <c r="C40" s="121"/>
      <c r="D40" s="239" t="s">
        <v>405</v>
      </c>
      <c r="E40" s="240"/>
      <c r="F40" s="240"/>
      <c r="G40" s="240"/>
      <c r="H40" s="241"/>
    </row>
    <row r="41" spans="1:12" ht="14.45" customHeight="1" x14ac:dyDescent="0.25">
      <c r="A41" s="32"/>
      <c r="B41" s="28"/>
      <c r="C41" s="121"/>
      <c r="D41" s="240"/>
      <c r="E41" s="240"/>
      <c r="F41" s="240"/>
      <c r="G41" s="240"/>
      <c r="H41" s="241"/>
    </row>
    <row r="42" spans="1:12" ht="14.45" customHeight="1" x14ac:dyDescent="0.25">
      <c r="A42" s="32"/>
      <c r="B42" s="28"/>
      <c r="C42" s="121"/>
      <c r="D42" s="240"/>
      <c r="E42" s="240"/>
      <c r="F42" s="240"/>
      <c r="G42" s="240"/>
      <c r="H42" s="241"/>
    </row>
    <row r="43" spans="1:12" ht="14.45" customHeight="1" x14ac:dyDescent="0.25">
      <c r="A43" s="32"/>
      <c r="B43" s="28"/>
      <c r="C43" s="121"/>
      <c r="D43" s="240"/>
      <c r="E43" s="240"/>
      <c r="F43" s="240"/>
      <c r="G43" s="240"/>
      <c r="H43" s="241"/>
    </row>
    <row r="44" spans="1:12" ht="14.45" customHeight="1" x14ac:dyDescent="0.25">
      <c r="A44" s="32"/>
      <c r="B44" s="28"/>
      <c r="C44" s="121"/>
      <c r="D44" s="240"/>
      <c r="E44" s="240"/>
      <c r="F44" s="240"/>
      <c r="G44" s="240"/>
      <c r="H44" s="241"/>
      <c r="L44" s="164"/>
    </row>
    <row r="45" spans="1:12" ht="14.45" customHeight="1" x14ac:dyDescent="0.25">
      <c r="A45" s="32"/>
      <c r="B45" s="28"/>
      <c r="C45" s="121"/>
      <c r="D45" s="240"/>
      <c r="E45" s="240"/>
      <c r="F45" s="240"/>
      <c r="G45" s="240"/>
      <c r="H45" s="241"/>
    </row>
    <row r="46" spans="1:12" ht="14.45" customHeight="1" x14ac:dyDescent="0.25">
      <c r="A46" s="32"/>
      <c r="B46" s="28"/>
      <c r="C46" s="121"/>
      <c r="D46" s="240"/>
      <c r="E46" s="240"/>
      <c r="F46" s="240"/>
      <c r="G46" s="240"/>
      <c r="H46" s="241"/>
    </row>
    <row r="47" spans="1:12" ht="14.45" customHeight="1" x14ac:dyDescent="0.25">
      <c r="A47" s="38"/>
      <c r="C47" s="121"/>
      <c r="D47" s="240"/>
      <c r="E47" s="240"/>
      <c r="F47" s="240"/>
      <c r="G47" s="240"/>
      <c r="H47" s="241"/>
    </row>
    <row r="48" spans="1:12" ht="14.45" customHeight="1" x14ac:dyDescent="0.25">
      <c r="A48" s="38"/>
      <c r="C48" s="121"/>
      <c r="D48" s="240"/>
      <c r="E48" s="240"/>
      <c r="F48" s="240"/>
      <c r="G48" s="240"/>
      <c r="H48" s="241"/>
    </row>
    <row r="49" spans="1:8" ht="14.45" customHeight="1" x14ac:dyDescent="0.25">
      <c r="A49" s="38"/>
      <c r="C49" s="121"/>
      <c r="D49" s="240"/>
      <c r="E49" s="240"/>
      <c r="F49" s="240"/>
      <c r="G49" s="240"/>
      <c r="H49" s="241"/>
    </row>
    <row r="50" spans="1:8" x14ac:dyDescent="0.25">
      <c r="A50" s="62" t="s">
        <v>199</v>
      </c>
      <c r="B50" s="63" t="s">
        <v>515</v>
      </c>
      <c r="H50" s="39"/>
    </row>
    <row r="51" spans="1:8" x14ac:dyDescent="0.25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 x14ac:dyDescent="0.25">
      <c r="A52" s="225" t="s">
        <v>375</v>
      </c>
      <c r="B52" s="226"/>
      <c r="C52" s="226"/>
      <c r="D52" s="226"/>
      <c r="E52" s="226"/>
      <c r="F52" s="227"/>
      <c r="H52" s="39"/>
    </row>
    <row r="53" spans="1:8" ht="15" customHeight="1" x14ac:dyDescent="0.25">
      <c r="A53" s="228"/>
      <c r="B53" s="229"/>
      <c r="C53" s="229"/>
      <c r="D53" s="229"/>
      <c r="E53" s="229"/>
      <c r="F53" s="230"/>
      <c r="G53" s="74" t="str">
        <f>IF(ISBLANK(H13),"",H13)</f>
        <v/>
      </c>
      <c r="H53" s="64"/>
    </row>
    <row r="54" spans="1:8" x14ac:dyDescent="0.25">
      <c r="A54" s="231"/>
      <c r="B54" s="232"/>
      <c r="C54" s="232"/>
      <c r="D54" s="232"/>
      <c r="E54" s="232"/>
      <c r="F54" s="233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 xr:uid="{00000000-0002-0000-0100-000000000000}">
      <formula1>"50 ml,100 ml,150 ml,200 ml,250 ml,300 ml,350 ml,400 ml,450 ml,500 ml,"</formula1>
    </dataValidation>
    <dataValidation type="list" allowBlank="1" showInputMessage="1" showErrorMessage="1" sqref="B51" xr:uid="{00000000-0002-0000-0100-000001000000}">
      <formula1>"Извлечён,Оставлен,М/О ушито Angio-Seal™"</formula1>
    </dataValidation>
    <dataValidation type="list" allowBlank="1" showInputMessage="1" showErrorMessage="1" sqref="A50" xr:uid="{00000000-0002-0000-0100-000002000000}">
      <formula1>INDIRECT("Контраст[Название]")</formula1>
    </dataValidation>
    <dataValidation type="list" allowBlank="1" showInputMessage="1" showErrorMessage="1" sqref="A6" xr:uid="{00000000-0002-0000-0100-000003000000}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 xr:uid="{00000000-0002-0000-0100-000004000000}">
      <formula1>INDIRECT("Должность[Должность]")</formula1>
    </dataValidation>
    <dataValidation type="list" allowBlank="1" showInputMessage="1" showErrorMessage="1" sqref="C8:E10" xr:uid="{00000000-0002-0000-0100-000005000000}">
      <formula1>INDIRECT("Локализация[Локализация]")</formula1>
    </dataValidation>
    <dataValidation type="list" allowBlank="1" showInputMessage="1" showErrorMessage="1" sqref="G9:G10" xr:uid="{00000000-0002-0000-0100-000006000000}">
      <formula1>"DES,BMS"</formula1>
    </dataValidation>
    <dataValidation type="list" allowBlank="1" showInputMessage="1" showErrorMessage="1" sqref="B23" xr:uid="{00000000-0002-0000-0100-000007000000}">
      <formula1>"м/а,общий"</formula1>
    </dataValidation>
    <dataValidation type="list" allowBlank="1" showInputMessage="1" showErrorMessage="1" sqref="B39" xr:uid="{00000000-0002-0000-0100-000008000000}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9000000}">
          <x14:formula1>
            <xm:f>Вмешательства!$F$23:$F$24</xm:f>
          </x14:formula1>
          <xm:sqref>H8</xm:sqref>
        </x14:dataValidation>
        <x14:dataValidation type="list" allowBlank="1" showInputMessage="1" showErrorMessage="1" xr:uid="{00000000-0002-0000-0100-00000A000000}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 xr:uid="{00000000-0002-0000-0100-00000B000000}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showGridLines="0" showWhiteSpace="0" view="pageBreakPreview" topLeftCell="A4" zoomScaleNormal="90" zoomScaleSheetLayoutView="100" zoomScalePageLayoutView="80" workbookViewId="0">
      <selection activeCell="J17" sqref="J17"/>
    </sheetView>
  </sheetViews>
  <sheetFormatPr defaultRowHeight="15" x14ac:dyDescent="0.2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x14ac:dyDescent="0.25">
      <c r="A1" s="27"/>
      <c r="B1" s="113"/>
      <c r="C1" s="113"/>
      <c r="D1" s="114"/>
    </row>
    <row r="2" spans="1:4" ht="19.899999999999999" customHeight="1" x14ac:dyDescent="0.3">
      <c r="A2" s="97" t="s">
        <v>98</v>
      </c>
      <c r="B2" s="98">
        <f>$D$10</f>
        <v>45112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 x14ac:dyDescent="0.25">
      <c r="A3" s="100" t="s">
        <v>97</v>
      </c>
      <c r="B3" s="101"/>
      <c r="D3" s="39"/>
    </row>
    <row r="4" spans="1:4" ht="17.25" thickBot="1" x14ac:dyDescent="0.3">
      <c r="A4" s="149" t="s">
        <v>195</v>
      </c>
      <c r="B4" s="150" t="s">
        <v>105</v>
      </c>
      <c r="C4" s="151" t="s">
        <v>15</v>
      </c>
      <c r="D4" s="152" t="str">
        <f>КАГ!$B$11</f>
        <v>Седов В.А.</v>
      </c>
    </row>
    <row r="5" spans="1:4" ht="15.75" thickTop="1" x14ac:dyDescent="0.25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18263</v>
      </c>
    </row>
    <row r="6" spans="1:4" ht="30" x14ac:dyDescent="0.25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73</v>
      </c>
    </row>
    <row r="7" spans="1:4" x14ac:dyDescent="0.25">
      <c r="A7" s="38"/>
      <c r="C7" s="102" t="s">
        <v>12</v>
      </c>
      <c r="D7" s="104">
        <f>КАГ!$B$14</f>
        <v>17732</v>
      </c>
    </row>
    <row r="8" spans="1:4" x14ac:dyDescent="0.25">
      <c r="A8" s="199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 x14ac:dyDescent="0.25">
      <c r="A9" s="199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 x14ac:dyDescent="0.25">
      <c r="A10" s="200"/>
      <c r="B10" s="31"/>
      <c r="C10" s="153" t="s">
        <v>13</v>
      </c>
      <c r="D10" s="154">
        <f>КАГ!$B$8</f>
        <v>45112</v>
      </c>
    </row>
    <row r="11" spans="1:4" x14ac:dyDescent="0.25">
      <c r="A11" s="27"/>
      <c r="B11" s="113"/>
      <c r="C11" s="113"/>
      <c r="D11" s="114"/>
    </row>
    <row r="12" spans="1:4" ht="18.75" customHeight="1" x14ac:dyDescent="0.25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 x14ac:dyDescent="0.25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514</v>
      </c>
      <c r="C13" s="191"/>
      <c r="D13" s="142">
        <v>1</v>
      </c>
    </row>
    <row r="14" spans="1:4" ht="27.75" customHeight="1" x14ac:dyDescent="0.25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 x14ac:dyDescent="0.25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 x14ac:dyDescent="0.25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403</v>
      </c>
      <c r="C16" s="137" t="s">
        <v>421</v>
      </c>
      <c r="D16" s="142">
        <v>1</v>
      </c>
    </row>
    <row r="17" spans="1:4" ht="27.75" customHeight="1" x14ac:dyDescent="0.25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277</v>
      </c>
      <c r="C17" s="137" t="s">
        <v>413</v>
      </c>
      <c r="D17" s="142">
        <v>1</v>
      </c>
    </row>
    <row r="18" spans="1:4" ht="27.75" customHeight="1" x14ac:dyDescent="0.25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455</v>
      </c>
      <c r="D18" s="142">
        <v>1</v>
      </c>
    </row>
    <row r="19" spans="1:4" ht="27.75" customHeight="1" x14ac:dyDescent="0.25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446</v>
      </c>
      <c r="D19" s="142">
        <v>1</v>
      </c>
    </row>
    <row r="20" spans="1:4" ht="27.75" customHeight="1" x14ac:dyDescent="0.25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 x14ac:dyDescent="0.25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 x14ac:dyDescent="0.25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 x14ac:dyDescent="0.25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 x14ac:dyDescent="0.25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 x14ac:dyDescent="0.25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 x14ac:dyDescent="0.2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 x14ac:dyDescent="0.2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 x14ac:dyDescent="0.25">
      <c r="A28" s="38" t="s">
        <v>11</v>
      </c>
      <c r="B28" t="s">
        <v>11</v>
      </c>
      <c r="D28" s="39"/>
    </row>
    <row r="29" spans="1:4" ht="14.45" customHeight="1" x14ac:dyDescent="0.25">
      <c r="A29" s="38" t="s">
        <v>11</v>
      </c>
      <c r="B29" t="s">
        <v>11</v>
      </c>
      <c r="D29" s="39"/>
    </row>
    <row r="30" spans="1:4" ht="14.45" customHeight="1" x14ac:dyDescent="0.25">
      <c r="A30" s="38" t="s">
        <v>11</v>
      </c>
      <c r="B30" t="s">
        <v>11</v>
      </c>
      <c r="D30" s="39"/>
    </row>
    <row r="31" spans="1:4" ht="14.45" customHeight="1" x14ac:dyDescent="0.25">
      <c r="A31" s="38" t="s">
        <v>11</v>
      </c>
      <c r="B31" t="s">
        <v>11</v>
      </c>
      <c r="D31" s="39"/>
    </row>
    <row r="32" spans="1:4" ht="14.45" customHeight="1" x14ac:dyDescent="0.25">
      <c r="A32" s="38" t="s">
        <v>11</v>
      </c>
      <c r="D32" s="39"/>
    </row>
    <row r="33" spans="1:4" ht="14.45" customHeight="1" x14ac:dyDescent="0.25">
      <c r="A33" s="38"/>
      <c r="D33" s="39"/>
    </row>
    <row r="34" spans="1:4" ht="14.45" customHeight="1" x14ac:dyDescent="0.25">
      <c r="A34" s="38"/>
      <c r="D34" s="39"/>
    </row>
    <row r="35" spans="1:4" ht="19.899999999999999" customHeight="1" x14ac:dyDescent="0.25">
      <c r="A35" s="38"/>
      <c r="B35" s="111" t="s">
        <v>381</v>
      </c>
      <c r="C35" s="13"/>
      <c r="D35" s="39"/>
    </row>
    <row r="36" spans="1:4" ht="19.899999999999999" customHeight="1" x14ac:dyDescent="0.25">
      <c r="A36" s="38"/>
      <c r="D36" s="39"/>
    </row>
    <row r="37" spans="1:4" ht="19.899999999999999" customHeight="1" x14ac:dyDescent="0.25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 x14ac:dyDescent="0.25">
      <c r="A38" s="38"/>
      <c r="D38" s="39"/>
    </row>
    <row r="39" spans="1:4" ht="19.899999999999999" customHeight="1" x14ac:dyDescent="0.25">
      <c r="A39" s="38"/>
      <c r="B39" s="112" t="s">
        <v>372</v>
      </c>
      <c r="C39" s="115"/>
      <c r="D39" s="39"/>
    </row>
    <row r="40" spans="1:4" ht="19.899999999999999" customHeight="1" x14ac:dyDescent="0.25">
      <c r="A40" s="40"/>
      <c r="B40" s="31"/>
      <c r="C40" s="31"/>
      <c r="D40" s="41"/>
    </row>
    <row r="41" spans="1:4" ht="14.45" customHeight="1" x14ac:dyDescent="0.25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 xr:uid="{00000000-0002-0000-0200-000000000000}"/>
    <dataValidation type="list" errorStyle="warning" allowBlank="1" showInputMessage="1" showErrorMessage="1" errorTitle="Ой)))" error="Размера нет в базе данных!" sqref="C13:C14 C16:C25" xr:uid="{00000000-0002-0000-0200-000001000000}">
      <formula1>Размеры_стентов_балонов</formula1>
    </dataValidation>
    <dataValidation type="list" allowBlank="1" showInputMessage="1" sqref="B13" xr:uid="{00000000-0002-0000-0200-000002000000}">
      <formula1>ВЫП.Список_Расходка_1</formula1>
    </dataValidation>
    <dataValidation type="list" allowBlank="1" showInputMessage="1" sqref="B14" xr:uid="{00000000-0002-0000-0200-000003000000}">
      <formula1>ВЫП.Список_Расходка_2</formula1>
    </dataValidation>
    <dataValidation type="list" allowBlank="1" showInputMessage="1" sqref="B15" xr:uid="{00000000-0002-0000-0200-000004000000}">
      <formula1>ВЫП.Список_Расходка_3</formula1>
    </dataValidation>
    <dataValidation type="list" allowBlank="1" showInputMessage="1" sqref="B16" xr:uid="{00000000-0002-0000-0200-000005000000}">
      <formula1>ВЫП.Список_Расходка_4</formula1>
    </dataValidation>
    <dataValidation type="list" allowBlank="1" showInputMessage="1" showErrorMessage="1" sqref="B39 B35" xr:uid="{00000000-0002-0000-0200-000006000000}">
      <formula1>INDIRECT("Сотрудники[Должность: ФИО]")</formula1>
    </dataValidation>
    <dataValidation type="list" allowBlank="1" showInputMessage="1" sqref="B17" xr:uid="{00000000-0002-0000-0200-000007000000}">
      <formula1>ВЫП.Список_Расходка_5</formula1>
    </dataValidation>
    <dataValidation type="list" allowBlank="1" showInputMessage="1" sqref="B18" xr:uid="{00000000-0002-0000-0200-000008000000}">
      <formula1>ВЫП.Список_Расходка_6</formula1>
    </dataValidation>
    <dataValidation type="list" allowBlank="1" showInputMessage="1" sqref="B19" xr:uid="{00000000-0002-0000-0200-000009000000}">
      <formula1>ВЫП.Список_Расходка_7</formula1>
    </dataValidation>
    <dataValidation type="list" allowBlank="1" showInputMessage="1" sqref="B20" xr:uid="{00000000-0002-0000-0200-00000A000000}">
      <formula1>ВЫП.Список_Расходка_8</formula1>
    </dataValidation>
    <dataValidation type="list" allowBlank="1" showInputMessage="1" sqref="B21" xr:uid="{00000000-0002-0000-0200-00000B000000}">
      <formula1>ВЫП.Список_Расходка_9</formula1>
    </dataValidation>
    <dataValidation type="list" allowBlank="1" showInputMessage="1" sqref="B22" xr:uid="{00000000-0002-0000-0200-00000C000000}">
      <formula1>ВЫП.Список_Расходка_10</formula1>
    </dataValidation>
    <dataValidation type="list" allowBlank="1" showInputMessage="1" sqref="B23" xr:uid="{00000000-0002-0000-0200-00000D000000}">
      <formula1>ВЫП.Список_Расходка_11</formula1>
    </dataValidation>
    <dataValidation type="list" allowBlank="1" showInputMessage="1" sqref="B24" xr:uid="{00000000-0002-0000-0200-00000E000000}">
      <formula1>ВЫП.Список_Расходка_12</formula1>
    </dataValidation>
    <dataValidation type="list" allowBlank="1" showInputMessage="1" sqref="B25" xr:uid="{00000000-0002-0000-0200-00000F000000}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 xr:uid="{00000000-0002-0000-0200-000010000000}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 x14ac:dyDescent="0.25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 x14ac:dyDescent="0.25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 x14ac:dyDescent="0.25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492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 x14ac:dyDescent="0.25">
      <c r="A3" s="8">
        <v>2</v>
      </c>
      <c r="B3" s="2" t="s">
        <v>18</v>
      </c>
      <c r="C3" s="8" t="s">
        <v>85</v>
      </c>
      <c r="D3" s="5" t="s">
        <v>214</v>
      </c>
      <c r="F3" t="s">
        <v>491</v>
      </c>
      <c r="G3" s="3" t="s">
        <v>492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 x14ac:dyDescent="0.25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492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 x14ac:dyDescent="0.25">
      <c r="A5" s="8">
        <v>4</v>
      </c>
      <c r="B5" s="2" t="s">
        <v>36</v>
      </c>
      <c r="C5" s="8" t="s">
        <v>37</v>
      </c>
      <c r="D5" s="5" t="s">
        <v>406</v>
      </c>
      <c r="F5" t="s">
        <v>131</v>
      </c>
      <c r="G5" s="3" t="s">
        <v>492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 x14ac:dyDescent="0.25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492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x14ac:dyDescent="0.25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492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 x14ac:dyDescent="0.25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492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 x14ac:dyDescent="0.25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492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 x14ac:dyDescent="0.25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 x14ac:dyDescent="0.25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 x14ac:dyDescent="0.25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493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 x14ac:dyDescent="0.25">
      <c r="A13" s="8">
        <v>12</v>
      </c>
      <c r="B13" s="2" t="s">
        <v>23</v>
      </c>
      <c r="C13" s="8" t="s">
        <v>234</v>
      </c>
      <c r="D13" s="5" t="s">
        <v>24</v>
      </c>
      <c r="F13" t="s">
        <v>491</v>
      </c>
      <c r="G13" s="3" t="s">
        <v>493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 x14ac:dyDescent="0.25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493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 x14ac:dyDescent="0.25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493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400</v>
      </c>
      <c r="W15" s="12"/>
    </row>
    <row r="16" spans="1:23" x14ac:dyDescent="0.25">
      <c r="A16" s="8">
        <v>15</v>
      </c>
      <c r="B16" s="2" t="s">
        <v>31</v>
      </c>
      <c r="C16" s="8" t="s">
        <v>237</v>
      </c>
      <c r="D16" s="5" t="s">
        <v>32</v>
      </c>
      <c r="V16" t="s">
        <v>401</v>
      </c>
    </row>
    <row r="17" spans="1:23" x14ac:dyDescent="0.25">
      <c r="A17" s="8">
        <v>16</v>
      </c>
      <c r="B17" s="2" t="s">
        <v>33</v>
      </c>
      <c r="C17" s="8" t="s">
        <v>238</v>
      </c>
      <c r="D17" s="5" t="s">
        <v>34</v>
      </c>
      <c r="F17" t="s">
        <v>494</v>
      </c>
      <c r="V17" t="s">
        <v>402</v>
      </c>
    </row>
    <row r="18" spans="1:23" ht="30" x14ac:dyDescent="0.25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 x14ac:dyDescent="0.25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 x14ac:dyDescent="0.25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 x14ac:dyDescent="0.25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 x14ac:dyDescent="0.25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 x14ac:dyDescent="0.25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 x14ac:dyDescent="0.25">
      <c r="A24" s="8">
        <v>23</v>
      </c>
      <c r="B24" s="2" t="s">
        <v>58</v>
      </c>
      <c r="C24" s="8" t="s">
        <v>59</v>
      </c>
      <c r="D24" s="5" t="s">
        <v>60</v>
      </c>
      <c r="F24" t="s">
        <v>509</v>
      </c>
      <c r="H24" s="10"/>
      <c r="K24" s="2"/>
      <c r="U24" s="2"/>
      <c r="W24" s="12"/>
    </row>
    <row r="25" spans="1:23" ht="30" x14ac:dyDescent="0.25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 x14ac:dyDescent="0.2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 x14ac:dyDescent="0.25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 x14ac:dyDescent="0.2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 x14ac:dyDescent="0.25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 x14ac:dyDescent="0.25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 x14ac:dyDescent="0.25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 x14ac:dyDescent="0.25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 x14ac:dyDescent="0.25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 x14ac:dyDescent="0.25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 x14ac:dyDescent="0.25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 x14ac:dyDescent="0.25">
      <c r="A36" s="8"/>
      <c r="B36" s="2"/>
      <c r="C36" s="8"/>
      <c r="D36" s="5"/>
      <c r="F36" s="10"/>
      <c r="H36" s="10"/>
      <c r="W36" s="10"/>
    </row>
    <row r="37" spans="1:23" x14ac:dyDescent="0.25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97"/>
  <sheetViews>
    <sheetView topLeftCell="A11" zoomScaleNormal="100" workbookViewId="0">
      <selection activeCell="A11" sqref="A11:A66"/>
    </sheetView>
  </sheetViews>
  <sheetFormatPr defaultRowHeight="15" outlineLevelCol="1" x14ac:dyDescent="0.25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 x14ac:dyDescent="0.25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506</v>
      </c>
      <c r="AN1" s="2" t="s">
        <v>500</v>
      </c>
      <c r="AO1" t="s">
        <v>357</v>
      </c>
      <c r="AP1" s="163"/>
    </row>
    <row r="2" spans="1:42" x14ac:dyDescent="0.25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"МИМ". Тюмень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Fielder</v>
      </c>
      <c r="U2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2" s="116" t="str">
        <f>IFERROR(INDEX(Расходка[Наименование расходного материала],MATCH(Расходка[[#This Row],[№]],Поиск_расходки[Индекс5],0)),"")</f>
        <v>Euphora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408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502</v>
      </c>
      <c r="AP2" s="130"/>
    </row>
    <row r="3" spans="1:42" x14ac:dyDescent="0.25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>Fielder XT-A</v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>NC Euphora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409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495</v>
      </c>
      <c r="AO3" t="s">
        <v>503</v>
      </c>
      <c r="AP3" s="131"/>
    </row>
    <row r="4" spans="1:42" x14ac:dyDescent="0.25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1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>Fielder XT-R</v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410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508</v>
      </c>
      <c r="AO4" t="s">
        <v>505</v>
      </c>
      <c r="AP4" s="131"/>
    </row>
    <row r="5" spans="1:42" x14ac:dyDescent="0.25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411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504</v>
      </c>
    </row>
    <row r="6" spans="1:42" x14ac:dyDescent="0.25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2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412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507</v>
      </c>
    </row>
    <row r="7" spans="1:42" x14ac:dyDescent="0.25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413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501</v>
      </c>
    </row>
    <row r="8" spans="1:42" x14ac:dyDescent="0.25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414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 x14ac:dyDescent="0.25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415</v>
      </c>
      <c r="AM9" s="193">
        <v>218160</v>
      </c>
      <c r="AN9" s="2"/>
      <c r="AO9" t="s">
        <v>90</v>
      </c>
    </row>
    <row r="10" spans="1:42" x14ac:dyDescent="0.25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416</v>
      </c>
      <c r="AI10" t="s">
        <v>356</v>
      </c>
      <c r="AM10" s="193">
        <v>194510</v>
      </c>
      <c r="AN10" s="2"/>
      <c r="AO10" t="s">
        <v>91</v>
      </c>
    </row>
    <row r="11" spans="1:42" x14ac:dyDescent="0.25">
      <c r="A11">
        <v>10</v>
      </c>
      <c r="B11" t="s">
        <v>5</v>
      </c>
      <c r="C11" t="s">
        <v>403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1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417</v>
      </c>
      <c r="AI11" t="s">
        <v>4</v>
      </c>
      <c r="AM11" s="193">
        <v>323500</v>
      </c>
      <c r="AN11" s="2"/>
      <c r="AO11" t="s">
        <v>92</v>
      </c>
    </row>
    <row r="12" spans="1:42" x14ac:dyDescent="0.25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418</v>
      </c>
      <c r="AI12" t="s">
        <v>3</v>
      </c>
      <c r="AM12" s="193">
        <v>323510</v>
      </c>
      <c r="AN12" s="2"/>
      <c r="AO12" t="s">
        <v>93</v>
      </c>
    </row>
    <row r="13" spans="1:42" x14ac:dyDescent="0.25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419</v>
      </c>
      <c r="AI13" t="s">
        <v>6</v>
      </c>
      <c r="AN13" s="2"/>
    </row>
    <row r="14" spans="1:42" x14ac:dyDescent="0.25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498</v>
      </c>
      <c r="AI14" t="s">
        <v>5</v>
      </c>
      <c r="AM14" s="193"/>
      <c r="AN14" s="2"/>
    </row>
    <row r="15" spans="1:42" x14ac:dyDescent="0.25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420</v>
      </c>
      <c r="AI15" t="s">
        <v>94</v>
      </c>
    </row>
    <row r="16" spans="1:42" x14ac:dyDescent="0.25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421</v>
      </c>
      <c r="AI16" t="s">
        <v>306</v>
      </c>
    </row>
    <row r="17" spans="1:35" x14ac:dyDescent="0.2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422</v>
      </c>
      <c r="AI17" t="s">
        <v>206</v>
      </c>
    </row>
    <row r="18" spans="1:35" x14ac:dyDescent="0.2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423</v>
      </c>
      <c r="AI18" t="s">
        <v>95</v>
      </c>
    </row>
    <row r="19" spans="1:35" x14ac:dyDescent="0.25">
      <c r="A19">
        <v>18</v>
      </c>
      <c r="B19" t="s">
        <v>306</v>
      </c>
      <c r="C19" t="s">
        <v>511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424</v>
      </c>
      <c r="AI19" t="s">
        <v>301</v>
      </c>
    </row>
    <row r="20" spans="1:35" x14ac:dyDescent="0.2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425</v>
      </c>
      <c r="AI20" t="s">
        <v>308</v>
      </c>
    </row>
    <row r="21" spans="1:35" x14ac:dyDescent="0.25">
      <c r="A21">
        <v>20</v>
      </c>
      <c r="B21" t="s">
        <v>306</v>
      </c>
      <c r="C21" s="1" t="s">
        <v>514</v>
      </c>
      <c r="E21" s="117">
        <f>IF(ISNUMBER(SEARCH('Карта учёта'!$B$13,Расходка[[#This Row],[Наименование расходного материала]])),MAX($E$1:E20)+1,0)</f>
        <v>1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426</v>
      </c>
    </row>
    <row r="22" spans="1:35" x14ac:dyDescent="0.25">
      <c r="A22">
        <v>21</v>
      </c>
      <c r="B22" t="s">
        <v>3</v>
      </c>
      <c r="C22" t="s">
        <v>322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2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2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2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2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2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2" s="4" t="s">
        <v>5</v>
      </c>
      <c r="AG22" s="4" t="s">
        <v>427</v>
      </c>
    </row>
    <row r="23" spans="1:35" x14ac:dyDescent="0.25">
      <c r="A23">
        <v>22</v>
      </c>
      <c r="B23" t="s">
        <v>3</v>
      </c>
      <c r="C23" t="s">
        <v>343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3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3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3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3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3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3" s="4" t="s">
        <v>5</v>
      </c>
      <c r="AG23" s="4" t="s">
        <v>428</v>
      </c>
    </row>
    <row r="24" spans="1:35" x14ac:dyDescent="0.25">
      <c r="A24">
        <v>23</v>
      </c>
      <c r="B24" t="s">
        <v>3</v>
      </c>
      <c r="C24" t="s">
        <v>315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1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Fielder</v>
      </c>
      <c r="Z24" s="116" t="str">
        <f>IFERROR(INDEX(Расходка[Наименование расходного материала],MATCH(Расходка[[#This Row],[№]],Поиск_расходки[Индекс9],0)),"")</f>
        <v>Fielder</v>
      </c>
      <c r="AA24" s="116" t="str">
        <f>IFERROR(INDEX(Расходка[Наименование расходного материала],MATCH(Расходка[[#This Row],[№]],Поиск_расходки[Индекс10],0)),"")</f>
        <v>Fielder</v>
      </c>
      <c r="AB24" s="116" t="str">
        <f>IFERROR(INDEX(Расходка[Наименование расходного материала],MATCH(Расходка[[#This Row],[№]],Поиск_расходки[Индекс11],0)),"")</f>
        <v>Fielder</v>
      </c>
      <c r="AC24" s="116" t="str">
        <f>IFERROR(INDEX(Расходка[Наименование расходного материала],MATCH(Расходка[[#This Row],[№]],Поиск_расходки[Индекс12],0)),"")</f>
        <v>Fielder</v>
      </c>
      <c r="AD24" s="116" t="str">
        <f>IFERROR(INDEX(Расходка[Наименование расходного материала],MATCH(Расходка[[#This Row],[№]],Поиск_расходки[Индекс13],0)),"")</f>
        <v>Fielder</v>
      </c>
      <c r="AF24" s="4" t="s">
        <v>5</v>
      </c>
      <c r="AG24" s="4" t="s">
        <v>429</v>
      </c>
    </row>
    <row r="25" spans="1:35" x14ac:dyDescent="0.25">
      <c r="A25">
        <v>24</v>
      </c>
      <c r="B25" t="s">
        <v>3</v>
      </c>
      <c r="C25" t="s">
        <v>377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2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Fielder XT-A</v>
      </c>
      <c r="Z25" s="116" t="str">
        <f>IFERROR(INDEX(Расходка[Наименование расходного материала],MATCH(Расходка[[#This Row],[№]],Поиск_расходки[Индекс9],0)),"")</f>
        <v>Fielder XT-A</v>
      </c>
      <c r="AA25" s="116" t="str">
        <f>IFERROR(INDEX(Расходка[Наименование расходного материала],MATCH(Расходка[[#This Row],[№]],Поиск_расходки[Индекс10],0)),"")</f>
        <v>Fielder XT-A</v>
      </c>
      <c r="AB25" s="116" t="str">
        <f>IFERROR(INDEX(Расходка[Наименование расходного материала],MATCH(Расходка[[#This Row],[№]],Поиск_расходки[Индекс11],0)),"")</f>
        <v>Fielder XT-A</v>
      </c>
      <c r="AC25" s="116" t="str">
        <f>IFERROR(INDEX(Расходка[Наименование расходного материала],MATCH(Расходка[[#This Row],[№]],Поиск_расходки[Индекс12],0)),"")</f>
        <v>Fielder XT-A</v>
      </c>
      <c r="AD25" s="116" t="str">
        <f>IFERROR(INDEX(Расходка[Наименование расходного материала],MATCH(Расходка[[#This Row],[№]],Поиск_расходки[Индекс13],0)),"")</f>
        <v>Fielder XT-A</v>
      </c>
      <c r="AF25" s="4" t="s">
        <v>5</v>
      </c>
      <c r="AG25" s="4" t="s">
        <v>430</v>
      </c>
    </row>
    <row r="26" spans="1:35" x14ac:dyDescent="0.25">
      <c r="A26">
        <v>25</v>
      </c>
      <c r="B26" t="s">
        <v>3</v>
      </c>
      <c r="C26" t="s">
        <v>378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3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 XT-R</v>
      </c>
      <c r="Z26" s="116" t="str">
        <f>IFERROR(INDEX(Расходка[Наименование расходного материала],MATCH(Расходка[[#This Row],[№]],Поиск_расходки[Индекс9],0)),"")</f>
        <v>Fielder XT-R</v>
      </c>
      <c r="AA26" s="116" t="str">
        <f>IFERROR(INDEX(Расходка[Наименование расходного материала],MATCH(Расходка[[#This Row],[№]],Поиск_расходки[Индекс10],0)),"")</f>
        <v>Fielder XT-R</v>
      </c>
      <c r="AB26" s="116" t="str">
        <f>IFERROR(INDEX(Расходка[Наименование расходного материала],MATCH(Расходка[[#This Row],[№]],Поиск_расходки[Индекс11],0)),"")</f>
        <v>Fielder XT-R</v>
      </c>
      <c r="AC26" s="116" t="str">
        <f>IFERROR(INDEX(Расходка[Наименование расходного материала],MATCH(Расходка[[#This Row],[№]],Поиск_расходки[Индекс12],0)),"")</f>
        <v>Fielder XT-R</v>
      </c>
      <c r="AD26" s="116" t="str">
        <f>IFERROR(INDEX(Расходка[Наименование расходного материала],MATCH(Расходка[[#This Row],[№]],Поиск_расходки[Индекс13],0)),"")</f>
        <v>Fielder XT-R</v>
      </c>
      <c r="AF26" s="4" t="s">
        <v>5</v>
      </c>
      <c r="AG26" s="4" t="s">
        <v>431</v>
      </c>
    </row>
    <row r="27" spans="1:35" x14ac:dyDescent="0.25">
      <c r="A27">
        <v>26</v>
      </c>
      <c r="B27" t="s">
        <v>3</v>
      </c>
      <c r="C27" s="1" t="s">
        <v>360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Gaia Second</v>
      </c>
      <c r="Z27" s="116" t="str">
        <f>IFERROR(INDEX(Расходка[Наименование расходного материала],MATCH(Расходка[[#This Row],[№]],Поиск_расходки[Индекс9],0)),"")</f>
        <v>Gaia Second</v>
      </c>
      <c r="AA27" s="116" t="str">
        <f>IFERROR(INDEX(Расходка[Наименование расходного материала],MATCH(Расходка[[#This Row],[№]],Поиск_расходки[Индекс10],0)),"")</f>
        <v>Gaia Second</v>
      </c>
      <c r="AB27" s="116" t="str">
        <f>IFERROR(INDEX(Расходка[Наименование расходного материала],MATCH(Расходка[[#This Row],[№]],Поиск_расходки[Индекс11],0)),"")</f>
        <v>Gaia Second</v>
      </c>
      <c r="AC27" s="116" t="str">
        <f>IFERROR(INDEX(Расходка[Наименование расходного материала],MATCH(Расходка[[#This Row],[№]],Поиск_расходки[Индекс12],0)),"")</f>
        <v>Gaia Second</v>
      </c>
      <c r="AD27" s="116" t="str">
        <f>IFERROR(INDEX(Расходка[Наименование расходного материала],MATCH(Расходка[[#This Row],[№]],Поиск_расходки[Индекс13],0)),"")</f>
        <v>Gaia Second</v>
      </c>
      <c r="AF27" s="4" t="s">
        <v>5</v>
      </c>
      <c r="AG27" s="4" t="s">
        <v>432</v>
      </c>
    </row>
    <row r="28" spans="1:35" x14ac:dyDescent="0.25">
      <c r="A28">
        <v>27</v>
      </c>
      <c r="B28" t="s">
        <v>3</v>
      </c>
      <c r="C28" s="1" t="s">
        <v>373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Gaia Third</v>
      </c>
      <c r="Z28" s="116" t="str">
        <f>IFERROR(INDEX(Расходка[Наименование расходного материала],MATCH(Расходка[[#This Row],[№]],Поиск_расходки[Индекс9],0)),"")</f>
        <v>Gaia Third</v>
      </c>
      <c r="AA28" s="116" t="str">
        <f>IFERROR(INDEX(Расходка[Наименование расходного материала],MATCH(Расходка[[#This Row],[№]],Поиск_расходки[Индекс10],0)),"")</f>
        <v>Gaia Third</v>
      </c>
      <c r="AB28" s="116" t="str">
        <f>IFERROR(INDEX(Расходка[Наименование расходного материала],MATCH(Расходка[[#This Row],[№]],Поиск_расходки[Индекс11],0)),"")</f>
        <v>Gaia Third</v>
      </c>
      <c r="AC28" s="116" t="str">
        <f>IFERROR(INDEX(Расходка[Наименование расходного материала],MATCH(Расходка[[#This Row],[№]],Поиск_расходки[Индекс12],0)),"")</f>
        <v>Gaia Third</v>
      </c>
      <c r="AD28" s="116" t="str">
        <f>IFERROR(INDEX(Расходка[Наименование расходного материала],MATCH(Расходка[[#This Row],[№]],Поиск_расходки[Индекс13],0)),"")</f>
        <v>Gaia Third</v>
      </c>
      <c r="AF28" s="4" t="s">
        <v>5</v>
      </c>
      <c r="AG28" s="4" t="s">
        <v>433</v>
      </c>
    </row>
    <row r="29" spans="1:35" x14ac:dyDescent="0.25">
      <c r="A29">
        <v>28</v>
      </c>
      <c r="B29" t="s">
        <v>3</v>
      </c>
      <c r="C29" s="1" t="s">
        <v>323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Intuition</v>
      </c>
      <c r="Z29" s="116" t="str">
        <f>IFERROR(INDEX(Расходка[Наименование расходного материала],MATCH(Расходка[[#This Row],[№]],Поиск_расходки[Индекс9],0)),"")</f>
        <v>Intuition</v>
      </c>
      <c r="AA29" s="116" t="str">
        <f>IFERROR(INDEX(Расходка[Наименование расходного материала],MATCH(Расходка[[#This Row],[№]],Поиск_расходки[Индекс10],0)),"")</f>
        <v>Intuition</v>
      </c>
      <c r="AB29" s="116" t="str">
        <f>IFERROR(INDEX(Расходка[Наименование расходного материала],MATCH(Расходка[[#This Row],[№]],Поиск_расходки[Индекс11],0)),"")</f>
        <v>Intuition</v>
      </c>
      <c r="AC29" s="116" t="str">
        <f>IFERROR(INDEX(Расходка[Наименование расходного материала],MATCH(Расходка[[#This Row],[№]],Поиск_расходки[Индекс12],0)),"")</f>
        <v>Intuition</v>
      </c>
      <c r="AD29" s="116" t="str">
        <f>IFERROR(INDEX(Расходка[Наименование расходного материала],MATCH(Расходка[[#This Row],[№]],Поиск_расходки[Индекс13],0)),"")</f>
        <v>Intuition</v>
      </c>
      <c r="AF29" s="4" t="s">
        <v>5</v>
      </c>
      <c r="AG29" s="4" t="s">
        <v>434</v>
      </c>
    </row>
    <row r="30" spans="1:35" x14ac:dyDescent="0.25">
      <c r="A30">
        <v>29</v>
      </c>
      <c r="B30" t="s">
        <v>3</v>
      </c>
      <c r="C30" t="s">
        <v>319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0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0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0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0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0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0" s="4" t="s">
        <v>5</v>
      </c>
      <c r="AG30" s="4" t="s">
        <v>496</v>
      </c>
    </row>
    <row r="31" spans="1:35" x14ac:dyDescent="0.25">
      <c r="A31">
        <v>30</v>
      </c>
      <c r="B31" t="s">
        <v>3</v>
      </c>
      <c r="C31" t="s">
        <v>320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1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1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1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1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1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1" s="4" t="s">
        <v>5</v>
      </c>
      <c r="AG31" s="4" t="s">
        <v>435</v>
      </c>
    </row>
    <row r="32" spans="1:35" x14ac:dyDescent="0.25">
      <c r="A32">
        <v>31</v>
      </c>
      <c r="B32" t="s">
        <v>3</v>
      </c>
      <c r="C32" t="s">
        <v>321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2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2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2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2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2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2" s="4" t="s">
        <v>5</v>
      </c>
      <c r="AG32" s="4" t="s">
        <v>436</v>
      </c>
    </row>
    <row r="33" spans="1:33" x14ac:dyDescent="0.25">
      <c r="A33">
        <v>32</v>
      </c>
      <c r="B33" t="s">
        <v>3</v>
      </c>
      <c r="C33" t="s">
        <v>317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Rinato</v>
      </c>
      <c r="Z33" s="116" t="str">
        <f>IFERROR(INDEX(Расходка[Наименование расходного материала],MATCH(Расходка[[#This Row],[№]],Поиск_расходки[Индекс9],0)),"")</f>
        <v>Rinato</v>
      </c>
      <c r="AA33" s="116" t="str">
        <f>IFERROR(INDEX(Расходка[Наименование расходного материала],MATCH(Расходка[[#This Row],[№]],Поиск_расходки[Индекс10],0)),"")</f>
        <v>Rinato</v>
      </c>
      <c r="AB33" s="116" t="str">
        <f>IFERROR(INDEX(Расходка[Наименование расходного материала],MATCH(Расходка[[#This Row],[№]],Поиск_расходки[Индекс11],0)),"")</f>
        <v>Rinato</v>
      </c>
      <c r="AC33" s="116" t="str">
        <f>IFERROR(INDEX(Расходка[Наименование расходного материала],MATCH(Расходка[[#This Row],[№]],Поиск_расходки[Индекс12],0)),"")</f>
        <v>Rinato</v>
      </c>
      <c r="AD33" s="116" t="str">
        <f>IFERROR(INDEX(Расходка[Наименование расходного материала],MATCH(Расходка[[#This Row],[№]],Поиск_расходки[Индекс13],0)),"")</f>
        <v>Rinato</v>
      </c>
      <c r="AF33" s="4" t="s">
        <v>5</v>
      </c>
      <c r="AG33" s="4" t="s">
        <v>437</v>
      </c>
    </row>
    <row r="34" spans="1:33" x14ac:dyDescent="0.25">
      <c r="A34">
        <v>33</v>
      </c>
      <c r="B34" t="s">
        <v>3</v>
      </c>
      <c r="C34" s="1" t="s">
        <v>354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4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4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4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4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4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4" s="4" t="s">
        <v>5</v>
      </c>
      <c r="AG34" s="4" t="s">
        <v>438</v>
      </c>
    </row>
    <row r="35" spans="1:33" x14ac:dyDescent="0.25">
      <c r="A35">
        <v>34</v>
      </c>
      <c r="B35" t="s">
        <v>3</v>
      </c>
      <c r="C35" s="1" t="s">
        <v>362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5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5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5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5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5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5" s="4" t="s">
        <v>5</v>
      </c>
      <c r="AG35" s="4" t="s">
        <v>497</v>
      </c>
    </row>
    <row r="36" spans="1:33" x14ac:dyDescent="0.25">
      <c r="A36">
        <v>35</v>
      </c>
      <c r="B36" t="s">
        <v>3</v>
      </c>
      <c r="C36" s="1" t="s">
        <v>361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6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6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6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6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6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6" s="4" t="s">
        <v>5</v>
      </c>
      <c r="AG36" s="4" t="s">
        <v>439</v>
      </c>
    </row>
    <row r="37" spans="1:33" x14ac:dyDescent="0.25">
      <c r="A37">
        <v>36</v>
      </c>
      <c r="B37" t="s">
        <v>3</v>
      </c>
      <c r="C37" t="s">
        <v>316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Sion</v>
      </c>
      <c r="Z37" s="116" t="str">
        <f>IFERROR(INDEX(Расходка[Наименование расходного материала],MATCH(Расходка[[#This Row],[№]],Поиск_расходки[Индекс9],0)),"")</f>
        <v>Sion</v>
      </c>
      <c r="AA37" s="116" t="str">
        <f>IFERROR(INDEX(Расходка[Наименование расходного материала],MATCH(Расходка[[#This Row],[№]],Поиск_расходки[Индекс10],0)),"")</f>
        <v>Sion</v>
      </c>
      <c r="AB37" s="116" t="str">
        <f>IFERROR(INDEX(Расходка[Наименование расходного материала],MATCH(Расходка[[#This Row],[№]],Поиск_расходки[Индекс11],0)),"")</f>
        <v>Sion</v>
      </c>
      <c r="AC37" s="116" t="str">
        <f>IFERROR(INDEX(Расходка[Наименование расходного материала],MATCH(Расходка[[#This Row],[№]],Поиск_расходки[Индекс12],0)),"")</f>
        <v>Sion</v>
      </c>
      <c r="AD37" s="116" t="str">
        <f>IFERROR(INDEX(Расходка[Наименование расходного материала],MATCH(Расходка[[#This Row],[№]],Поиск_расходки[Индекс13],0)),"")</f>
        <v>Sion</v>
      </c>
      <c r="AF37" s="4" t="s">
        <v>6</v>
      </c>
      <c r="AG37" s="4" t="s">
        <v>412</v>
      </c>
    </row>
    <row r="38" spans="1:33" x14ac:dyDescent="0.25">
      <c r="A38">
        <v>37</v>
      </c>
      <c r="B38" t="s">
        <v>3</v>
      </c>
      <c r="C38" t="s">
        <v>382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Sion Black</v>
      </c>
      <c r="Z38" s="116" t="str">
        <f>IFERROR(INDEX(Расходка[Наименование расходного материала],MATCH(Расходка[[#This Row],[№]],Поиск_расходки[Индекс9],0)),"")</f>
        <v>Sion Black</v>
      </c>
      <c r="AA38" s="116" t="str">
        <f>IFERROR(INDEX(Расходка[Наименование расходного материала],MATCH(Расходка[[#This Row],[№]],Поиск_расходки[Индекс10],0)),"")</f>
        <v>Sion Black</v>
      </c>
      <c r="AB38" s="116" t="str">
        <f>IFERROR(INDEX(Расходка[Наименование расходного материала],MATCH(Расходка[[#This Row],[№]],Поиск_расходки[Индекс11],0)),"")</f>
        <v>Sion Black</v>
      </c>
      <c r="AC38" s="116" t="str">
        <f>IFERROR(INDEX(Расходка[Наименование расходного материала],MATCH(Расходка[[#This Row],[№]],Поиск_расходки[Индекс12],0)),"")</f>
        <v>Sion Black</v>
      </c>
      <c r="AD38" s="116" t="str">
        <f>IFERROR(INDEX(Расходка[Наименование расходного материала],MATCH(Расходка[[#This Row],[№]],Поиск_расходки[Индекс13],0)),"")</f>
        <v>Sion Black</v>
      </c>
      <c r="AF38" s="4" t="s">
        <v>6</v>
      </c>
      <c r="AG38" s="4" t="s">
        <v>499</v>
      </c>
    </row>
    <row r="39" spans="1:33" x14ac:dyDescent="0.25">
      <c r="A39">
        <v>38</v>
      </c>
      <c r="B39" t="s">
        <v>3</v>
      </c>
      <c r="C39" s="1" t="s">
        <v>376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Sion Blue</v>
      </c>
      <c r="Z39" s="116" t="str">
        <f>IFERROR(INDEX(Расходка[Наименование расходного материала],MATCH(Расходка[[#This Row],[№]],Поиск_расходки[Индекс9],0)),"")</f>
        <v>Sion Blue</v>
      </c>
      <c r="AA39" s="116" t="str">
        <f>IFERROR(INDEX(Расходка[Наименование расходного материала],MATCH(Расходка[[#This Row],[№]],Поиск_расходки[Индекс10],0)),"")</f>
        <v>Sion Blue</v>
      </c>
      <c r="AB39" s="116" t="str">
        <f>IFERROR(INDEX(Расходка[Наименование расходного материала],MATCH(Расходка[[#This Row],[№]],Поиск_расходки[Индекс11],0)),"")</f>
        <v>Sion Blue</v>
      </c>
      <c r="AC39" s="116" t="str">
        <f>IFERROR(INDEX(Расходка[Наименование расходного материала],MATCH(Расходка[[#This Row],[№]],Поиск_расходки[Индекс12],0)),"")</f>
        <v>Sion Blue</v>
      </c>
      <c r="AD39" s="116" t="str">
        <f>IFERROR(INDEX(Расходка[Наименование расходного материала],MATCH(Расходка[[#This Row],[№]],Поиск_расходки[Индекс13],0)),"")</f>
        <v>Sion Blue</v>
      </c>
      <c r="AF39" s="4" t="s">
        <v>6</v>
      </c>
      <c r="AG39" s="4" t="s">
        <v>440</v>
      </c>
    </row>
    <row r="40" spans="1:33" x14ac:dyDescent="0.25">
      <c r="A40">
        <v>39</v>
      </c>
      <c r="B40" t="s">
        <v>3</v>
      </c>
      <c r="C40" t="s">
        <v>318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Thunder</v>
      </c>
      <c r="Z40" s="116" t="str">
        <f>IFERROR(INDEX(Расходка[Наименование расходного материала],MATCH(Расходка[[#This Row],[№]],Поиск_расходки[Индекс9],0)),"")</f>
        <v>Thunder</v>
      </c>
      <c r="AA40" s="116" t="str">
        <f>IFERROR(INDEX(Расходка[Наименование расходного материала],MATCH(Расходка[[#This Row],[№]],Поиск_расходки[Индекс10],0)),"")</f>
        <v>Thunder</v>
      </c>
      <c r="AB40" s="116" t="str">
        <f>IFERROR(INDEX(Расходка[Наименование расходного материала],MATCH(Расходка[[#This Row],[№]],Поиск_расходки[Индекс11],0)),"")</f>
        <v>Thunder</v>
      </c>
      <c r="AC40" s="116" t="str">
        <f>IFERROR(INDEX(Расходка[Наименование расходного материала],MATCH(Расходка[[#This Row],[№]],Поиск_расходки[Индекс12],0)),"")</f>
        <v>Thunder</v>
      </c>
      <c r="AD40" s="116" t="str">
        <f>IFERROR(INDEX(Расходка[Наименование расходного материала],MATCH(Расходка[[#This Row],[№]],Поиск_расходки[Индекс13],0)),"")</f>
        <v>Thunder</v>
      </c>
      <c r="AF40" s="4" t="s">
        <v>6</v>
      </c>
      <c r="AG40" s="4" t="s">
        <v>441</v>
      </c>
    </row>
    <row r="41" spans="1:33" x14ac:dyDescent="0.25">
      <c r="A41">
        <v>40</v>
      </c>
      <c r="B41" t="s">
        <v>3</v>
      </c>
      <c r="C41" t="s">
        <v>363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Whisper MS</v>
      </c>
      <c r="Z41" s="116" t="str">
        <f>IFERROR(INDEX(Расходка[Наименование расходного материала],MATCH(Расходка[[#This Row],[№]],Поиск_расходки[Индекс9],0)),"")</f>
        <v>Whisper MS</v>
      </c>
      <c r="AA41" s="116" t="str">
        <f>IFERROR(INDEX(Расходка[Наименование расходного материала],MATCH(Расходка[[#This Row],[№]],Поиск_расходки[Индекс10],0)),"")</f>
        <v>Whisper MS</v>
      </c>
      <c r="AB41" s="116" t="str">
        <f>IFERROR(INDEX(Расходка[Наименование расходного материала],MATCH(Расходка[[#This Row],[№]],Поиск_расходки[Индекс11],0)),"")</f>
        <v>Whisper MS</v>
      </c>
      <c r="AC41" s="116" t="str">
        <f>IFERROR(INDEX(Расходка[Наименование расходного материала],MATCH(Расходка[[#This Row],[№]],Поиск_расходки[Индекс12],0)),"")</f>
        <v>Whisper MS</v>
      </c>
      <c r="AD41" s="116" t="str">
        <f>IFERROR(INDEX(Расходка[Наименование расходного материала],MATCH(Расходка[[#This Row],[№]],Поиск_расходки[Индекс13],0)),"")</f>
        <v>Whisper MS</v>
      </c>
      <c r="AF41" s="4" t="s">
        <v>6</v>
      </c>
      <c r="AG41" s="4" t="s">
        <v>442</v>
      </c>
    </row>
    <row r="42" spans="1:33" x14ac:dyDescent="0.25">
      <c r="A42">
        <v>41</v>
      </c>
      <c r="B42" t="s">
        <v>3</v>
      </c>
      <c r="C42" t="s">
        <v>364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Winn 200T</v>
      </c>
      <c r="Z42" s="116" t="str">
        <f>IFERROR(INDEX(Расходка[Наименование расходного материала],MATCH(Расходка[[#This Row],[№]],Поиск_расходки[Индекс9],0)),"")</f>
        <v>Winn 200T</v>
      </c>
      <c r="AA42" s="116" t="str">
        <f>IFERROR(INDEX(Расходка[Наименование расходного материала],MATCH(Расходка[[#This Row],[№]],Поиск_расходки[Индекс10],0)),"")</f>
        <v>Winn 200T</v>
      </c>
      <c r="AB42" s="116" t="str">
        <f>IFERROR(INDEX(Расходка[Наименование расходного материала],MATCH(Расходка[[#This Row],[№]],Поиск_расходки[Индекс11],0)),"")</f>
        <v>Winn 200T</v>
      </c>
      <c r="AC42" s="116" t="str">
        <f>IFERROR(INDEX(Расходка[Наименование расходного материала],MATCH(Расходка[[#This Row],[№]],Поиск_расходки[Индекс12],0)),"")</f>
        <v>Winn 200T</v>
      </c>
      <c r="AD42" s="116" t="str">
        <f>IFERROR(INDEX(Расходка[Наименование расходного материала],MATCH(Расходка[[#This Row],[№]],Поиск_расходки[Индекс13],0)),"")</f>
        <v>Winn 200T</v>
      </c>
      <c r="AF42" s="4" t="s">
        <v>6</v>
      </c>
      <c r="AG42" s="4" t="s">
        <v>443</v>
      </c>
    </row>
    <row r="43" spans="1:33" x14ac:dyDescent="0.25">
      <c r="A43">
        <v>42</v>
      </c>
      <c r="B43" t="s">
        <v>3</v>
      </c>
      <c r="C43" t="s">
        <v>347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3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3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3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3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3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3" s="4" t="s">
        <v>6</v>
      </c>
      <c r="AG43" s="4" t="s">
        <v>416</v>
      </c>
    </row>
    <row r="44" spans="1:33" x14ac:dyDescent="0.25">
      <c r="A44">
        <v>43</v>
      </c>
      <c r="B44" t="s">
        <v>3</v>
      </c>
      <c r="C44" t="s">
        <v>96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4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4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4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4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4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4" s="4" t="s">
        <v>6</v>
      </c>
      <c r="AG44" s="4" t="s">
        <v>444</v>
      </c>
    </row>
    <row r="45" spans="1:33" x14ac:dyDescent="0.25">
      <c r="A45">
        <v>44</v>
      </c>
      <c r="B45" t="s">
        <v>6</v>
      </c>
      <c r="C45" s="1" t="s">
        <v>278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BMS, Integtity</v>
      </c>
      <c r="Z45" s="116" t="str">
        <f>IFERROR(INDEX(Расходка[Наименование расходного материала],MATCH(Расходка[[#This Row],[№]],Поиск_расходки[Индекс9],0)),"")</f>
        <v>BMS, Integtity</v>
      </c>
      <c r="AA45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45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45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45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45" s="4" t="s">
        <v>6</v>
      </c>
      <c r="AG45" s="4" t="s">
        <v>445</v>
      </c>
    </row>
    <row r="46" spans="1:33" x14ac:dyDescent="0.25">
      <c r="A46">
        <v>45</v>
      </c>
      <c r="B46" t="s">
        <v>6</v>
      </c>
      <c r="C46" s="161" t="s">
        <v>346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DES, Calipso</v>
      </c>
      <c r="Z46" s="116" t="str">
        <f>IFERROR(INDEX(Расходка[Наименование расходного материала],MATCH(Расходка[[#This Row],[№]],Поиск_расходки[Индекс9],0)),"")</f>
        <v>DES, Calipso</v>
      </c>
      <c r="AA46" s="116" t="str">
        <f>IFERROR(INDEX(Расходка[Наименование расходного материала],MATCH(Расходка[[#This Row],[№]],Поиск_расходки[Индекс10],0)),"")</f>
        <v>DES, Calipso</v>
      </c>
      <c r="AB46" s="116" t="str">
        <f>IFERROR(INDEX(Расходка[Наименование расходного материала],MATCH(Расходка[[#This Row],[№]],Поиск_расходки[Индекс11],0)),"")</f>
        <v>DES, Calipso</v>
      </c>
      <c r="AC46" s="116" t="str">
        <f>IFERROR(INDEX(Расходка[Наименование расходного материала],MATCH(Расходка[[#This Row],[№]],Поиск_расходки[Индекс12],0)),"")</f>
        <v>DES, Calipso</v>
      </c>
      <c r="AD46" s="116" t="str">
        <f>IFERROR(INDEX(Расходка[Наименование расходного материала],MATCH(Расходка[[#This Row],[№]],Поиск_расходки[Индекс13],0)),"")</f>
        <v>DES, Calipso</v>
      </c>
      <c r="AF46" s="4" t="s">
        <v>6</v>
      </c>
      <c r="AG46" s="4" t="s">
        <v>446</v>
      </c>
    </row>
    <row r="47" spans="1:33" x14ac:dyDescent="0.25">
      <c r="A47">
        <v>46</v>
      </c>
      <c r="B47" t="s">
        <v>6</v>
      </c>
      <c r="C47" s="161" t="s">
        <v>345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0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DES, NanoMed</v>
      </c>
      <c r="Z47" s="116" t="str">
        <f>IFERROR(INDEX(Расходка[Наименование расходного материала],MATCH(Расходка[[#This Row],[№]],Поиск_расходки[Индекс9],0)),"")</f>
        <v>DES, NanoMed</v>
      </c>
      <c r="AA47" s="116" t="str">
        <f>IFERROR(INDEX(Расходка[Наименование расходного материала],MATCH(Расходка[[#This Row],[№]],Поиск_расходки[Индекс10],0)),"")</f>
        <v>DES, NanoMed</v>
      </c>
      <c r="AB47" s="116" t="str">
        <f>IFERROR(INDEX(Расходка[Наименование расходного материала],MATCH(Расходка[[#This Row],[№]],Поиск_расходки[Индекс11],0)),"")</f>
        <v>DES, NanoMed</v>
      </c>
      <c r="AC47" s="116" t="str">
        <f>IFERROR(INDEX(Расходка[Наименование расходного материала],MATCH(Расходка[[#This Row],[№]],Поиск_расходки[Индекс12],0)),"")</f>
        <v>DES, NanoMed</v>
      </c>
      <c r="AD47" s="116" t="str">
        <f>IFERROR(INDEX(Расходка[Наименование расходного материала],MATCH(Расходка[[#This Row],[№]],Поиск_расходки[Индекс13],0)),"")</f>
        <v>DES, NanoMed</v>
      </c>
      <c r="AF47" s="4" t="s">
        <v>6</v>
      </c>
      <c r="AG47" s="4" t="s">
        <v>447</v>
      </c>
    </row>
    <row r="48" spans="1:33" x14ac:dyDescent="0.25">
      <c r="A48">
        <v>47</v>
      </c>
      <c r="B48" t="s">
        <v>6</v>
      </c>
      <c r="C48" s="132" t="s">
        <v>324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1</v>
      </c>
      <c r="K48" s="117">
        <f>IF(ISNUMBER(SEARCH('Карта учёта'!$B$19,Расходка[[#This Row],[Наименование расходного материала]])),MAX($K$1:K47)+1,0)</f>
        <v>1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48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48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48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48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48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48" s="4" t="s">
        <v>6</v>
      </c>
      <c r="AG48" s="4" t="s">
        <v>448</v>
      </c>
    </row>
    <row r="49" spans="1:33" x14ac:dyDescent="0.25">
      <c r="A49">
        <v>48</v>
      </c>
      <c r="B49" t="s">
        <v>6</v>
      </c>
      <c r="C49" t="s">
        <v>358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49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49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49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49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49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49" s="4" t="s">
        <v>6</v>
      </c>
      <c r="AG49" s="4" t="s">
        <v>449</v>
      </c>
    </row>
    <row r="50" spans="1:33" x14ac:dyDescent="0.25">
      <c r="A50">
        <v>49</v>
      </c>
      <c r="B50" t="s">
        <v>6</v>
      </c>
      <c r="C50" s="165" t="s">
        <v>390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DES, Firehawk</v>
      </c>
      <c r="Z50" s="116" t="str">
        <f>IFERROR(INDEX(Расходка[Наименование расходного материала],MATCH(Расходка[[#This Row],[№]],Поиск_расходки[Индекс9],0)),"")</f>
        <v>DES, Firehawk</v>
      </c>
      <c r="AA50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0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0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0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0" s="4" t="s">
        <v>6</v>
      </c>
      <c r="AG50" s="4" t="s">
        <v>450</v>
      </c>
    </row>
    <row r="51" spans="1:33" x14ac:dyDescent="0.25">
      <c r="A51">
        <v>50</v>
      </c>
      <c r="B51" t="s">
        <v>6</v>
      </c>
      <c r="C51" t="s">
        <v>389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1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1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1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1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1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1" s="4" t="s">
        <v>6</v>
      </c>
      <c r="AG51" s="4" t="s">
        <v>451</v>
      </c>
    </row>
    <row r="52" spans="1:33" x14ac:dyDescent="0.25">
      <c r="A52">
        <v>51</v>
      </c>
      <c r="B52" t="s">
        <v>95</v>
      </c>
      <c r="C52" s="1" t="s">
        <v>325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2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2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2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2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2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2" s="4" t="s">
        <v>6</v>
      </c>
      <c r="AG52" s="4" t="s">
        <v>452</v>
      </c>
    </row>
    <row r="53" spans="1:33" x14ac:dyDescent="0.25">
      <c r="A53">
        <v>52</v>
      </c>
      <c r="B53" t="s">
        <v>95</v>
      </c>
      <c r="C53" s="1" t="s">
        <v>344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0</v>
      </c>
      <c r="K53" s="117">
        <f>IF(ISNUMBER(SEARCH('Карта учёта'!$B$19,Расходка[[#This Row],[Наименование расходного материала]])),MAX($K$1:K52)+1,0)</f>
        <v>0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3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3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3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3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3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3" s="4" t="s">
        <v>6</v>
      </c>
      <c r="AG53" s="4" t="s">
        <v>453</v>
      </c>
    </row>
    <row r="54" spans="1:33" x14ac:dyDescent="0.25">
      <c r="A54">
        <v>53</v>
      </c>
      <c r="B54" t="s">
        <v>4</v>
      </c>
      <c r="C54" t="s">
        <v>351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4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4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4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4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4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4" s="4" t="s">
        <v>6</v>
      </c>
      <c r="AG54" s="4" t="s">
        <v>454</v>
      </c>
    </row>
    <row r="55" spans="1:33" x14ac:dyDescent="0.25">
      <c r="A55">
        <v>54</v>
      </c>
      <c r="B55" t="s">
        <v>4</v>
      </c>
      <c r="C55" t="s">
        <v>352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55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55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55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55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55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55" s="4" t="s">
        <v>6</v>
      </c>
      <c r="AG55" s="4" t="s">
        <v>455</v>
      </c>
    </row>
    <row r="56" spans="1:33" x14ac:dyDescent="0.25">
      <c r="A56">
        <v>55</v>
      </c>
      <c r="B56" t="s">
        <v>4</v>
      </c>
      <c r="C56" t="s">
        <v>326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1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56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56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56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56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56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56" s="4" t="s">
        <v>6</v>
      </c>
      <c r="AG56" s="4" t="s">
        <v>456</v>
      </c>
    </row>
    <row r="57" spans="1:33" x14ac:dyDescent="0.25">
      <c r="A57">
        <v>56</v>
      </c>
      <c r="B57" t="s">
        <v>4</v>
      </c>
      <c r="C57" t="s">
        <v>327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57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57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57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57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57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57" s="4" t="s">
        <v>6</v>
      </c>
      <c r="AG57" s="4" t="s">
        <v>457</v>
      </c>
    </row>
    <row r="58" spans="1:33" x14ac:dyDescent="0.25">
      <c r="A58">
        <v>57</v>
      </c>
      <c r="B58" t="s">
        <v>4</v>
      </c>
      <c r="C58" t="s">
        <v>328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58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58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58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58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58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58" s="4" t="s">
        <v>6</v>
      </c>
      <c r="AG58" s="4" t="s">
        <v>458</v>
      </c>
    </row>
    <row r="59" spans="1:33" x14ac:dyDescent="0.25">
      <c r="A59">
        <v>58</v>
      </c>
      <c r="B59" t="s">
        <v>4</v>
      </c>
      <c r="C59" t="s">
        <v>329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59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59" s="4" t="s">
        <v>6</v>
      </c>
      <c r="AG59" s="4" t="s">
        <v>459</v>
      </c>
    </row>
    <row r="60" spans="1:33" x14ac:dyDescent="0.25">
      <c r="A60">
        <v>59</v>
      </c>
      <c r="B60" t="s">
        <v>4</v>
      </c>
      <c r="C60" t="s">
        <v>335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0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0" s="4" t="s">
        <v>6</v>
      </c>
      <c r="AG60" s="4" t="s">
        <v>460</v>
      </c>
    </row>
    <row r="61" spans="1:33" x14ac:dyDescent="0.25">
      <c r="A61">
        <v>60</v>
      </c>
      <c r="B61" t="s">
        <v>4</v>
      </c>
      <c r="C61" t="s">
        <v>330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1" s="4" t="s">
        <v>6</v>
      </c>
      <c r="AG61" s="4" t="s">
        <v>421</v>
      </c>
    </row>
    <row r="62" spans="1:33" x14ac:dyDescent="0.25">
      <c r="A62">
        <v>61</v>
      </c>
      <c r="B62" t="s">
        <v>4</v>
      </c>
      <c r="C62" t="s">
        <v>331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JR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JR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JR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JR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JR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JR 4.0</v>
      </c>
      <c r="AF62" s="4" t="s">
        <v>6</v>
      </c>
      <c r="AG62" s="4" t="s">
        <v>461</v>
      </c>
    </row>
    <row r="63" spans="1:33" x14ac:dyDescent="0.25">
      <c r="A63">
        <v>62</v>
      </c>
      <c r="B63" t="s">
        <v>4</v>
      </c>
      <c r="C63" t="s">
        <v>341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7F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7F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7F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7F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7F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7F JL 3.5</v>
      </c>
      <c r="AF63" s="4" t="s">
        <v>6</v>
      </c>
      <c r="AG63" s="4" t="s">
        <v>462</v>
      </c>
    </row>
    <row r="64" spans="1:33" x14ac:dyDescent="0.25">
      <c r="A64">
        <v>63</v>
      </c>
      <c r="B64" t="s">
        <v>4</v>
      </c>
      <c r="C64" t="s">
        <v>340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7F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7F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7F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7F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7F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7F JL 4.0</v>
      </c>
      <c r="AF64" s="4" t="s">
        <v>6</v>
      </c>
      <c r="AG64" s="4" t="s">
        <v>463</v>
      </c>
    </row>
    <row r="65" spans="1:33" x14ac:dyDescent="0.25">
      <c r="A65">
        <v>64</v>
      </c>
      <c r="B65" t="s">
        <v>301</v>
      </c>
      <c r="C65" s="1" t="s">
        <v>332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Angio-Seal™ VIP</v>
      </c>
      <c r="Z65" s="116" t="str">
        <f>IFERROR(INDEX(Расходка[Наименование расходного материала],MATCH(Расходка[[#This Row],[№]],Поиск_расходки[Индекс9],0)),"")</f>
        <v>Angio-Seal™ VIP</v>
      </c>
      <c r="AA65" s="116" t="str">
        <f>IFERROR(INDEX(Расходка[Наименование расходного материала],MATCH(Расходка[[#This Row],[№]],Поиск_расходки[Индекс10],0)),"")</f>
        <v>Angio-Seal™ VIP</v>
      </c>
      <c r="AB65" s="116" t="str">
        <f>IFERROR(INDEX(Расходка[Наименование расходного материала],MATCH(Расходка[[#This Row],[№]],Поиск_расходки[Индекс11],0)),"")</f>
        <v>Angio-Seal™ VIP</v>
      </c>
      <c r="AC65" s="116" t="str">
        <f>IFERROR(INDEX(Расходка[Наименование расходного материала],MATCH(Расходка[[#This Row],[№]],Поиск_расходки[Индекс12],0)),"")</f>
        <v>Angio-Seal™ VIP</v>
      </c>
      <c r="AD65" s="116" t="str">
        <f>IFERROR(INDEX(Расходка[Наименование расходного материала],MATCH(Расходка[[#This Row],[№]],Поиск_расходки[Индекс13],0)),"")</f>
        <v>Angio-Seal™ VIP</v>
      </c>
      <c r="AF65" s="4" t="s">
        <v>6</v>
      </c>
      <c r="AG65" s="4" t="s">
        <v>464</v>
      </c>
    </row>
    <row r="66" spans="1:33" x14ac:dyDescent="0.25">
      <c r="A66">
        <v>65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0</v>
      </c>
      <c r="M66" s="117">
        <f>IF(ISNUMBER(SEARCH('Карта учёта'!$B$21,Расходка[[#This Row],[Наименование расходного материала]])),MAX($M$1:M65)+1,0)</f>
        <v>0</v>
      </c>
      <c r="N66" s="117">
        <f>IF(ISNUMBER(SEARCH('Карта учёта'!$B$22,Расходка[[#This Row],[Наименование расходного материала]])),MAX($N$1:N65)+1,0)</f>
        <v>0</v>
      </c>
      <c r="O66" s="117">
        <f>IF(ISNUMBER(SEARCH('Карта учёта'!$B$23,Расходка[[#This Row],[Наименование расходного материала]])),MAX($O$1:O65)+1,0)</f>
        <v>0</v>
      </c>
      <c r="P66" s="117">
        <f>IF(ISNUMBER(SEARCH('Карта учёта'!$B$24,Расходка[[#This Row],[Наименование расходного материала]])),MAX($P$1:P65)+1,0)</f>
        <v>0</v>
      </c>
      <c r="Q66" s="117">
        <f>IF(ISNUMBER(SEARCH('Карта учёта'!$B$25,Расходка[[#This Row],[Наименование расходного материала]])),MAX($Q$1:Q65)+1,0)</f>
        <v>0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/>
      </c>
      <c r="Z66" s="116" t="str">
        <f>IFERROR(INDEX(Расходка[Наименование расходного материала],MATCH(Расходка[[#This Row],[№]],Поиск_расходки[Индекс9],0)),"")</f>
        <v/>
      </c>
      <c r="AA66" s="116" t="str">
        <f>IFERROR(INDEX(Расходка[Наименование расходного материала],MATCH(Расходка[[#This Row],[№]],Поиск_расходки[Индекс10],0)),"")</f>
        <v/>
      </c>
      <c r="AB66" s="116" t="str">
        <f>IFERROR(INDEX(Расходка[Наименование расходного материала],MATCH(Расходка[[#This Row],[№]],Поиск_расходки[Индекс11],0)),"")</f>
        <v/>
      </c>
      <c r="AC66" s="116" t="str">
        <f>IFERROR(INDEX(Расходка[Наименование расходного материала],MATCH(Расходка[[#This Row],[№]],Поиск_расходки[Индекс12],0)),"")</f>
        <v/>
      </c>
      <c r="AD66" s="116" t="str">
        <f>IFERROR(INDEX(Расходка[Наименование расходного материала],MATCH(Расходка[[#This Row],[№]],Поиск_расходки[Индекс13],0)),"")</f>
        <v/>
      </c>
      <c r="AF66" s="4" t="s">
        <v>6</v>
      </c>
      <c r="AG66" s="4" t="s">
        <v>465</v>
      </c>
    </row>
    <row r="67" spans="1:33" x14ac:dyDescent="0.25">
      <c r="E67" s="202">
        <f>IF(ISNUMBER(SEARCH('Карта учёта'!$B$13,Расходка[[#This Row],[Наименование расходного материала]])),MAX($E$1:E66)+1,0)</f>
        <v>0</v>
      </c>
      <c r="F67" s="202">
        <f>IF(ISNUMBER(SEARCH('Карта учёта'!$B$14,Расходка[[#This Row],[Наименование расходного материала]])),MAX($F$1:F66)+1,0)</f>
        <v>0</v>
      </c>
      <c r="G67" s="202">
        <f>IF(ISNUMBER(SEARCH('Карта учёта'!$B$15,Расходка[[#This Row],[Наименование расходного материала]])),MAX($G$1:G66)+1,0)</f>
        <v>0</v>
      </c>
      <c r="H67" s="202">
        <f>IF(ISNUMBER(SEARCH('Карта учёта'!$B$16,Расходка[[#This Row],[Наименование расходного материала]])),MAX($H$1:H66)+1,0)</f>
        <v>0</v>
      </c>
      <c r="I67" s="202">
        <f>IF(ISNUMBER(SEARCH('Карта учёта'!$B$17,Расходка[[#This Row],[Наименование расходного материала]])),MAX($I$1:I66)+1,0)</f>
        <v>0</v>
      </c>
      <c r="J67" s="202">
        <f>IF(ISNUMBER(SEARCH('Карта учёта'!$B$18,Расходка[[#This Row],[Наименование расходного материала]])),MAX($J$1:J66)+1,0)</f>
        <v>0</v>
      </c>
      <c r="K67" s="202">
        <f>IF(ISNUMBER(SEARCH('Карта учёта'!$B$19,Расходка[[#This Row],[Наименование расходного материала]])),MAX($K$1:K66)+1,0)</f>
        <v>0</v>
      </c>
      <c r="L67" s="202">
        <f>IF(ISNUMBER(SEARCH('Карта учёта'!$B$20,Расходка[[#This Row],[Наименование расходного материала]])),MAX($L$1:L66)+1,0)</f>
        <v>0</v>
      </c>
      <c r="M67" s="202">
        <f>IF(ISNUMBER(SEARCH('Карта учёта'!$B$21,Расходка[[#This Row],[Наименование расходного материала]])),MAX($M$1:M66)+1,0)</f>
        <v>0</v>
      </c>
      <c r="N67" s="202">
        <f>IF(ISNUMBER(SEARCH('Карта учёта'!$B$22,Расходка[[#This Row],[Наименование расходного материала]])),MAX($N$1:N66)+1,0)</f>
        <v>0</v>
      </c>
      <c r="O67" s="202">
        <f>IF(ISNUMBER(SEARCH('Карта учёта'!$B$23,Расходка[[#This Row],[Наименование расходного материала]])),MAX($O$1:O66)+1,0)</f>
        <v>0</v>
      </c>
      <c r="P67" s="202">
        <f>IF(ISNUMBER(SEARCH('Карта учёта'!$B$24,Расходка[[#This Row],[Наименование расходного материала]])),MAX($P$1:P66)+1,0)</f>
        <v>0</v>
      </c>
      <c r="Q67" s="202">
        <f>IF(ISNUMBER(SEARCH('Карта учёта'!$B$25,Расходка[[#This Row],[Наименование расходного материала]])),MAX($Q$1:Q66)+1,0)</f>
        <v>0</v>
      </c>
      <c r="R67" s="203" t="str">
        <f>IFERROR(INDEX(Расходка[Наименование расходного материала],MATCH(Расходка[[#This Row],[№]],Поиск_расходки[Индекс1],0)),"")</f>
        <v/>
      </c>
      <c r="S67" s="203" t="str">
        <f>IFERROR(INDEX(Расходка[Наименование расходного материала],MATCH(Расходка[[#This Row],[№]],Поиск_расходки[Индекс2],0)),"")</f>
        <v/>
      </c>
      <c r="T67" s="203" t="str">
        <f>IFERROR(INDEX(Расходка[Наименование расходного материала],MATCH(Расходка[[#This Row],[№]],Поиск_расходки[Индекс3],0)),"")</f>
        <v/>
      </c>
      <c r="U67" s="203" t="str">
        <f>IFERROR(INDEX(Расходка[Наименование расходного материала],MATCH(Расходка[[#This Row],[№]],Поиск_расходки[Индекс4],0)),"")</f>
        <v/>
      </c>
      <c r="V67" s="203" t="str">
        <f>IFERROR(INDEX(Расходка[Наименование расходного материала],MATCH(Расходка[[#This Row],[№]],Поиск_расходки[Индекс5],0)),"")</f>
        <v/>
      </c>
      <c r="W67" s="203" t="str">
        <f>IFERROR(INDEX(Расходка[Наименование расходного материала],MATCH(Расходка[[#This Row],[№]],Поиск_расходки[Индекс6],0)),"")</f>
        <v/>
      </c>
      <c r="X67" s="203" t="str">
        <f>IFERROR(INDEX(Расходка[Наименование расходного материала],MATCH(Расходка[[#This Row],[№]],Поиск_расходки[Индекс7],0)),"")</f>
        <v/>
      </c>
      <c r="Y67" s="203" t="str">
        <f>IFERROR(INDEX(Расходка[Наименование расходного материала],MATCH(Расходка[[#This Row],[№]],Поиск_расходки[Индекс8],0)),"")</f>
        <v/>
      </c>
      <c r="Z67" s="203" t="str">
        <f>IFERROR(INDEX(Расходка[Наименование расходного материала],MATCH(Расходка[[#This Row],[№]],Поиск_расходки[Индекс9],0)),"")</f>
        <v/>
      </c>
      <c r="AA67" s="203" t="str">
        <f>IFERROR(INDEX(Расходка[Наименование расходного материала],MATCH(Расходка[[#This Row],[№]],Поиск_расходки[Индекс10],0)),"")</f>
        <v/>
      </c>
      <c r="AB67" s="203" t="str">
        <f>IFERROR(INDEX(Расходка[Наименование расходного материала],MATCH(Расходка[[#This Row],[№]],Поиск_расходки[Индекс11],0)),"")</f>
        <v/>
      </c>
      <c r="AC67" s="203" t="str">
        <f>IFERROR(INDEX(Расходка[Наименование расходного материала],MATCH(Расходка[[#This Row],[№]],Поиск_расходки[Индекс12],0)),"")</f>
        <v/>
      </c>
      <c r="AD67" s="203" t="str">
        <f>IFERROR(INDEX(Расходка[Наименование расходного материала],MATCH(Расходка[[#This Row],[№]],Поиск_расходки[Индекс13],0)),"")</f>
        <v/>
      </c>
      <c r="AF67" s="4" t="s">
        <v>6</v>
      </c>
      <c r="AG67" s="4" t="s">
        <v>466</v>
      </c>
    </row>
    <row r="68" spans="1:33" x14ac:dyDescent="0.25">
      <c r="E68" s="202">
        <f>IF(ISNUMBER(SEARCH('Карта учёта'!$B$13,Расходка[[#This Row],[Наименование расходного материала]])),MAX($E$1:E67)+1,0)</f>
        <v>0</v>
      </c>
      <c r="F68" s="202">
        <f>IF(ISNUMBER(SEARCH('Карта учёта'!$B$14,Расходка[[#This Row],[Наименование расходного материала]])),MAX($F$1:F67)+1,0)</f>
        <v>0</v>
      </c>
      <c r="G68" s="202">
        <f>IF(ISNUMBER(SEARCH('Карта учёта'!$B$15,Расходка[[#This Row],[Наименование расходного материала]])),MAX($G$1:G67)+1,0)</f>
        <v>0</v>
      </c>
      <c r="H68" s="202">
        <f>IF(ISNUMBER(SEARCH('Карта учёта'!$B$16,Расходка[[#This Row],[Наименование расходного материала]])),MAX($H$1:H67)+1,0)</f>
        <v>0</v>
      </c>
      <c r="I68" s="202">
        <f>IF(ISNUMBER(SEARCH('Карта учёта'!$B$17,Расходка[[#This Row],[Наименование расходного материала]])),MAX($I$1:I67)+1,0)</f>
        <v>0</v>
      </c>
      <c r="J68" s="202">
        <f>IF(ISNUMBER(SEARCH('Карта учёта'!$B$18,Расходка[[#This Row],[Наименование расходного материала]])),MAX($J$1:J67)+1,0)</f>
        <v>0</v>
      </c>
      <c r="K68" s="202">
        <f>IF(ISNUMBER(SEARCH('Карта учёта'!$B$19,Расходка[[#This Row],[Наименование расходного материала]])),MAX($K$1:K67)+1,0)</f>
        <v>0</v>
      </c>
      <c r="L68" s="202">
        <f>IF(ISNUMBER(SEARCH('Карта учёта'!$B$20,Расходка[[#This Row],[Наименование расходного материала]])),MAX($L$1:L67)+1,0)</f>
        <v>0</v>
      </c>
      <c r="M68" s="202">
        <f>IF(ISNUMBER(SEARCH('Карта учёта'!$B$21,Расходка[[#This Row],[Наименование расходного материала]])),MAX($M$1:M67)+1,0)</f>
        <v>0</v>
      </c>
      <c r="N68" s="202">
        <f>IF(ISNUMBER(SEARCH('Карта учёта'!$B$22,Расходка[[#This Row],[Наименование расходного материала]])),MAX($N$1:N67)+1,0)</f>
        <v>0</v>
      </c>
      <c r="O68" s="202">
        <f>IF(ISNUMBER(SEARCH('Карта учёта'!$B$23,Расходка[[#This Row],[Наименование расходного материала]])),MAX($O$1:O67)+1,0)</f>
        <v>0</v>
      </c>
      <c r="P68" s="202">
        <f>IF(ISNUMBER(SEARCH('Карта учёта'!$B$24,Расходка[[#This Row],[Наименование расходного материала]])),MAX($P$1:P67)+1,0)</f>
        <v>0</v>
      </c>
      <c r="Q68" s="202">
        <f>IF(ISNUMBER(SEARCH('Карта учёта'!$B$25,Расходка[[#This Row],[Наименование расходного материала]])),MAX($Q$1:Q67)+1,0)</f>
        <v>0</v>
      </c>
      <c r="R68" s="203" t="str">
        <f>IFERROR(INDEX(Расходка[Наименование расходного материала],MATCH(Расходка[[#This Row],[№]],Поиск_расходки[Индекс1],0)),"")</f>
        <v/>
      </c>
      <c r="S68" s="203" t="str">
        <f>IFERROR(INDEX(Расходка[Наименование расходного материала],MATCH(Расходка[[#This Row],[№]],Поиск_расходки[Индекс2],0)),"")</f>
        <v/>
      </c>
      <c r="T68" s="203" t="str">
        <f>IFERROR(INDEX(Расходка[Наименование расходного материала],MATCH(Расходка[[#This Row],[№]],Поиск_расходки[Индекс3],0)),"")</f>
        <v/>
      </c>
      <c r="U68" s="203" t="str">
        <f>IFERROR(INDEX(Расходка[Наименование расходного материала],MATCH(Расходка[[#This Row],[№]],Поиск_расходки[Индекс4],0)),"")</f>
        <v/>
      </c>
      <c r="V68" s="203" t="str">
        <f>IFERROR(INDEX(Расходка[Наименование расходного материала],MATCH(Расходка[[#This Row],[№]],Поиск_расходки[Индекс5],0)),"")</f>
        <v/>
      </c>
      <c r="W68" s="203" t="str">
        <f>IFERROR(INDEX(Расходка[Наименование расходного материала],MATCH(Расходка[[#This Row],[№]],Поиск_расходки[Индекс6],0)),"")</f>
        <v/>
      </c>
      <c r="X68" s="203" t="str">
        <f>IFERROR(INDEX(Расходка[Наименование расходного материала],MATCH(Расходка[[#This Row],[№]],Поиск_расходки[Индекс7],0)),"")</f>
        <v/>
      </c>
      <c r="Y68" s="203" t="str">
        <f>IFERROR(INDEX(Расходка[Наименование расходного материала],MATCH(Расходка[[#This Row],[№]],Поиск_расходки[Индекс8],0)),"")</f>
        <v/>
      </c>
      <c r="Z68" s="203" t="str">
        <f>IFERROR(INDEX(Расходка[Наименование расходного материала],MATCH(Расходка[[#This Row],[№]],Поиск_расходки[Индекс9],0)),"")</f>
        <v/>
      </c>
      <c r="AA68" s="203" t="str">
        <f>IFERROR(INDEX(Расходка[Наименование расходного материала],MATCH(Расходка[[#This Row],[№]],Поиск_расходки[Индекс10],0)),"")</f>
        <v/>
      </c>
      <c r="AB68" s="203" t="str">
        <f>IFERROR(INDEX(Расходка[Наименование расходного материала],MATCH(Расходка[[#This Row],[№]],Поиск_расходки[Индекс11],0)),"")</f>
        <v/>
      </c>
      <c r="AC68" s="203" t="str">
        <f>IFERROR(INDEX(Расходка[Наименование расходного материала],MATCH(Расходка[[#This Row],[№]],Поиск_расходки[Индекс12],0)),"")</f>
        <v/>
      </c>
      <c r="AD68" s="203" t="str">
        <f>IFERROR(INDEX(Расходка[Наименование расходного материала],MATCH(Расходка[[#This Row],[№]],Поиск_расходки[Индекс13],0)),"")</f>
        <v/>
      </c>
      <c r="AF68" s="4" t="s">
        <v>6</v>
      </c>
      <c r="AG68" s="4" t="s">
        <v>467</v>
      </c>
    </row>
    <row r="69" spans="1:33" x14ac:dyDescent="0.25">
      <c r="E69" s="202">
        <f>IF(ISNUMBER(SEARCH('Карта учёта'!$B$13,Расходка[[#This Row],[Наименование расходного материала]])),MAX($E$1:E68)+1,0)</f>
        <v>0</v>
      </c>
      <c r="F69" s="202">
        <f>IF(ISNUMBER(SEARCH('Карта учёта'!$B$14,Расходка[[#This Row],[Наименование расходного материала]])),MAX($F$1:F68)+1,0)</f>
        <v>0</v>
      </c>
      <c r="G69" s="202">
        <f>IF(ISNUMBER(SEARCH('Карта учёта'!$B$15,Расходка[[#This Row],[Наименование расходного материала]])),MAX($G$1:G68)+1,0)</f>
        <v>0</v>
      </c>
      <c r="H69" s="202">
        <f>IF(ISNUMBER(SEARCH('Карта учёта'!$B$16,Расходка[[#This Row],[Наименование расходного материала]])),MAX($H$1:H68)+1,0)</f>
        <v>0</v>
      </c>
      <c r="I69" s="202">
        <f>IF(ISNUMBER(SEARCH('Карта учёта'!$B$17,Расходка[[#This Row],[Наименование расходного материала]])),MAX($I$1:I68)+1,0)</f>
        <v>0</v>
      </c>
      <c r="J69" s="202">
        <f>IF(ISNUMBER(SEARCH('Карта учёта'!$B$18,Расходка[[#This Row],[Наименование расходного материала]])),MAX($J$1:J68)+1,0)</f>
        <v>0</v>
      </c>
      <c r="K69" s="202">
        <f>IF(ISNUMBER(SEARCH('Карта учёта'!$B$19,Расходка[[#This Row],[Наименование расходного материала]])),MAX($K$1:K68)+1,0)</f>
        <v>0</v>
      </c>
      <c r="L69" s="202">
        <f>IF(ISNUMBER(SEARCH('Карта учёта'!$B$20,Расходка[[#This Row],[Наименование расходного материала]])),MAX($L$1:L68)+1,0)</f>
        <v>0</v>
      </c>
      <c r="M69" s="202">
        <f>IF(ISNUMBER(SEARCH('Карта учёта'!$B$21,Расходка[[#This Row],[Наименование расходного материала]])),MAX($M$1:M68)+1,0)</f>
        <v>0</v>
      </c>
      <c r="N69" s="202">
        <f>IF(ISNUMBER(SEARCH('Карта учёта'!$B$22,Расходка[[#This Row],[Наименование расходного материала]])),MAX($N$1:N68)+1,0)</f>
        <v>0</v>
      </c>
      <c r="O69" s="202">
        <f>IF(ISNUMBER(SEARCH('Карта учёта'!$B$23,Расходка[[#This Row],[Наименование расходного материала]])),MAX($O$1:O68)+1,0)</f>
        <v>0</v>
      </c>
      <c r="P69" s="202">
        <f>IF(ISNUMBER(SEARCH('Карта учёта'!$B$24,Расходка[[#This Row],[Наименование расходного материала]])),MAX($P$1:P68)+1,0)</f>
        <v>0</v>
      </c>
      <c r="Q69" s="202">
        <f>IF(ISNUMBER(SEARCH('Карта учёта'!$B$25,Расходка[[#This Row],[Наименование расходного материала]])),MAX($Q$1:Q68)+1,0)</f>
        <v>0</v>
      </c>
      <c r="R69" s="203" t="str">
        <f>IFERROR(INDEX(Расходка[Наименование расходного материала],MATCH(Расходка[[#This Row],[№]],Поиск_расходки[Индекс1],0)),"")</f>
        <v/>
      </c>
      <c r="S69" s="203" t="str">
        <f>IFERROR(INDEX(Расходка[Наименование расходного материала],MATCH(Расходка[[#This Row],[№]],Поиск_расходки[Индекс2],0)),"")</f>
        <v/>
      </c>
      <c r="T69" s="203" t="str">
        <f>IFERROR(INDEX(Расходка[Наименование расходного материала],MATCH(Расходка[[#This Row],[№]],Поиск_расходки[Индекс3],0)),"")</f>
        <v/>
      </c>
      <c r="U69" s="203" t="str">
        <f>IFERROR(INDEX(Расходка[Наименование расходного материала],MATCH(Расходка[[#This Row],[№]],Поиск_расходки[Индекс4],0)),"")</f>
        <v/>
      </c>
      <c r="V69" s="203" t="str">
        <f>IFERROR(INDEX(Расходка[Наименование расходного материала],MATCH(Расходка[[#This Row],[№]],Поиск_расходки[Индекс5],0)),"")</f>
        <v/>
      </c>
      <c r="W69" s="203" t="str">
        <f>IFERROR(INDEX(Расходка[Наименование расходного материала],MATCH(Расходка[[#This Row],[№]],Поиск_расходки[Индекс6],0)),"")</f>
        <v/>
      </c>
      <c r="X69" s="203" t="str">
        <f>IFERROR(INDEX(Расходка[Наименование расходного материала],MATCH(Расходка[[#This Row],[№]],Поиск_расходки[Индекс7],0)),"")</f>
        <v/>
      </c>
      <c r="Y69" s="203" t="str">
        <f>IFERROR(INDEX(Расходка[Наименование расходного материала],MATCH(Расходка[[#This Row],[№]],Поиск_расходки[Индекс8],0)),"")</f>
        <v/>
      </c>
      <c r="Z69" s="203" t="str">
        <f>IFERROR(INDEX(Расходка[Наименование расходного материала],MATCH(Расходка[[#This Row],[№]],Поиск_расходки[Индекс9],0)),"")</f>
        <v/>
      </c>
      <c r="AA69" s="203" t="str">
        <f>IFERROR(INDEX(Расходка[Наименование расходного материала],MATCH(Расходка[[#This Row],[№]],Поиск_расходки[Индекс10],0)),"")</f>
        <v/>
      </c>
      <c r="AB69" s="203" t="str">
        <f>IFERROR(INDEX(Расходка[Наименование расходного материала],MATCH(Расходка[[#This Row],[№]],Поиск_расходки[Индекс11],0)),"")</f>
        <v/>
      </c>
      <c r="AC69" s="203" t="str">
        <f>IFERROR(INDEX(Расходка[Наименование расходного материала],MATCH(Расходка[[#This Row],[№]],Поиск_расходки[Индекс12],0)),"")</f>
        <v/>
      </c>
      <c r="AD69" s="203" t="str">
        <f>IFERROR(INDEX(Расходка[Наименование расходного материала],MATCH(Расходка[[#This Row],[№]],Поиск_расходки[Индекс13],0)),"")</f>
        <v/>
      </c>
      <c r="AF69" s="4" t="s">
        <v>6</v>
      </c>
      <c r="AG69" s="4" t="s">
        <v>468</v>
      </c>
    </row>
    <row r="70" spans="1:33" x14ac:dyDescent="0.25">
      <c r="E70" s="202">
        <f>IF(ISNUMBER(SEARCH('Карта учёта'!$B$13,Расходка[[#This Row],[Наименование расходного материала]])),MAX($E$1:E69)+1,0)</f>
        <v>0</v>
      </c>
      <c r="F70" s="202">
        <f>IF(ISNUMBER(SEARCH('Карта учёта'!$B$14,Расходка[[#This Row],[Наименование расходного материала]])),MAX($F$1:F69)+1,0)</f>
        <v>0</v>
      </c>
      <c r="G70" s="202">
        <f>IF(ISNUMBER(SEARCH('Карта учёта'!$B$15,Расходка[[#This Row],[Наименование расходного материала]])),MAX($G$1:G69)+1,0)</f>
        <v>0</v>
      </c>
      <c r="H70" s="202">
        <f>IF(ISNUMBER(SEARCH('Карта учёта'!$B$16,Расходка[[#This Row],[Наименование расходного материала]])),MAX($H$1:H69)+1,0)</f>
        <v>0</v>
      </c>
      <c r="I70" s="202">
        <f>IF(ISNUMBER(SEARCH('Карта учёта'!$B$17,Расходка[[#This Row],[Наименование расходного материала]])),MAX($I$1:I69)+1,0)</f>
        <v>0</v>
      </c>
      <c r="J70" s="202">
        <f>IF(ISNUMBER(SEARCH('Карта учёта'!$B$18,Расходка[[#This Row],[Наименование расходного материала]])),MAX($J$1:J69)+1,0)</f>
        <v>0</v>
      </c>
      <c r="K70" s="202">
        <f>IF(ISNUMBER(SEARCH('Карта учёта'!$B$19,Расходка[[#This Row],[Наименование расходного материала]])),MAX($K$1:K69)+1,0)</f>
        <v>0</v>
      </c>
      <c r="L70" s="202">
        <f>IF(ISNUMBER(SEARCH('Карта учёта'!$B$20,Расходка[[#This Row],[Наименование расходного материала]])),MAX($L$1:L69)+1,0)</f>
        <v>0</v>
      </c>
      <c r="M70" s="202">
        <f>IF(ISNUMBER(SEARCH('Карта учёта'!$B$21,Расходка[[#This Row],[Наименование расходного материала]])),MAX($M$1:M69)+1,0)</f>
        <v>0</v>
      </c>
      <c r="N70" s="202">
        <f>IF(ISNUMBER(SEARCH('Карта учёта'!$B$22,Расходка[[#This Row],[Наименование расходного материала]])),MAX($N$1:N69)+1,0)</f>
        <v>0</v>
      </c>
      <c r="O70" s="202">
        <f>IF(ISNUMBER(SEARCH('Карта учёта'!$B$23,Расходка[[#This Row],[Наименование расходного материала]])),MAX($O$1:O69)+1,0)</f>
        <v>0</v>
      </c>
      <c r="P70" s="202">
        <f>IF(ISNUMBER(SEARCH('Карта учёта'!$B$24,Расходка[[#This Row],[Наименование расходного материала]])),MAX($P$1:P69)+1,0)</f>
        <v>0</v>
      </c>
      <c r="Q70" s="202">
        <f>IF(ISNUMBER(SEARCH('Карта учёта'!$B$25,Расходка[[#This Row],[Наименование расходного материала]])),MAX($Q$1:Q69)+1,0)</f>
        <v>0</v>
      </c>
      <c r="R70" s="203" t="str">
        <f>IFERROR(INDEX(Расходка[Наименование расходного материала],MATCH(Расходка[[#This Row],[№]],Поиск_расходки[Индекс1],0)),"")</f>
        <v/>
      </c>
      <c r="S70" s="203" t="str">
        <f>IFERROR(INDEX(Расходка[Наименование расходного материала],MATCH(Расходка[[#This Row],[№]],Поиск_расходки[Индекс2],0)),"")</f>
        <v/>
      </c>
      <c r="T70" s="203" t="str">
        <f>IFERROR(INDEX(Расходка[Наименование расходного материала],MATCH(Расходка[[#This Row],[№]],Поиск_расходки[Индекс3],0)),"")</f>
        <v/>
      </c>
      <c r="U70" s="203" t="str">
        <f>IFERROR(INDEX(Расходка[Наименование расходного материала],MATCH(Расходка[[#This Row],[№]],Поиск_расходки[Индекс4],0)),"")</f>
        <v/>
      </c>
      <c r="V70" s="203" t="str">
        <f>IFERROR(INDEX(Расходка[Наименование расходного материала],MATCH(Расходка[[#This Row],[№]],Поиск_расходки[Индекс5],0)),"")</f>
        <v/>
      </c>
      <c r="W70" s="203" t="str">
        <f>IFERROR(INDEX(Расходка[Наименование расходного материала],MATCH(Расходка[[#This Row],[№]],Поиск_расходки[Индекс6],0)),"")</f>
        <v/>
      </c>
      <c r="X70" s="203" t="str">
        <f>IFERROR(INDEX(Расходка[Наименование расходного материала],MATCH(Расходка[[#This Row],[№]],Поиск_расходки[Индекс7],0)),"")</f>
        <v/>
      </c>
      <c r="Y70" s="203" t="str">
        <f>IFERROR(INDEX(Расходка[Наименование расходного материала],MATCH(Расходка[[#This Row],[№]],Поиск_расходки[Индекс8],0)),"")</f>
        <v/>
      </c>
      <c r="Z70" s="203" t="str">
        <f>IFERROR(INDEX(Расходка[Наименование расходного материала],MATCH(Расходка[[#This Row],[№]],Поиск_расходки[Индекс9],0)),"")</f>
        <v/>
      </c>
      <c r="AA70" s="203" t="str">
        <f>IFERROR(INDEX(Расходка[Наименование расходного материала],MATCH(Расходка[[#This Row],[№]],Поиск_расходки[Индекс10],0)),"")</f>
        <v/>
      </c>
      <c r="AB70" s="203" t="str">
        <f>IFERROR(INDEX(Расходка[Наименование расходного материала],MATCH(Расходка[[#This Row],[№]],Поиск_расходки[Индекс11],0)),"")</f>
        <v/>
      </c>
      <c r="AC70" s="203" t="str">
        <f>IFERROR(INDEX(Расходка[Наименование расходного материала],MATCH(Расходка[[#This Row],[№]],Поиск_расходки[Индекс12],0)),"")</f>
        <v/>
      </c>
      <c r="AD70" s="203" t="str">
        <f>IFERROR(INDEX(Расходка[Наименование расходного материала],MATCH(Расходка[[#This Row],[№]],Поиск_расходки[Индекс13],0)),"")</f>
        <v/>
      </c>
      <c r="AF70" s="4" t="s">
        <v>6</v>
      </c>
      <c r="AG70" s="4" t="s">
        <v>469</v>
      </c>
    </row>
    <row r="71" spans="1:33" x14ac:dyDescent="0.25">
      <c r="AF71" s="4" t="s">
        <v>6</v>
      </c>
      <c r="AG71" s="4" t="s">
        <v>424</v>
      </c>
    </row>
    <row r="72" spans="1:33" x14ac:dyDescent="0.25">
      <c r="AF72" s="4" t="s">
        <v>6</v>
      </c>
      <c r="AG72" s="4" t="s">
        <v>470</v>
      </c>
    </row>
    <row r="73" spans="1:33" x14ac:dyDescent="0.25">
      <c r="AF73" s="4" t="s">
        <v>6</v>
      </c>
      <c r="AG73" s="4" t="s">
        <v>425</v>
      </c>
    </row>
    <row r="74" spans="1:33" x14ac:dyDescent="0.25">
      <c r="AF74" s="4" t="s">
        <v>6</v>
      </c>
      <c r="AG74" s="4" t="s">
        <v>471</v>
      </c>
    </row>
    <row r="75" spans="1:33" x14ac:dyDescent="0.25">
      <c r="AF75" s="4" t="s">
        <v>6</v>
      </c>
      <c r="AG75" s="4" t="s">
        <v>472</v>
      </c>
    </row>
    <row r="76" spans="1:33" x14ac:dyDescent="0.25">
      <c r="AF76" s="4" t="s">
        <v>6</v>
      </c>
      <c r="AG76" s="4" t="s">
        <v>473</v>
      </c>
    </row>
    <row r="77" spans="1:33" x14ac:dyDescent="0.25">
      <c r="AF77" s="4" t="s">
        <v>6</v>
      </c>
      <c r="AG77" s="4" t="s">
        <v>474</v>
      </c>
    </row>
    <row r="78" spans="1:33" x14ac:dyDescent="0.25">
      <c r="AF78" s="4" t="s">
        <v>6</v>
      </c>
      <c r="AG78" s="4" t="s">
        <v>475</v>
      </c>
    </row>
    <row r="79" spans="1:33" x14ac:dyDescent="0.25">
      <c r="AF79" s="4" t="s">
        <v>6</v>
      </c>
      <c r="AG79" s="4" t="s">
        <v>476</v>
      </c>
    </row>
    <row r="80" spans="1:33" x14ac:dyDescent="0.25">
      <c r="AF80" s="4" t="s">
        <v>6</v>
      </c>
      <c r="AG80" s="4" t="s">
        <v>477</v>
      </c>
    </row>
    <row r="81" spans="32:33" x14ac:dyDescent="0.25">
      <c r="AF81" s="4" t="s">
        <v>6</v>
      </c>
      <c r="AG81" s="4" t="s">
        <v>478</v>
      </c>
    </row>
    <row r="82" spans="32:33" x14ac:dyDescent="0.25">
      <c r="AF82" s="4" t="s">
        <v>6</v>
      </c>
      <c r="AG82" s="4" t="s">
        <v>479</v>
      </c>
    </row>
    <row r="83" spans="32:33" x14ac:dyDescent="0.25">
      <c r="AF83" s="4" t="s">
        <v>6</v>
      </c>
      <c r="AG83" s="4" t="s">
        <v>480</v>
      </c>
    </row>
    <row r="84" spans="32:33" x14ac:dyDescent="0.25">
      <c r="AF84" s="4" t="s">
        <v>6</v>
      </c>
      <c r="AG84" s="4" t="s">
        <v>431</v>
      </c>
    </row>
    <row r="85" spans="32:33" x14ac:dyDescent="0.25">
      <c r="AF85" s="4" t="s">
        <v>6</v>
      </c>
      <c r="AG85" s="4" t="s">
        <v>432</v>
      </c>
    </row>
    <row r="86" spans="32:33" x14ac:dyDescent="0.25">
      <c r="AF86" s="4" t="s">
        <v>6</v>
      </c>
      <c r="AG86" s="4" t="s">
        <v>481</v>
      </c>
    </row>
    <row r="87" spans="32:33" x14ac:dyDescent="0.25">
      <c r="AF87" s="4" t="s">
        <v>6</v>
      </c>
      <c r="AG87" s="4" t="s">
        <v>482</v>
      </c>
    </row>
    <row r="88" spans="32:33" x14ac:dyDescent="0.25">
      <c r="AF88" s="4" t="s">
        <v>6</v>
      </c>
      <c r="AG88" s="4" t="s">
        <v>483</v>
      </c>
    </row>
    <row r="89" spans="32:33" x14ac:dyDescent="0.25">
      <c r="AF89" s="4" t="s">
        <v>6</v>
      </c>
      <c r="AG89" s="4" t="s">
        <v>484</v>
      </c>
    </row>
    <row r="90" spans="32:33" x14ac:dyDescent="0.25">
      <c r="AF90" s="4" t="s">
        <v>6</v>
      </c>
      <c r="AG90" s="4" t="s">
        <v>485</v>
      </c>
    </row>
    <row r="91" spans="32:33" x14ac:dyDescent="0.25">
      <c r="AF91" s="4" t="s">
        <v>6</v>
      </c>
      <c r="AG91" s="4" t="s">
        <v>486</v>
      </c>
    </row>
    <row r="92" spans="32:33" x14ac:dyDescent="0.25">
      <c r="AF92" s="4" t="s">
        <v>6</v>
      </c>
      <c r="AG92" s="4" t="s">
        <v>487</v>
      </c>
    </row>
    <row r="93" spans="32:33" x14ac:dyDescent="0.25">
      <c r="AF93" s="4" t="s">
        <v>6</v>
      </c>
      <c r="AG93" s="4" t="s">
        <v>488</v>
      </c>
    </row>
    <row r="94" spans="32:33" x14ac:dyDescent="0.25">
      <c r="AF94" s="4" t="s">
        <v>6</v>
      </c>
      <c r="AG94" s="4" t="s">
        <v>435</v>
      </c>
    </row>
    <row r="95" spans="32:33" x14ac:dyDescent="0.25">
      <c r="AF95" s="4" t="s">
        <v>6</v>
      </c>
      <c r="AG95" s="4" t="s">
        <v>436</v>
      </c>
    </row>
    <row r="96" spans="32:33" x14ac:dyDescent="0.25">
      <c r="AF96" s="4" t="s">
        <v>6</v>
      </c>
      <c r="AG96" s="4" t="s">
        <v>489</v>
      </c>
    </row>
    <row r="97" spans="32:33" x14ac:dyDescent="0.25">
      <c r="AF97" s="4" t="s">
        <v>6</v>
      </c>
      <c r="AG97" s="4" t="s">
        <v>490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6" xr:uid="{00000000-0002-0000-0400-000000000000}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9"/>
  <sheetViews>
    <sheetView zoomScale="90" zoomScaleNormal="90" workbookViewId="0">
      <selection activeCell="F23" sqref="F23"/>
    </sheetView>
  </sheetViews>
  <sheetFormatPr defaultRowHeight="15" x14ac:dyDescent="0.2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 x14ac:dyDescent="0.25">
      <c r="A1" t="s">
        <v>112</v>
      </c>
      <c r="B1" t="s">
        <v>111</v>
      </c>
      <c r="C1" t="s">
        <v>113</v>
      </c>
      <c r="E1" t="s">
        <v>175</v>
      </c>
    </row>
    <row r="2" spans="1:5" x14ac:dyDescent="0.2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 x14ac:dyDescent="0.2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 x14ac:dyDescent="0.2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 x14ac:dyDescent="0.2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 x14ac:dyDescent="0.2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 x14ac:dyDescent="0.2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 x14ac:dyDescent="0.2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 x14ac:dyDescent="0.2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 x14ac:dyDescent="0.2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 x14ac:dyDescent="0.2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 x14ac:dyDescent="0.2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 x14ac:dyDescent="0.2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 x14ac:dyDescent="0.2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 x14ac:dyDescent="0.2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 x14ac:dyDescent="0.2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 x14ac:dyDescent="0.25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 x14ac:dyDescent="0.25">
      <c r="A20" t="s">
        <v>175</v>
      </c>
      <c r="B20" t="s">
        <v>174</v>
      </c>
    </row>
    <row r="21" spans="1:3" x14ac:dyDescent="0.25">
      <c r="A21" t="s">
        <v>170</v>
      </c>
      <c r="B21" t="s">
        <v>267</v>
      </c>
    </row>
    <row r="22" spans="1:3" x14ac:dyDescent="0.25">
      <c r="A22" t="s">
        <v>170</v>
      </c>
      <c r="B22" t="s">
        <v>176</v>
      </c>
    </row>
    <row r="23" spans="1:3" x14ac:dyDescent="0.25">
      <c r="A23" t="s">
        <v>170</v>
      </c>
      <c r="B23" t="s">
        <v>304</v>
      </c>
    </row>
    <row r="24" spans="1:3" x14ac:dyDescent="0.25">
      <c r="A24" t="s">
        <v>170</v>
      </c>
      <c r="B24" t="s">
        <v>250</v>
      </c>
    </row>
    <row r="25" spans="1:3" x14ac:dyDescent="0.25">
      <c r="A25" t="s">
        <v>170</v>
      </c>
      <c r="B25" t="s">
        <v>264</v>
      </c>
    </row>
    <row r="26" spans="1:3" x14ac:dyDescent="0.25">
      <c r="A26" t="s">
        <v>170</v>
      </c>
      <c r="B26" t="s">
        <v>268</v>
      </c>
    </row>
    <row r="27" spans="1:3" x14ac:dyDescent="0.25">
      <c r="A27" t="s">
        <v>170</v>
      </c>
      <c r="B27" t="s">
        <v>256</v>
      </c>
    </row>
    <row r="28" spans="1:3" x14ac:dyDescent="0.25">
      <c r="A28" t="s">
        <v>170</v>
      </c>
      <c r="B28" t="s">
        <v>255</v>
      </c>
    </row>
    <row r="29" spans="1:3" x14ac:dyDescent="0.25">
      <c r="A29" t="s">
        <v>170</v>
      </c>
      <c r="B29" t="s">
        <v>302</v>
      </c>
    </row>
    <row r="30" spans="1:3" x14ac:dyDescent="0.25">
      <c r="A30" t="s">
        <v>170</v>
      </c>
      <c r="B30" t="s">
        <v>254</v>
      </c>
    </row>
    <row r="31" spans="1:3" x14ac:dyDescent="0.25">
      <c r="A31" t="s">
        <v>170</v>
      </c>
      <c r="B31" t="s">
        <v>270</v>
      </c>
    </row>
    <row r="32" spans="1:3" x14ac:dyDescent="0.25">
      <c r="A32" t="s">
        <v>170</v>
      </c>
      <c r="B32" t="s">
        <v>353</v>
      </c>
    </row>
    <row r="33" spans="1:2" x14ac:dyDescent="0.25">
      <c r="A33" t="s">
        <v>170</v>
      </c>
      <c r="B33" t="s">
        <v>263</v>
      </c>
    </row>
    <row r="34" spans="1:2" x14ac:dyDescent="0.25">
      <c r="A34" t="s">
        <v>170</v>
      </c>
      <c r="B34" t="s">
        <v>249</v>
      </c>
    </row>
    <row r="35" spans="1:2" x14ac:dyDescent="0.25">
      <c r="A35" t="s">
        <v>170</v>
      </c>
      <c r="B35" t="s">
        <v>253</v>
      </c>
    </row>
    <row r="36" spans="1:2" x14ac:dyDescent="0.25">
      <c r="A36" t="s">
        <v>170</v>
      </c>
      <c r="B36" t="s">
        <v>248</v>
      </c>
    </row>
    <row r="37" spans="1:2" x14ac:dyDescent="0.25">
      <c r="A37" t="s">
        <v>170</v>
      </c>
      <c r="B37" t="s">
        <v>366</v>
      </c>
    </row>
    <row r="38" spans="1:2" x14ac:dyDescent="0.25">
      <c r="A38" t="s">
        <v>170</v>
      </c>
      <c r="B38" t="s">
        <v>513</v>
      </c>
    </row>
    <row r="39" spans="1:2" x14ac:dyDescent="0.25">
      <c r="A39" t="s">
        <v>170</v>
      </c>
      <c r="B39" t="s">
        <v>266</v>
      </c>
    </row>
    <row r="40" spans="1:2" x14ac:dyDescent="0.25">
      <c r="A40" t="s">
        <v>170</v>
      </c>
      <c r="B40" t="s">
        <v>265</v>
      </c>
    </row>
    <row r="41" spans="1:2" x14ac:dyDescent="0.25">
      <c r="A41" t="s">
        <v>170</v>
      </c>
      <c r="B41" t="s">
        <v>257</v>
      </c>
    </row>
    <row r="42" spans="1:2" x14ac:dyDescent="0.25">
      <c r="A42" t="s">
        <v>170</v>
      </c>
      <c r="B42" t="s">
        <v>251</v>
      </c>
    </row>
    <row r="43" spans="1:2" x14ac:dyDescent="0.25">
      <c r="A43" t="s">
        <v>170</v>
      </c>
      <c r="B43" t="s">
        <v>252</v>
      </c>
    </row>
    <row r="44" spans="1:2" x14ac:dyDescent="0.25">
      <c r="A44" t="s">
        <v>303</v>
      </c>
      <c r="B44" t="s">
        <v>260</v>
      </c>
    </row>
    <row r="45" spans="1:2" x14ac:dyDescent="0.25">
      <c r="A45" t="s">
        <v>303</v>
      </c>
      <c r="B45" t="s">
        <v>261</v>
      </c>
    </row>
    <row r="46" spans="1:2" x14ac:dyDescent="0.25">
      <c r="A46" t="s">
        <v>303</v>
      </c>
      <c r="B46" t="s">
        <v>262</v>
      </c>
    </row>
    <row r="47" spans="1:2" x14ac:dyDescent="0.25">
      <c r="A47" t="s">
        <v>303</v>
      </c>
      <c r="B47" t="s">
        <v>178</v>
      </c>
    </row>
    <row r="48" spans="1:2" x14ac:dyDescent="0.25">
      <c r="A48" t="s">
        <v>303</v>
      </c>
      <c r="B48" t="s">
        <v>258</v>
      </c>
    </row>
    <row r="49" spans="1:2" x14ac:dyDescent="0.25">
      <c r="A49" t="s">
        <v>303</v>
      </c>
      <c r="B49" t="s">
        <v>269</v>
      </c>
    </row>
    <row r="50" spans="1:2" x14ac:dyDescent="0.25">
      <c r="A50" t="s">
        <v>303</v>
      </c>
      <c r="B50" t="s">
        <v>177</v>
      </c>
    </row>
    <row r="51" spans="1:2" x14ac:dyDescent="0.25">
      <c r="A51" t="s">
        <v>303</v>
      </c>
      <c r="B51" t="s">
        <v>510</v>
      </c>
    </row>
    <row r="52" spans="1:2" x14ac:dyDescent="0.25">
      <c r="A52" t="s">
        <v>303</v>
      </c>
      <c r="B52" t="s">
        <v>259</v>
      </c>
    </row>
    <row r="53" spans="1:2" x14ac:dyDescent="0.25">
      <c r="A53" t="s">
        <v>303</v>
      </c>
      <c r="B53" t="s">
        <v>371</v>
      </c>
    </row>
    <row r="54" spans="1:2" x14ac:dyDescent="0.25">
      <c r="A54" t="s">
        <v>303</v>
      </c>
      <c r="B54" t="s">
        <v>367</v>
      </c>
    </row>
    <row r="55" spans="1:2" x14ac:dyDescent="0.25">
      <c r="A55" t="s">
        <v>171</v>
      </c>
      <c r="B55" t="s">
        <v>144</v>
      </c>
    </row>
    <row r="56" spans="1:2" x14ac:dyDescent="0.25">
      <c r="A56" t="s">
        <v>171</v>
      </c>
      <c r="B56" t="s">
        <v>147</v>
      </c>
    </row>
    <row r="57" spans="1:2" x14ac:dyDescent="0.25">
      <c r="A57" t="s">
        <v>171</v>
      </c>
      <c r="B57" t="s">
        <v>150</v>
      </c>
    </row>
    <row r="58" spans="1:2" x14ac:dyDescent="0.25">
      <c r="A58" t="s">
        <v>171</v>
      </c>
      <c r="B58" t="s">
        <v>153</v>
      </c>
    </row>
    <row r="59" spans="1:2" x14ac:dyDescent="0.25">
      <c r="A59" t="s">
        <v>171</v>
      </c>
      <c r="B59" t="s">
        <v>156</v>
      </c>
    </row>
    <row r="60" spans="1:2" x14ac:dyDescent="0.25">
      <c r="A60" t="s">
        <v>171</v>
      </c>
      <c r="B60" t="s">
        <v>159</v>
      </c>
    </row>
    <row r="61" spans="1:2" x14ac:dyDescent="0.25">
      <c r="A61" t="s">
        <v>171</v>
      </c>
      <c r="B61" t="s">
        <v>164</v>
      </c>
    </row>
    <row r="62" spans="1:2" x14ac:dyDescent="0.25">
      <c r="A62" t="s">
        <v>171</v>
      </c>
      <c r="B62" t="s">
        <v>275</v>
      </c>
    </row>
    <row r="63" spans="1:2" x14ac:dyDescent="0.25">
      <c r="A63" t="s">
        <v>171</v>
      </c>
      <c r="B63" t="s">
        <v>166</v>
      </c>
    </row>
    <row r="64" spans="1:2" x14ac:dyDescent="0.25">
      <c r="A64" t="s">
        <v>171</v>
      </c>
      <c r="B64" t="s">
        <v>167</v>
      </c>
    </row>
    <row r="65" spans="1:2" x14ac:dyDescent="0.25">
      <c r="A65" t="s">
        <v>171</v>
      </c>
      <c r="B65" t="s">
        <v>168</v>
      </c>
    </row>
    <row r="66" spans="1:2" x14ac:dyDescent="0.25">
      <c r="A66" t="s">
        <v>171</v>
      </c>
      <c r="B66" t="s">
        <v>169</v>
      </c>
    </row>
    <row r="67" spans="1:2" x14ac:dyDescent="0.25">
      <c r="A67" t="s">
        <v>171</v>
      </c>
      <c r="B67" t="s">
        <v>141</v>
      </c>
    </row>
    <row r="68" spans="1:2" x14ac:dyDescent="0.25">
      <c r="A68" t="s">
        <v>171</v>
      </c>
      <c r="B68" t="s">
        <v>185</v>
      </c>
    </row>
    <row r="69" spans="1:2" x14ac:dyDescent="0.25">
      <c r="A69" t="s">
        <v>172</v>
      </c>
      <c r="B69" t="s">
        <v>342</v>
      </c>
    </row>
    <row r="70" spans="1:2" x14ac:dyDescent="0.25">
      <c r="A70" t="s">
        <v>172</v>
      </c>
      <c r="B70" t="s">
        <v>143</v>
      </c>
    </row>
    <row r="71" spans="1:2" x14ac:dyDescent="0.25">
      <c r="A71" t="s">
        <v>172</v>
      </c>
      <c r="B71" t="s">
        <v>369</v>
      </c>
    </row>
    <row r="72" spans="1:2" x14ac:dyDescent="0.25">
      <c r="A72" t="s">
        <v>172</v>
      </c>
      <c r="B72" t="s">
        <v>146</v>
      </c>
    </row>
    <row r="73" spans="1:2" x14ac:dyDescent="0.25">
      <c r="A73" t="s">
        <v>172</v>
      </c>
      <c r="B73" t="s">
        <v>140</v>
      </c>
    </row>
    <row r="74" spans="1:2" x14ac:dyDescent="0.25">
      <c r="A74" t="s">
        <v>172</v>
      </c>
      <c r="B74" t="s">
        <v>149</v>
      </c>
    </row>
    <row r="75" spans="1:2" x14ac:dyDescent="0.25">
      <c r="A75" t="s">
        <v>172</v>
      </c>
      <c r="B75" t="s">
        <v>152</v>
      </c>
    </row>
    <row r="76" spans="1:2" x14ac:dyDescent="0.25">
      <c r="A76" t="s">
        <v>172</v>
      </c>
      <c r="B76" t="s">
        <v>155</v>
      </c>
    </row>
    <row r="77" spans="1:2" x14ac:dyDescent="0.25">
      <c r="A77" t="s">
        <v>172</v>
      </c>
      <c r="B77" t="s">
        <v>158</v>
      </c>
    </row>
    <row r="78" spans="1:2" x14ac:dyDescent="0.25">
      <c r="A78" t="s">
        <v>172</v>
      </c>
      <c r="B78" t="s">
        <v>161</v>
      </c>
    </row>
    <row r="79" spans="1:2" x14ac:dyDescent="0.25">
      <c r="A79" t="s">
        <v>172</v>
      </c>
      <c r="B79" t="s">
        <v>163</v>
      </c>
    </row>
    <row r="80" spans="1:2" x14ac:dyDescent="0.25">
      <c r="A80" t="s">
        <v>184</v>
      </c>
      <c r="B80" t="s">
        <v>142</v>
      </c>
    </row>
    <row r="81" spans="1:2" x14ac:dyDescent="0.25">
      <c r="A81" t="s">
        <v>184</v>
      </c>
      <c r="B81" t="s">
        <v>274</v>
      </c>
    </row>
    <row r="82" spans="1:2" x14ac:dyDescent="0.25">
      <c r="A82" t="s">
        <v>184</v>
      </c>
      <c r="B82" t="s">
        <v>145</v>
      </c>
    </row>
    <row r="83" spans="1:2" x14ac:dyDescent="0.25">
      <c r="A83" t="s">
        <v>184</v>
      </c>
      <c r="B83" t="s">
        <v>148</v>
      </c>
    </row>
    <row r="84" spans="1:2" x14ac:dyDescent="0.25">
      <c r="A84" t="s">
        <v>184</v>
      </c>
      <c r="B84" t="s">
        <v>151</v>
      </c>
    </row>
    <row r="85" spans="1:2" x14ac:dyDescent="0.25">
      <c r="A85" t="s">
        <v>184</v>
      </c>
      <c r="B85" t="s">
        <v>154</v>
      </c>
    </row>
    <row r="86" spans="1:2" x14ac:dyDescent="0.25">
      <c r="A86" t="s">
        <v>184</v>
      </c>
      <c r="B86" t="s">
        <v>160</v>
      </c>
    </row>
    <row r="87" spans="1:2" x14ac:dyDescent="0.25">
      <c r="A87" t="s">
        <v>184</v>
      </c>
      <c r="B87" t="s">
        <v>157</v>
      </c>
    </row>
    <row r="88" spans="1:2" x14ac:dyDescent="0.25">
      <c r="A88" t="s">
        <v>184</v>
      </c>
      <c r="B88" t="s">
        <v>162</v>
      </c>
    </row>
    <row r="89" spans="1:2" x14ac:dyDescent="0.25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 xr:uid="{00000000-0002-0000-0500-000000000000}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3"/>
  <sheetViews>
    <sheetView workbookViewId="0">
      <selection activeCell="F19" sqref="F19"/>
    </sheetView>
  </sheetViews>
  <sheetFormatPr defaultRowHeight="15" x14ac:dyDescent="0.25"/>
  <cols>
    <col min="1" max="1" width="73.7109375" bestFit="1" customWidth="1"/>
  </cols>
  <sheetData>
    <row r="1" spans="1:1" ht="61.9" customHeight="1" x14ac:dyDescent="0.25">
      <c r="A1" s="195" t="s">
        <v>386</v>
      </c>
    </row>
    <row r="2" spans="1:1" x14ac:dyDescent="0.25">
      <c r="A2" t="s">
        <v>383</v>
      </c>
    </row>
    <row r="3" spans="1:1" x14ac:dyDescent="0.25">
      <c r="A3" t="s">
        <v>387</v>
      </c>
    </row>
    <row r="4" spans="1:1" x14ac:dyDescent="0.25">
      <c r="A4" t="s">
        <v>388</v>
      </c>
    </row>
    <row r="5" spans="1:1" x14ac:dyDescent="0.25">
      <c r="A5" t="s">
        <v>384</v>
      </c>
    </row>
    <row r="6" spans="1:1" x14ac:dyDescent="0.25">
      <c r="A6" t="s">
        <v>385</v>
      </c>
    </row>
    <row r="7" spans="1:1" ht="14.45" customHeight="1" x14ac:dyDescent="0.25"/>
    <row r="8" spans="1:1" ht="14.45" customHeight="1" x14ac:dyDescent="0.25"/>
    <row r="9" spans="1:1" ht="14.45" customHeight="1" x14ac:dyDescent="0.25"/>
    <row r="10" spans="1:1" ht="14.45" customHeight="1" x14ac:dyDescent="0.25"/>
    <row r="11" spans="1:1" ht="14.45" customHeight="1" x14ac:dyDescent="0.25"/>
    <row r="12" spans="1:1" ht="14.45" customHeight="1" x14ac:dyDescent="0.25"/>
    <row r="13" spans="1:1" ht="14.4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2023-06-13T13:47:16Z</cp:lastPrinted>
  <dcterms:created xsi:type="dcterms:W3CDTF">2015-06-05T18:19:34Z</dcterms:created>
  <dcterms:modified xsi:type="dcterms:W3CDTF">2023-07-05T06:49:29Z</dcterms:modified>
</cp:coreProperties>
</file>