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P:\Лучший сосудистый центр 2023\Щербаков\Протоколы\2023\Август\"/>
    </mc:Choice>
  </mc:AlternateContent>
  <xr:revisionPtr revIDLastSave="0" documentId="8_{09D1E8DB-AFC9-4B9A-8FA1-B4FF08258809}" xr6:coauthVersionLast="47" xr6:coauthVersionMax="47" xr10:uidLastSave="{00000000-0000-0000-0000-000000000000}"/>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xr2:uid="{00000000-000D-0000-FFFF-FFFF0000000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 l="1"/>
  <c r="E68" i="1"/>
  <c r="E69" i="1"/>
  <c r="E70" i="1"/>
  <c r="F67" i="1"/>
  <c r="F68" i="1"/>
  <c r="F69" i="1"/>
  <c r="F70" i="1"/>
  <c r="G67" i="1"/>
  <c r="G68" i="1"/>
  <c r="G69" i="1"/>
  <c r="G70" i="1"/>
  <c r="H67" i="1"/>
  <c r="H68" i="1"/>
  <c r="H69" i="1"/>
  <c r="H70" i="1"/>
  <c r="I67" i="1"/>
  <c r="I68" i="1"/>
  <c r="I69" i="1"/>
  <c r="I70" i="1"/>
  <c r="J67" i="1"/>
  <c r="J68" i="1"/>
  <c r="J69" i="1"/>
  <c r="J70" i="1"/>
  <c r="K67" i="1"/>
  <c r="K68" i="1"/>
  <c r="K69" i="1"/>
  <c r="K70" i="1"/>
  <c r="L67" i="1"/>
  <c r="L68" i="1"/>
  <c r="L69" i="1"/>
  <c r="L70" i="1"/>
  <c r="M67" i="1"/>
  <c r="M68" i="1"/>
  <c r="M69" i="1"/>
  <c r="M70" i="1"/>
  <c r="N67" i="1"/>
  <c r="N68" i="1"/>
  <c r="N69" i="1"/>
  <c r="N70" i="1"/>
  <c r="O67" i="1"/>
  <c r="O68" i="1"/>
  <c r="O69" i="1"/>
  <c r="O70" i="1"/>
  <c r="P67" i="1"/>
  <c r="P68" i="1"/>
  <c r="P69" i="1"/>
  <c r="P70" i="1"/>
  <c r="Q67" i="1"/>
  <c r="Q68" i="1"/>
  <c r="Q69" i="1"/>
  <c r="Q70" i="1"/>
  <c r="R67" i="1"/>
  <c r="R68" i="1"/>
  <c r="R69" i="1"/>
  <c r="R70" i="1"/>
  <c r="S67" i="1"/>
  <c r="S68" i="1"/>
  <c r="S69" i="1"/>
  <c r="S70" i="1"/>
  <c r="T67" i="1"/>
  <c r="T68" i="1"/>
  <c r="T69" i="1"/>
  <c r="T70" i="1"/>
  <c r="U67" i="1"/>
  <c r="U68" i="1"/>
  <c r="U69" i="1"/>
  <c r="U70" i="1"/>
  <c r="V67" i="1"/>
  <c r="V68" i="1"/>
  <c r="V69" i="1"/>
  <c r="V70" i="1"/>
  <c r="W67" i="1"/>
  <c r="W68" i="1"/>
  <c r="W69" i="1"/>
  <c r="W70" i="1"/>
  <c r="X67" i="1"/>
  <c r="X68" i="1"/>
  <c r="X69" i="1"/>
  <c r="X70" i="1"/>
  <c r="Y67" i="1"/>
  <c r="Y68" i="1"/>
  <c r="Y69" i="1"/>
  <c r="Y70" i="1"/>
  <c r="Z67" i="1"/>
  <c r="Z68" i="1"/>
  <c r="Z69" i="1"/>
  <c r="Z70" i="1"/>
  <c r="AA67" i="1"/>
  <c r="AA68" i="1"/>
  <c r="AA69" i="1"/>
  <c r="AA70" i="1"/>
  <c r="AB67" i="1"/>
  <c r="AB68" i="1"/>
  <c r="AB69" i="1"/>
  <c r="AB70" i="1"/>
  <c r="AC67" i="1"/>
  <c r="AC68" i="1"/>
  <c r="AC69" i="1"/>
  <c r="AC70" i="1"/>
  <c r="AD67" i="1"/>
  <c r="AD68" i="1"/>
  <c r="AD69" i="1"/>
  <c r="AD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E65" i="1" l="1"/>
  <c r="E66" i="1"/>
  <c r="F66" i="1"/>
  <c r="G66" i="1"/>
  <c r="H66" i="1"/>
  <c r="I66" i="1"/>
  <c r="J66" i="1"/>
  <c r="K66" i="1"/>
  <c r="L66" i="1"/>
  <c r="M66" i="1"/>
  <c r="N66" i="1"/>
  <c r="O66" i="1"/>
  <c r="P66" i="1"/>
  <c r="Q66" i="1"/>
  <c r="E64" i="1"/>
  <c r="C4" i="5" l="1"/>
  <c r="C17"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P7" i="1"/>
  <c r="P8" i="1" s="1"/>
  <c r="P9" i="1" s="1"/>
  <c r="P10" i="1" s="1"/>
  <c r="Q5" i="1"/>
  <c r="E6" i="1"/>
  <c r="O6" i="1"/>
  <c r="I5" i="1"/>
  <c r="J5" i="1"/>
  <c r="N7" i="1"/>
  <c r="M5" i="1"/>
  <c r="F5" i="1"/>
  <c r="G6" i="1"/>
  <c r="H6" i="1"/>
  <c r="L7" i="1"/>
  <c r="K6" i="1"/>
  <c r="O7" i="1" l="1"/>
  <c r="P11" i="1"/>
  <c r="E7" i="1"/>
  <c r="Q6" i="1"/>
  <c r="J6" i="1"/>
  <c r="N8" i="1"/>
  <c r="F6" i="1"/>
  <c r="I6" i="1"/>
  <c r="G7" i="1"/>
  <c r="M6" i="1"/>
  <c r="H7" i="1"/>
  <c r="L8" i="1"/>
  <c r="K7" i="1"/>
  <c r="O8" i="1" l="1"/>
  <c r="O9" i="1" s="1"/>
  <c r="O10" i="1" s="1"/>
  <c r="P12" i="1"/>
  <c r="P13" i="1" s="1"/>
  <c r="P14" i="1" s="1"/>
  <c r="E8" i="1"/>
  <c r="E9" i="1" s="1"/>
  <c r="Q7" i="1"/>
  <c r="E10" i="1"/>
  <c r="J7" i="1"/>
  <c r="G8" i="1"/>
  <c r="N9" i="1"/>
  <c r="I7" i="1"/>
  <c r="F7" i="1"/>
  <c r="M7" i="1"/>
  <c r="H8" i="1"/>
  <c r="L9" i="1"/>
  <c r="K8" i="1"/>
  <c r="O11" i="1" l="1"/>
  <c r="O12" i="1" s="1"/>
  <c r="O13" i="1" s="1"/>
  <c r="P15" i="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M8" i="1"/>
  <c r="N10" i="1"/>
  <c r="I8" i="1"/>
  <c r="G9" i="1"/>
  <c r="H9" i="1"/>
  <c r="F8" i="1"/>
  <c r="K9" i="1"/>
  <c r="L10" i="1"/>
  <c r="O14" i="1" l="1"/>
  <c r="O15" i="1" s="1"/>
  <c r="P56" i="1"/>
  <c r="P57"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O16" i="1" l="1"/>
  <c r="O17" i="1" s="1"/>
  <c r="O18" i="1" s="1"/>
  <c r="AC56" i="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AC57" i="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F13" i="1" l="1"/>
  <c r="F14" i="1" s="1"/>
  <c r="F15" i="1" s="1"/>
  <c r="O56" i="1"/>
  <c r="E63" i="1"/>
  <c r="R66" i="1" s="1"/>
  <c r="M15" i="1"/>
  <c r="M16" i="1" s="1"/>
  <c r="M17" i="1" s="1"/>
  <c r="P59" i="1"/>
  <c r="P60" i="1" s="1"/>
  <c r="P61" i="1" s="1"/>
  <c r="P62" i="1" s="1"/>
  <c r="P63" i="1" s="1"/>
  <c r="P64" i="1" s="1"/>
  <c r="P65" i="1" s="1"/>
  <c r="AC66" i="1" s="1"/>
  <c r="J12" i="1"/>
  <c r="J13" i="1" s="1"/>
  <c r="J14" i="1" s="1"/>
  <c r="J15" i="1" s="1"/>
  <c r="J16" i="1" s="1"/>
  <c r="R61" i="1"/>
  <c r="Q58" i="1"/>
  <c r="N14" i="1"/>
  <c r="N15" i="1" s="1"/>
  <c r="O57" i="1"/>
  <c r="I15" i="1"/>
  <c r="I16" i="1" s="1"/>
  <c r="I17" i="1" s="1"/>
  <c r="H16" i="1"/>
  <c r="H17" i="1" s="1"/>
  <c r="K13" i="1"/>
  <c r="K14" i="1" s="1"/>
  <c r="L16" i="1"/>
  <c r="G14" i="1"/>
  <c r="R64" i="1" l="1"/>
  <c r="R65" i="1"/>
  <c r="R63" i="1"/>
  <c r="AC64" i="1"/>
  <c r="AC65" i="1"/>
  <c r="F16" i="1"/>
  <c r="F17" i="1" s="1"/>
  <c r="R62" i="1"/>
  <c r="R59" i="1"/>
  <c r="R57" i="1"/>
  <c r="R58" i="1"/>
  <c r="R56" i="1"/>
  <c r="R60" i="1"/>
  <c r="N16" i="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N18" i="1" l="1"/>
  <c r="J19" i="1"/>
  <c r="J20" i="1" s="1"/>
  <c r="J21" i="1" s="1"/>
  <c r="AD56" i="1"/>
  <c r="Q61" i="1"/>
  <c r="AD61" i="1" s="1"/>
  <c r="AD60" i="1"/>
  <c r="AD57"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K25" i="1"/>
  <c r="K26" i="1" s="1"/>
  <c r="K27" i="1" s="1"/>
  <c r="H24" i="1"/>
  <c r="AD18" i="1"/>
  <c r="G18" i="1"/>
  <c r="G19" i="1" s="1"/>
  <c r="G20" i="1" s="1"/>
  <c r="I27" i="1"/>
  <c r="M22" i="1"/>
  <c r="N21" i="1"/>
  <c r="N22" i="1" s="1"/>
  <c r="L19" i="1"/>
  <c r="L20" i="1" s="1"/>
  <c r="F21" i="1"/>
  <c r="AD62" i="1" l="1"/>
  <c r="Q63" i="1"/>
  <c r="Q64" i="1" s="1"/>
  <c r="Q65" i="1" s="1"/>
  <c r="AD66" i="1" s="1"/>
  <c r="O61" i="1"/>
  <c r="K28" i="1"/>
  <c r="K29" i="1" s="1"/>
  <c r="AD26" i="1"/>
  <c r="G21" i="1"/>
  <c r="G22" i="1" s="1"/>
  <c r="G23" i="1" s="1"/>
  <c r="H25" i="1"/>
  <c r="I28" i="1"/>
  <c r="M23" i="1"/>
  <c r="J25" i="1"/>
  <c r="N23" i="1"/>
  <c r="L21" i="1"/>
  <c r="F22" i="1"/>
  <c r="AD21" i="1" l="1"/>
  <c r="AD19" i="1"/>
  <c r="AD64" i="1"/>
  <c r="AD65" i="1"/>
  <c r="AD63" i="1"/>
  <c r="O62"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O63" i="1" l="1"/>
  <c r="O64" i="1" s="1"/>
  <c r="O65" i="1" s="1"/>
  <c r="AB66" i="1" s="1"/>
  <c r="AB59" i="1"/>
  <c r="AB56" i="1"/>
  <c r="AB58" i="1"/>
  <c r="AB61"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AB65" i="1" l="1"/>
  <c r="AB63" i="1"/>
  <c r="AB64" i="1"/>
  <c r="AB57" i="1"/>
  <c r="AB60" i="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J50" i="1" l="1"/>
  <c r="J51" i="1" s="1"/>
  <c r="H47" i="1"/>
  <c r="H48" i="1" s="1"/>
  <c r="I47" i="1"/>
  <c r="I48" i="1" s="1"/>
  <c r="I49" i="1" s="1"/>
  <c r="I50" i="1" s="1"/>
  <c r="K43"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J65" i="1" s="1"/>
  <c r="W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C30" i="1"/>
  <c r="AB30" i="1"/>
  <c r="N31" i="1"/>
  <c r="H65" i="1" l="1"/>
  <c r="U66" i="1" s="1"/>
  <c r="W64" i="1"/>
  <c r="W65" i="1"/>
  <c r="U2" i="1"/>
  <c r="W46" i="1"/>
  <c r="W56" i="1"/>
  <c r="W47" i="1"/>
  <c r="W55" i="1"/>
  <c r="W39" i="1"/>
  <c r="W59" i="1"/>
  <c r="W54" i="1"/>
  <c r="W48" i="1"/>
  <c r="W44" i="1"/>
  <c r="W40" i="1"/>
  <c r="W60" i="1"/>
  <c r="W63" i="1"/>
  <c r="W50" i="1"/>
  <c r="W53" i="1"/>
  <c r="W52" i="1"/>
  <c r="W45" i="1"/>
  <c r="W41" i="1"/>
  <c r="W42" i="1"/>
  <c r="W43" i="1"/>
  <c r="W51" i="1"/>
  <c r="W49" i="1"/>
  <c r="W61" i="1"/>
  <c r="W57" i="1"/>
  <c r="W58" i="1"/>
  <c r="W62" i="1"/>
  <c r="W2" i="1"/>
  <c r="U61" i="1"/>
  <c r="I54" i="1"/>
  <c r="I55" i="1" s="1"/>
  <c r="I56" i="1" s="1"/>
  <c r="I57" i="1" s="1"/>
  <c r="I58" i="1" s="1"/>
  <c r="I59" i="1" s="1"/>
  <c r="I60" i="1" s="1"/>
  <c r="I61" i="1" s="1"/>
  <c r="I62" i="1" s="1"/>
  <c r="U49" i="1"/>
  <c r="F51" i="1"/>
  <c r="G47" i="1"/>
  <c r="K47" i="1"/>
  <c r="L35" i="1"/>
  <c r="M34" i="1"/>
  <c r="AB31" i="1"/>
  <c r="N32" i="1"/>
  <c r="N33" i="1" s="1"/>
  <c r="AC31" i="1"/>
  <c r="AB29" i="1"/>
  <c r="AC29" i="1"/>
  <c r="U46" i="1" l="1"/>
  <c r="U53" i="1"/>
  <c r="U42" i="1"/>
  <c r="U62" i="1"/>
  <c r="U39" i="1"/>
  <c r="U41" i="1"/>
  <c r="U44" i="1"/>
  <c r="U47" i="1"/>
  <c r="U56" i="1"/>
  <c r="U58" i="1"/>
  <c r="U65" i="1"/>
  <c r="U43" i="1"/>
  <c r="U40" i="1"/>
  <c r="U48" i="1"/>
  <c r="U51" i="1"/>
  <c r="U55" i="1"/>
  <c r="U50" i="1"/>
  <c r="U54" i="1"/>
  <c r="U45" i="1"/>
  <c r="U52" i="1"/>
  <c r="U60" i="1"/>
  <c r="U59" i="1"/>
  <c r="U57" i="1"/>
  <c r="U63" i="1"/>
  <c r="U64" i="1"/>
  <c r="I63" i="1"/>
  <c r="I64" i="1" s="1"/>
  <c r="I65" i="1" s="1"/>
  <c r="V66" i="1" s="1"/>
  <c r="F52" i="1"/>
  <c r="AD36" i="1"/>
  <c r="G48" i="1"/>
  <c r="K48" i="1"/>
  <c r="L36" i="1"/>
  <c r="M35" i="1"/>
  <c r="AC17" i="1"/>
  <c r="N34" i="1"/>
  <c r="N35" i="1" s="1"/>
  <c r="N36" i="1" s="1"/>
  <c r="N37" i="1" s="1"/>
  <c r="N38" i="1" s="1"/>
  <c r="N39" i="1" s="1"/>
  <c r="N40" i="1" s="1"/>
  <c r="N41" i="1" s="1"/>
  <c r="N42" i="1" s="1"/>
  <c r="AB17" i="1"/>
  <c r="V51" i="1" l="1"/>
  <c r="V65" i="1"/>
  <c r="V64" i="1"/>
  <c r="V2" i="1"/>
  <c r="V44" i="1"/>
  <c r="V43" i="1"/>
  <c r="V50" i="1"/>
  <c r="V60" i="1"/>
  <c r="V41" i="1"/>
  <c r="V48" i="1"/>
  <c r="V55"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F63" i="1" l="1"/>
  <c r="F64" i="1" s="1"/>
  <c r="S2" i="1"/>
  <c r="AB38" i="1"/>
  <c r="AB41" i="1"/>
  <c r="AB39" i="1"/>
  <c r="AB42" i="1"/>
  <c r="K51" i="1"/>
  <c r="G50" i="1"/>
  <c r="AD38" i="1"/>
  <c r="AC43" i="1"/>
  <c r="N44" i="1"/>
  <c r="AB43" i="1"/>
  <c r="L38" i="1"/>
  <c r="L39" i="1" s="1"/>
  <c r="AC33" i="1"/>
  <c r="AB33" i="1"/>
  <c r="M37" i="1"/>
  <c r="F65" i="1" l="1"/>
  <c r="S66" i="1" s="1"/>
  <c r="S42" i="1"/>
  <c r="K52" i="1"/>
  <c r="K53" i="1" s="1"/>
  <c r="G51" i="1"/>
  <c r="AD39" i="1"/>
  <c r="AC35" i="1"/>
  <c r="AC23" i="1"/>
  <c r="AB46" i="1"/>
  <c r="N45" i="1"/>
  <c r="AC44" i="1"/>
  <c r="L40" i="1"/>
  <c r="M38" i="1"/>
  <c r="M39" i="1" s="1"/>
  <c r="M40" i="1" s="1"/>
  <c r="S57" i="1" l="1"/>
  <c r="S50" i="1"/>
  <c r="S47" i="1"/>
  <c r="S56" i="1"/>
  <c r="S51" i="1"/>
  <c r="S59" i="1"/>
  <c r="S43" i="1"/>
  <c r="S44" i="1"/>
  <c r="S60" i="1"/>
  <c r="S39" i="1"/>
  <c r="S64" i="1"/>
  <c r="S58" i="1"/>
  <c r="S61" i="1"/>
  <c r="S62" i="1"/>
  <c r="S41" i="1"/>
  <c r="S40" i="1"/>
  <c r="S55" i="1"/>
  <c r="S46" i="1"/>
  <c r="S45" i="1"/>
  <c r="S63" i="1"/>
  <c r="S48" i="1"/>
  <c r="S49" i="1"/>
  <c r="S65" i="1"/>
  <c r="S53" i="1"/>
  <c r="S52" i="1"/>
  <c r="S54" i="1"/>
  <c r="N46" i="1"/>
  <c r="N47" i="1" s="1"/>
  <c r="N48" i="1" s="1"/>
  <c r="G52" i="1"/>
  <c r="K54" i="1"/>
  <c r="K55" i="1" s="1"/>
  <c r="K56" i="1" s="1"/>
  <c r="K57" i="1" s="1"/>
  <c r="K58" i="1" s="1"/>
  <c r="K59" i="1" s="1"/>
  <c r="K60" i="1" s="1"/>
  <c r="K61" i="1" s="1"/>
  <c r="K62" i="1" s="1"/>
  <c r="K63" i="1" s="1"/>
  <c r="K64" i="1" s="1"/>
  <c r="K65" i="1" s="1"/>
  <c r="X66" i="1" s="1"/>
  <c r="AC47" i="1"/>
  <c r="AB23" i="1"/>
  <c r="AC46" i="1"/>
  <c r="AB47" i="1"/>
  <c r="M41" i="1"/>
  <c r="L41" i="1"/>
  <c r="X64" i="1" l="1"/>
  <c r="X65" i="1"/>
  <c r="X2" i="1"/>
  <c r="X56" i="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AA66"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AA64" i="1" l="1"/>
  <c r="AA65" i="1"/>
  <c r="T2" i="1"/>
  <c r="G61" i="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G62" i="1" l="1"/>
  <c r="G63" i="1" s="1"/>
  <c r="M51" i="1"/>
  <c r="M52" i="1" s="1"/>
  <c r="M53" i="1" s="1"/>
  <c r="L50" i="1"/>
  <c r="G64" i="1" l="1"/>
  <c r="M54" i="1"/>
  <c r="M55" i="1" s="1"/>
  <c r="L51" i="1"/>
  <c r="L52" i="1" s="1"/>
  <c r="L53" i="1" s="1"/>
  <c r="G65" i="1" l="1"/>
  <c r="T30" i="1" s="1"/>
  <c r="T4" i="1"/>
  <c r="T52" i="1"/>
  <c r="T3" i="1"/>
  <c r="T41" i="1"/>
  <c r="T50" i="1"/>
  <c r="T65" i="1"/>
  <c r="M56" i="1"/>
  <c r="M57" i="1" s="1"/>
  <c r="L54" i="1"/>
  <c r="T56" i="1" l="1"/>
  <c r="T39" i="1"/>
  <c r="T55" i="1"/>
  <c r="T43" i="1"/>
  <c r="T36" i="1"/>
  <c r="T54" i="1"/>
  <c r="T5" i="1"/>
  <c r="T42" i="1"/>
  <c r="T29" i="1"/>
  <c r="T24" i="1"/>
  <c r="T9" i="1"/>
  <c r="T34" i="1"/>
  <c r="T12" i="1"/>
  <c r="T16" i="1"/>
  <c r="T37" i="1"/>
  <c r="T14" i="1"/>
  <c r="T60" i="1"/>
  <c r="T51" i="1"/>
  <c r="T21" i="1"/>
  <c r="T48" i="1"/>
  <c r="T6" i="1"/>
  <c r="T19" i="1"/>
  <c r="T66" i="1"/>
  <c r="T64" i="1"/>
  <c r="T22" i="1"/>
  <c r="T49" i="1"/>
  <c r="T11" i="1"/>
  <c r="T35" i="1"/>
  <c r="T45" i="1"/>
  <c r="T23" i="1"/>
  <c r="T61" i="1"/>
  <c r="T57" i="1"/>
  <c r="T28" i="1"/>
  <c r="T58" i="1"/>
  <c r="T17" i="1"/>
  <c r="T31" i="1"/>
  <c r="T15" i="1"/>
  <c r="T40" i="1"/>
  <c r="T8" i="1"/>
  <c r="T38" i="1"/>
  <c r="T44" i="1"/>
  <c r="T53" i="1"/>
  <c r="T46" i="1"/>
  <c r="T47" i="1"/>
  <c r="T59" i="1"/>
  <c r="T7" i="1"/>
  <c r="T18" i="1"/>
  <c r="T25" i="1"/>
  <c r="T20" i="1"/>
  <c r="T26" i="1"/>
  <c r="T62" i="1"/>
  <c r="T10" i="1"/>
  <c r="T27" i="1"/>
  <c r="T33" i="1"/>
  <c r="T32" i="1"/>
  <c r="T13" i="1"/>
  <c r="T63" i="1"/>
  <c r="M58" i="1"/>
  <c r="M59" i="1" s="1"/>
  <c r="M60" i="1" s="1"/>
  <c r="Z2" i="1"/>
  <c r="L55" i="1"/>
  <c r="L56" i="1" s="1"/>
  <c r="L57" i="1" s="1"/>
  <c r="L58" i="1" s="1"/>
  <c r="L59" i="1" s="1"/>
  <c r="L60" i="1" s="1"/>
  <c r="L61" i="1" s="1"/>
  <c r="L62" i="1" s="1"/>
  <c r="L63" i="1" s="1"/>
  <c r="L64" i="1" s="1"/>
  <c r="L65" i="1" s="1"/>
  <c r="Y66" i="1" s="1"/>
  <c r="Y64" i="1" l="1"/>
  <c r="Y65" i="1"/>
  <c r="M61" i="1"/>
  <c r="Y61" i="1"/>
  <c r="Y58" i="1"/>
  <c r="Y57" i="1"/>
  <c r="Y56" i="1"/>
  <c r="Y63" i="1"/>
  <c r="Y59" i="1"/>
  <c r="Y60" i="1"/>
  <c r="Y62" i="1"/>
  <c r="Y20" i="1"/>
  <c r="M62" i="1" l="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M63" i="1" l="1"/>
  <c r="M64" i="1" s="1"/>
  <c r="M65" i="1" s="1"/>
  <c r="Z66" i="1" s="1"/>
  <c r="Z24" i="1"/>
  <c r="Z31" i="1"/>
  <c r="Z12" i="1"/>
  <c r="Z21" i="1"/>
  <c r="Z23" i="1"/>
  <c r="Z33" i="1"/>
  <c r="Z56" i="1"/>
  <c r="Z47" i="1"/>
  <c r="Z32" i="1"/>
  <c r="Z26" i="1"/>
  <c r="Z6" i="1" l="1"/>
  <c r="Z4" i="1"/>
  <c r="Z41" i="1"/>
  <c r="Z25" i="1"/>
  <c r="Z36" i="1"/>
  <c r="Z53" i="1"/>
  <c r="Z48" i="1"/>
  <c r="Z27" i="1"/>
  <c r="Z46" i="1"/>
  <c r="Z49" i="1"/>
  <c r="Z13" i="1"/>
  <c r="Z17" i="1"/>
  <c r="Z29" i="1"/>
  <c r="Z38" i="1"/>
  <c r="Z22" i="1"/>
  <c r="Z64" i="1"/>
  <c r="Z65" i="1"/>
  <c r="Z59" i="1"/>
  <c r="Z63" i="1"/>
  <c r="Z40" i="1"/>
  <c r="Z19" i="1"/>
  <c r="Z39" i="1"/>
  <c r="Z14" i="1"/>
  <c r="Z54" i="1"/>
  <c r="Z20" i="1"/>
  <c r="Z51" i="1"/>
  <c r="Z28" i="1"/>
  <c r="Z7" i="1"/>
  <c r="Z55" i="1"/>
  <c r="Z50" i="1"/>
  <c r="Z8" i="1"/>
  <c r="Z60" i="1"/>
  <c r="Z34" i="1"/>
  <c r="Z57" i="1"/>
  <c r="Z18" i="1"/>
  <c r="Z30" i="1"/>
  <c r="Z10" i="1"/>
  <c r="Z37" i="1"/>
  <c r="Z42" i="1"/>
  <c r="Z35" i="1"/>
  <c r="Z3" i="1"/>
  <c r="Z58" i="1"/>
  <c r="Z43" i="1"/>
  <c r="Z9" i="1"/>
  <c r="Z61" i="1"/>
  <c r="Z16" i="1"/>
  <c r="Z45" i="1"/>
  <c r="Z44" i="1"/>
  <c r="Z52" i="1"/>
  <c r="Z15" i="1"/>
  <c r="Z62" i="1"/>
  <c r="Z5" i="1"/>
  <c r="Z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Андрей Щербаков</author>
  </authors>
  <commentList>
    <comment ref="B8" authorId="0" shapeId="0" xr:uid="{00000000-0006-0000-0000-00000100000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Ангиограф Экстренный</author>
  </authors>
  <commentList>
    <comment ref="C8" authorId="0" shapeId="0" xr:uid="{00000000-0006-0000-0100-000001000000}">
      <text>
        <r>
          <rPr>
            <sz val="9"/>
            <color indexed="81"/>
            <rFont val="Tahoma"/>
            <family val="2"/>
            <charset val="204"/>
          </rPr>
          <t xml:space="preserve">Выбрать:
</t>
        </r>
      </text>
    </comment>
    <comment ref="F8" authorId="0" shapeId="0" xr:uid="{00000000-0006-0000-0100-000002000000}">
      <text>
        <r>
          <rPr>
            <sz val="9"/>
            <color indexed="81"/>
            <rFont val="Tahoma"/>
            <family val="2"/>
            <charset val="204"/>
          </rPr>
          <t>Выбрать</t>
        </r>
        <r>
          <rPr>
            <b/>
            <sz val="9"/>
            <color indexed="81"/>
            <rFont val="Tahoma"/>
            <family val="2"/>
            <charset val="204"/>
          </rPr>
          <t xml:space="preserve">:
</t>
        </r>
      </text>
    </comment>
    <comment ref="G8" authorId="0" shapeId="0" xr:uid="{00000000-0006-0000-0100-000003000000}">
      <text>
        <r>
          <rPr>
            <sz val="9"/>
            <color indexed="81"/>
            <rFont val="Tahoma"/>
            <family val="2"/>
            <charset val="204"/>
          </rPr>
          <t>Выбрать:</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<sst xmlns="http://schemas.openxmlformats.org/spreadsheetml/2006/main" count="867" uniqueCount="525">
  <si>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</si>
  <si>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</si>
  <si>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</si>
  <si>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</si>
  <si>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</si>
  <si>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</si>
  <si>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</si>
  <si>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</si>
  <si>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</si>
  <si>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</si>
  <si>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</si>
  <si>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</si>
  <si>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</si>
  <si>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</si>
  <si>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</si>
  <si>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</si>
  <si>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</si>
  <si>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</si>
  <si>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</si>
  <si>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</si>
  <si>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</si>
  <si>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</si>
  <si>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</si>
  <si>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</si>
  <si>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</si>
  <si>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</si>
  <si>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</si>
  <si>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</si>
  <si>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</si>
  <si>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</si>
  <si>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</si>
  <si>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</si>
  <si>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</si>
  <si>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</si>
  <si>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</si>
  <si>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</si>
  <si>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</si>
  <si>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</si>
  <si>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</si>
  <si>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</si>
  <si>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</si>
  <si>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</si>
  <si>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</si>
  <si>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</si>
  <si>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</si>
  <si>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</si>
  <si>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</si>
  <si>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</si>
  <si>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</si>
  <si>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</si>
  <si>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</si>
  <si>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</si>
  <si>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</si>
  <si>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</si>
  <si>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</si>
  <si>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</si>
  <si>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</si>
  <si>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</si>
  <si>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</si>
  <si>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</si>
  <si>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</si>
  <si>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</si>
  <si>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</si>
  <si>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</si>
  <si>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</si>
  <si>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</si>
  <si>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</si>
  <si>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</si>
  <si>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</si>
  <si>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</si>
  <si>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</si>
  <si>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</si>
  <si>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</si>
  <si>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</si>
  <si>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</si>
  <si>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</si>
  <si>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</si>
  <si>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</si>
  <si>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</si>
  <si>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</si>
  <si>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</si>
  <si>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</si>
  <si>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</si>
  <si>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</si>
  <si>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</si>
  <si>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</si>
  <si>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</si>
  <si>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</si>
  <si>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</si>
  <si>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</si>
  <si>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</si>
  <si>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</si>
  <si>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</si>
  <si>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</si>
  <si>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</si>
  <si>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</si>
  <si>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</si>
  <si>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</si>
  <si>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</si>
  <si>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</si>
  <si>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</si>
  <si>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</si>
  <si>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</si>
  <si>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</si>
  <si>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</si>
  <si>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</si>
  <si>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</si>
  <si>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</si>
  <si>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</si>
  <si>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</si>
  <si>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</si>
  <si>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</si>
  <si>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</si>
  <si>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</si>
  <si>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</si>
  <si>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</si>
  <si>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</si>
  <si>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</si>
  <si>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</si>
  <si>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</si>
  <si>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</si>
  <si>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</si>
  <si>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</si>
  <si>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</si>
  <si>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</si>
  <si>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</si>
  <si>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</si>
  <si>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</si>
  <si>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</si>
  <si>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</si>
  <si>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</si>
  <si>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</si>
  <si>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</si>
  <si>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</si>
  <si>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</si>
  <si>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</si>
  <si>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</si>
  <si>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</si>
  <si>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</si>
  <si>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</si>
  <si>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</si>
  <si>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</si>
  <si>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</si>
  <si>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</si>
  <si>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</si>
  <si>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</si>
  <si>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</si>
  <si>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</si>
  <si>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</si>
  <si>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</si>
  <si>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</si>
  <si>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</si>
  <si>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</si>
  <si>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</si>
  <si>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</si>
  <si>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</si>
  <si>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</si>
  <si>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</si>
  <si>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</si>
  <si>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</si>
  <si>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</si>
  <si>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</si>
  <si>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</si>
  <si>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</si>
  <si>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</si>
  <si>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</si>
  <si>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</si>
  <si>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</si>
  <si>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</si>
  <si>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</si>
  <si>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</si>
  <si>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</si>
  <si>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</si>
  <si>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</si>
  <si>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</si>
  <si>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</si>
  <si>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</si>
  <si>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</si>
  <si>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</si>
  <si>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</si>
  <si>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</si>
  <si>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</si>
  <si>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</si>
  <si>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</si>
  <si>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</si>
  <si>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</si>
  <si>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</si>
  <si>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</si>
  <si>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</si>
  <si>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</si>
  <si>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</si>
  <si>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</si>
  <si>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</si>
  <si>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</si>
  <si>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</si>
  <si>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</si>
  <si>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</si>
  <si>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</si>
  <si>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</si>
  <si>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</si>
  <si>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</si>
  <si>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</si>
  <si>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</si>
  <si>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</si>
  <si>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</si>
  <si>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</si>
  <si>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</si>
  <si>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</si>
  <si>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</si>
  <si>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</si>
  <si>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</si>
  <si>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</si>
  <si>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</si>
  <si>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</si>
  <si>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</si>
  <si>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</si>
  <si>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</si>
  <si>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</si>
  <si>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</si>
  <si>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</si>
  <si>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</si>
  <si>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</si>
  <si>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</si>
  <si>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</si>
  <si>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</si>
  <si>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</si>
  <si>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</si>
  <si>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</si>
  <si>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</si>
  <si>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</si>
  <si>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</si>
  <si>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</si>
  <si>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</si>
  <si>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</si>
  <si>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</si>
  <si>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</si>
  <si>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</si>
  <si>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</si>
  <si>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</si>
  <si>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</si>
  <si>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</si>
  <si>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</si>
  <si>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</si>
  <si>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</si>
  <si>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</si>
  <si>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</si>
  <si>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</si>
  <si>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</si>
  <si>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</si>
  <si>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</si>
  <si>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</si>
  <si>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</si>
  <si>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</si>
  <si>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</si>
  <si>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</si>
  <si>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</si>
  <si>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</si>
  <si>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</si>
  <si>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</si>
  <si>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</si>
  <si>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</si>
  <si>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</si>
  <si>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</si>
  <si>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</si>
  <si>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</si>
  <si>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</si>
  <si>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</si>
  <si>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</si>
  <si>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</si>
  <si>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</si>
  <si>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</si>
  <si>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</si>
  <si>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</si>
  <si>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</si>
  <si>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</si>
  <si>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</si>
  <si>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</si>
  <si>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</si>
  <si>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</si>
  <si>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</si>
  <si>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</si>
  <si>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</si>
  <si>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</si>
  <si>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</si>
  <si>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</si>
  <si>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</si>
  <si>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</si>
  <si>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</si>
  <si>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</si>
  <si>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</si>
  <si>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</si>
  <si>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</si>
  <si>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</si>
  <si>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</si>
  <si>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</si>
  <si>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</si>
  <si>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</si>
  <si>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</si>
  <si>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</si>
  <si>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</si>
  <si>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</si>
  <si>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</si>
  <si>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</si>
  <si>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</si>
  <si>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</si>
  <si>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</si>
  <si>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</si>
  <si>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</si>
  <si>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</si>
  <si>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</si>
  <si>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</si>
  <si>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</si>
  <si>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</si>
  <si>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</si>
  <si>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</si>
  <si>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</si>
  <si>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</si>
  <si>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</si>
  <si>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</si>
  <si>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</si>
  <si>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</si>
  <si>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</si>
  <si>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</si>
  <si>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</si>
  <si>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</si>
  <si>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</si>
  <si>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</si>
  <si>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</si>
  <si>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</si>
  <si>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</si>
  <si>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</si>
  <si>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</si>
  <si>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</si>
  <si>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</si>
  <si>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</si>
  <si>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</si>
  <si>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</si>
  <si>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</si>
  <si>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</si>
  <si>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</si>
  <si>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</si>
  <si>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</si>
  <si>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</si>
  <si>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</si>
  <si>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</si>
  <si>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</si>
  <si>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</si>
  <si>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</si>
  <si>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</si>
  <si>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</si>
  <si>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</si>
  <si>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</si>
  <si>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</si>
  <si>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</si>
  <si>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</si>
  <si>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</si>
  <si>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</si>
  <si>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</si>
  <si>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</si>
  <si>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</si>
  <si>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</si>
  <si>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</si>
  <si>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</si>
  <si>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</si>
  <si>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</si>
  <si>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</si>
  <si>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</si>
  <si>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</si>
  <si>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</si>
  <si>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</si>
  <si>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</si>
  <si>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</si>
  <si>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</si>
  <si>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</si>
  <si>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</si>
  <si>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</si>
  <si>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</si>
  <si>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</si>
  <si>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</si>
  <si>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</si>
  <si>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</si>
  <si>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</si>
  <si>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</si>
  <si>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</si>
  <si>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</si>
  <si>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</si>
  <si>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</si>
  <si>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</si>
  <si>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</si>
  <si>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</si>
  <si>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</si>
  <si>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</si>
  <si>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</si>
  <si>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</si>
  <si>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</si>
  <si>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</si>
  <si>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</si>
  <si>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</si>
  <si>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</si>
  <si>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</si>
  <si>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</si>
  <si>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</si>
  <si>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</si>
  <si>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</si>
  <si>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Правый</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</si>
  <si>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</si>
  <si>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</si>
  <si>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</si>
  <si>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</si>
  <si>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</si>
  <si>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</si>
  <si>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</si>
  <si>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</si>
  <si>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</si>
  <si>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</si>
  <si>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</si>
  <si>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</si>
  <si>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</si>
  <si>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</si>
  <si>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</si>
  <si>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</si>
  <si>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</si>
  <si>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</si>
  <si>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</si>
  <si>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</si>
  <si>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</si>
  <si>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</si>
  <si>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</si>
  <si>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</si>
  <si>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</si>
  <si>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</si>
  <si>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</si>
  <si>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</si>
  <si>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</si>
  <si>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</si>
  <si>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</si>
  <si>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</si>
  <si>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</si>
  <si>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</si>
  <si>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</si>
  <si>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</si>
  <si>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</si>
  <si>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</si>
  <si>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</si>
  <si>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</si>
  <si>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</si>
  <si>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</si>
  <si>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</si>
  <si>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</si>
  <si>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</si>
  <si>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</si>
  <si>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</si>
  <si>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</si>
  <si>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</si>
  <si>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</si>
  <si>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</si>
  <si>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</si>
  <si>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</si>
  <si>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</si>
  <si>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</si>
  <si>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</si>
  <si>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</si>
  <si>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</si>
  <si>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</si>
  <si>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</si>
  <si>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</si>
  <si>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</si>
  <si>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</si>
  <si>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</si>
  <si>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</si>
  <si>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</si>
  <si>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</si>
  <si>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</si>
  <si>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</si>
  <si>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</si>
  <si>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</si>
  <si>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</si>
  <si>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</si>
  <si>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</si>
  <si>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</si>
  <si>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</si>
  <si>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</si>
  <si>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</si>
  <si>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</si>
  <si>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</si>
  <si>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</si>
  <si>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</si>
  <si>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</si>
  <si>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</si>
  <si>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</si>
  <si>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</si>
  <si>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</si>
  <si>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</si>
  <si>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</si>
  <si>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</si>
  <si>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</si>
  <si>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</si>
  <si>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</si>
  <si>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</si>
  <si>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</si>
  <si>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</si>
  <si>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</si>
  <si>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</si>
  <si>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</si>
  <si>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</si>
  <si>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</si>
  <si>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</si>
  <si>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</si>
  <si>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</si>
  <si>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</si>
  <si>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</si>
  <si>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лучевой</t>
  </si>
  <si>
    <t>Соболева Ю.А.</t>
  </si>
  <si>
    <t>"МИМ". Тюмень</t>
  </si>
  <si>
    <t>100 ml</t>
  </si>
  <si>
    <t>2,5 - 10</t>
  </si>
  <si>
    <t>250 ml</t>
  </si>
  <si>
    <r>
      <rPr>
        <sz val="11"/>
        <color theme="1"/>
        <rFont val="Calibri"/>
        <family val="2"/>
        <charset val="204"/>
        <scheme val="minor"/>
      </rPr>
      <t>1) Контроль места пункции, повязка  на руке до 6 ч.</t>
    </r>
    <r>
      <rPr>
        <u/>
        <sz val="11"/>
        <color theme="1"/>
        <rFont val="Calibri"/>
        <family val="2"/>
        <charset val="204"/>
        <scheme val="minor"/>
      </rPr>
      <t xml:space="preserve"> 2) Решение вопроса реваскуляризации ПКА.</t>
    </r>
  </si>
  <si>
    <t xml:space="preserve">Устье ЛКА катетеризировано проводниковым катетером Launcher EBU 3,5. Коронарный проводник Fielder заведен  в дистальный сегмент ПНА. Предилатация субокклюзирующего стеноза устья ПНА БК Колибри 2.5-15.  В зону сегмента - Ствол ЛКА-ПНА с полным покрытием устья ПНА, ствола ЛКА и частичным покрытием проксимального сегмента ПНА  позиционирован и имплантирован  DES Resolute Integtity 3.0-30 мм, давлением 14 атм.  Постдилатация и оптимизация стента в стволе ЛКА БК  Accuforce  4.0-12, давлением 16 атм. Второй коронарный проводник  Fielder  заведен в дистальный сегмент ОА. Успешная дилатация ячейки стента в устье ОА  БК  Accuforce  3.0-6, давлением 11 атм.  На контрольных сьемках в проксимальном сегменте ПНА опредиляеться краевая диссекция дистальной кромки стента. Зона диссекция закрыта DES Resolute Integtity 3.0-15 мм, давлением 9 атм, постдилатация зоны оверлаппинга давлением 16 атм.  На контрольных съемках стенты раскрыты удовлетворительно, признаков диссекций, тромбоза, экстравазации не выявлено. Антеградный кровоток по ПНА восстановлен до TIMI III, устье ДВ нескомпрометировано, кровоток TIMI III. Резидуальный стеноз устья ОА до 30%, признаков диссекции и тромбоза не выявлено, кровоток сохранён, TIMI III. Ангиографический результат удовлетворительный. Пациентка в стабильном состоянии транспортируется в ПРИТ для дальнейшего наблюдения и лечения. </t>
  </si>
  <si>
    <t>02:42</t>
  </si>
  <si>
    <t>проходим, контуры ровные.</t>
  </si>
  <si>
    <t>стеноз проксимального сегмента до 30%.  Антеградный кровоток TIMI III</t>
  </si>
  <si>
    <t>неровности контуров проксимального сегмента.  Антеградный кровоток TIMI III</t>
  </si>
  <si>
    <t>1) Контроль места пункции, повязка  на руке до 6 ч. 2) Консервативная стратегия.</t>
  </si>
  <si>
    <t>Широчина Т.А.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</si>
</sst>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F800]dddd\,\ mmmm\ dd\,\ yyyy"/>
    <numFmt numFmtId="165" formatCode="h:mm;@"/>
    <numFmt numFmtId="166" formatCode="&quot;&quot;&quot;&quot;"/>
  </numFmts>
  <fonts count="7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9"/>
      <color theme="1"/>
      <name val="Calibri"/>
      <family val="2"/>
      <scheme val="minor"/>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41"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5"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4"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4"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5"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4"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4"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3"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5"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6" fillId="0" borderId="0" xfId="0" applyFont="1" applyAlignment="1">
      <alignment horizontal="centerContinuous" vertical="top" wrapText="1"/>
    </xf>
    <xf numFmtId="0" fontId="66"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7" fillId="0" borderId="12" xfId="0" applyFont="1" applyBorder="1" applyAlignment="1" applyProtection="1">
      <alignment vertical="top" wrapText="1"/>
      <protection locked="0"/>
    </xf>
    <xf numFmtId="0" fontId="68"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7"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9"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6"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5"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166" fontId="0" fillId="0" borderId="0" xfId="0" applyNumberFormat="1" applyAlignment="1">
      <alignment horizontal="left"/>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2"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22" fillId="8" borderId="18" xfId="6" applyFont="1" applyBorder="1" applyAlignment="1" applyProtection="1">
      <alignment horizontal="left" vertical="center"/>
      <protection locked="0"/>
    </xf>
    <xf numFmtId="0" fontId="45" fillId="8" borderId="16" xfId="6" applyFont="1" applyBorder="1" applyAlignment="1" applyProtection="1">
      <alignment horizontal="left" vertical="center"/>
      <protection locked="0"/>
    </xf>
    <xf numFmtId="0" fontId="22" fillId="8" borderId="18" xfId="6" applyFont="1" applyBorder="1" applyAlignment="1" applyProtection="1">
      <alignment horizontal="left" vertical="center"/>
    </xf>
    <xf numFmtId="0" fontId="59" fillId="0" borderId="0" xfId="0" applyFont="1" applyAlignment="1" applyProtection="1">
      <alignment horizontal="justify" vertical="top" wrapText="1"/>
      <protection locked="0"/>
    </xf>
    <xf numFmtId="0" fontId="6" fillId="0" borderId="0" xfId="0" applyFont="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4" fillId="0" borderId="5" xfId="0" applyFont="1" applyBorder="1" applyAlignment="1" applyProtection="1">
      <alignment horizontal="justify" vertical="top" wrapText="1"/>
      <protection locked="0"/>
    </xf>
    <xf numFmtId="0" fontId="64" fillId="0" borderId="11" xfId="0" applyFont="1" applyBorder="1" applyAlignment="1" applyProtection="1">
      <alignment horizontal="justify" vertical="top" wrapText="1"/>
      <protection locked="0"/>
    </xf>
    <xf numFmtId="0" fontId="64" fillId="0" borderId="0" xfId="0" applyFont="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50"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25" fillId="0" borderId="12" xfId="0" applyFont="1" applyBorder="1" applyAlignment="1" applyProtection="1">
      <alignment horizontal="justify" vertical="top" wrapText="1"/>
      <protection locked="0"/>
    </xf>
    <xf numFmtId="0" fontId="70" fillId="0" borderId="0" xfId="0" applyFont="1" applyAlignment="1">
      <alignment horizontal="justify" vertical="top" wrapText="1"/>
    </xf>
    <xf numFmtId="0" fontId="70" fillId="0" borderId="13" xfId="0" applyFont="1" applyBorder="1" applyAlignment="1">
      <alignment horizontal="justify" vertical="top" wrapText="1"/>
    </xf>
    <xf numFmtId="0" fontId="70" fillId="0" borderId="12" xfId="0" applyFont="1" applyBorder="1" applyAlignment="1">
      <alignment horizontal="justify" vertical="top" wrapText="1"/>
    </xf>
  </cellXfs>
  <cellStyles count="8">
    <cellStyle name="1" xfId="1" xr:uid="{00000000-0005-0000-0000-000000000000}"/>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xr:uid="{00000000-0005-0000-0000-000006000000}"/>
    <cellStyle name="Стиль 1" xfId="2" xr:uid="{00000000-0005-0000-0000-000007000000}"/>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4"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97153</xdr:colOff>
      <xdr:row>40</xdr:row>
      <xdr:rowOff>57150</xdr:rowOff>
    </xdr:from>
    <xdr:to>
      <xdr:col>1</xdr:col>
      <xdr:colOff>906780</xdr:colOff>
      <xdr:row>49</xdr:row>
      <xdr:rowOff>41198</xdr:rowOff>
    </xdr:to>
    <xdr:pic>
      <xdr:nvPicPr>
        <xdr:cNvPr id="5" name="Рисунок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153" y="7762875"/>
          <a:ext cx="2066927" cy="161282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0000000}" name="Опер.Бригада" displayName="Опер.Бригада" ref="D9:H13" headerRowCount="0" totalsRowShown="0" headerRowDxfId="117" dataDxfId="116" tableBorderDxfId="115" totalsRowBorderDxfId="114">
  <tableColumns count="5">
    <tableColumn id="1" xr3:uid="{00000000-0010-0000-0000-000001000000}" name="Должность" headerRowDxfId="113" dataDxfId="112"/>
    <tableColumn id="5" xr3:uid="{00000000-0010-0000-0000-000005000000}" name="Столбец2" headerRowDxfId="111" dataDxfId="110"/>
    <tableColumn id="4" xr3:uid="{00000000-0010-0000-0000-000004000000}" name="Столбец1" headerRowDxfId="109" dataDxfId="108"/>
    <tableColumn id="2" xr3:uid="{00000000-0010-0000-0000-000002000000}" name="Бригада_1" headerRowDxfId="107" dataDxfId="106"/>
    <tableColumn id="3" xr3:uid="{00000000-0010-0000-0000-000003000000}" name="Бригада_2" headerRowDxfId="105" dataDxfId="10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Код.Модели" displayName="Код.Модели" ref="F2:T9" headerRowCount="0" totalsRowShown="0" headerRowCellStyle="Обычный" dataCellStyle="Обычный">
  <tableColumns count="15">
    <tableColumn id="1" xr3:uid="{00000000-0010-0000-0900-000001000000}" name="Диагноз" dataCellStyle="Обычный"/>
    <tableColumn id="2" xr3:uid="{00000000-0010-0000-0900-000002000000}" name="Код модели" dataDxfId="60" dataCellStyle="Обычный"/>
    <tableColumn id="3" xr3:uid="{00000000-0010-0000-0900-000003000000}" name="Стент3" dataDxfId="59" dataCellStyle="Обычный"/>
    <tableColumn id="4" xr3:uid="{00000000-0010-0000-0900-000004000000}" name="Стент4" dataDxfId="58" dataCellStyle="Обычный"/>
    <tableColumn id="5" xr3:uid="{00000000-0010-0000-0900-000005000000}" name="Стент5" dataDxfId="57" dataCellStyle="Обычный"/>
    <tableColumn id="6" xr3:uid="{00000000-0010-0000-0900-000006000000}" name="Стент6" dataDxfId="56" dataCellStyle="Обычный"/>
    <tableColumn id="7" xr3:uid="{00000000-0010-0000-0900-000007000000}" name="Стент7" dataDxfId="55" dataCellStyle="Обычный"/>
    <tableColumn id="8" xr3:uid="{00000000-0010-0000-0900-000008000000}" name="Стент8" dataDxfId="54" dataCellStyle="Обычный"/>
    <tableColumn id="9" xr3:uid="{00000000-0010-0000-0900-000009000000}" name="Стент9" dataDxfId="53" dataCellStyle="Обычный"/>
    <tableColumn id="10" xr3:uid="{00000000-0010-0000-0900-00000A000000}" name="Стент10" dataDxfId="52" dataCellStyle="Обычный"/>
    <tableColumn id="11" xr3:uid="{00000000-0010-0000-0900-00000B000000}" name="Стент11" dataDxfId="51" dataCellStyle="Обычный"/>
    <tableColumn id="12" xr3:uid="{00000000-0010-0000-0900-00000C000000}" name="Стент12" dataDxfId="50" dataCellStyle="Обычный"/>
    <tableColumn id="13" xr3:uid="{00000000-0010-0000-0900-00000D000000}" name="Стент13" dataDxfId="49" dataCellStyle="Обычный"/>
    <tableColumn id="14" xr3:uid="{00000000-0010-0000-0900-00000E000000}" name="Стент14" dataDxfId="48" dataCellStyle="Обычный"/>
    <tableColumn id="15" xr3:uid="{00000000-0010-0000-0900-00000F000000}"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Код.Метода" displayName="Код.Метода" ref="F12:T15" headerRowCount="0" totalsRowShown="0" dataDxfId="46">
  <tableColumns count="15">
    <tableColumn id="1" xr3:uid="{00000000-0010-0000-0A00-000001000000}" name="Диагноз"/>
    <tableColumn id="2" xr3:uid="{00000000-0010-0000-0A00-000002000000}" name="Код метода" dataDxfId="45"/>
    <tableColumn id="3" xr3:uid="{00000000-0010-0000-0A00-000003000000}" name="Стенты" dataDxfId="44"/>
    <tableColumn id="4" xr3:uid="{00000000-0010-0000-0A00-000004000000}" name="Стенты2" dataDxfId="43"/>
    <tableColumn id="5" xr3:uid="{00000000-0010-0000-0A00-000005000000}" name="Стенты3" dataDxfId="42"/>
    <tableColumn id="6" xr3:uid="{00000000-0010-0000-0A00-000006000000}" name="Стенты4" dataDxfId="41"/>
    <tableColumn id="7" xr3:uid="{00000000-0010-0000-0A00-000007000000}" name="Стенты5" dataDxfId="40"/>
    <tableColumn id="8" xr3:uid="{00000000-0010-0000-0A00-000008000000}" name="Стенты6" dataDxfId="39"/>
    <tableColumn id="9" xr3:uid="{00000000-0010-0000-0A00-000009000000}" name="Стенты7" dataDxfId="38"/>
    <tableColumn id="10" xr3:uid="{00000000-0010-0000-0A00-00000A000000}" name="Стенты8" dataDxfId="37"/>
    <tableColumn id="11" xr3:uid="{00000000-0010-0000-0A00-00000B000000}" name="Стенты9" dataDxfId="36"/>
    <tableColumn id="12" xr3:uid="{00000000-0010-0000-0A00-00000C000000}" name="Стенты10" dataDxfId="35"/>
    <tableColumn id="13" xr3:uid="{00000000-0010-0000-0A00-00000D000000}" name="Стенты11" dataDxfId="34"/>
    <tableColumn id="14" xr3:uid="{00000000-0010-0000-0A00-00000E000000}" name="Стенты12" dataDxfId="33"/>
    <tableColumn id="15" xr3:uid="{00000000-0010-0000-0A00-00000F000000}" name="Стенты13" dataDxfId="32"/>
  </tableColumns>
  <tableStyleInfo name="TableStyleLight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B000000}" name="Другое" displayName="Другое" ref="F17:F24" totalsRowShown="0">
  <autoFilter ref="F17:F24" xr:uid="{00000000-0009-0000-0100-000014000000}"/>
  <tableColumns count="1">
    <tableColumn id="1" xr3:uid="{00000000-0010-0000-0B00-000001000000}" name="Другое"/>
  </tableColumns>
  <tableStyleInfo name="TableStyleLight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C000000}" name="Расходка" displayName="Расходка" ref="A1:C66" totalsRowShown="0">
  <sortState xmlns:xlrd2="http://schemas.microsoft.com/office/spreadsheetml/2017/richdata2" ref="A2:C65">
    <sortCondition ref="B2"/>
  </sortState>
  <tableColumns count="3">
    <tableColumn id="1" xr3:uid="{00000000-0010-0000-0C00-000001000000}" name="№"/>
    <tableColumn id="2" xr3:uid="{00000000-0010-0000-0C00-000002000000}" name="Тип расходного материала "/>
    <tableColumn id="3" xr3:uid="{00000000-0010-0000-0C00-000003000000}"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D000000}" name="Размеры" displayName="Размеры" ref="AF1:AG97" totalsRowShown="0" headerRowDxfId="31">
  <sortState xmlns:xlrd2="http://schemas.microsoft.com/office/spreadsheetml/2017/richdata2" ref="AF2:AG62">
    <sortCondition ref="AF2:AF62"/>
    <sortCondition ref="AG2:AG62"/>
  </sortState>
  <tableColumns count="2">
    <tableColumn id="3" xr3:uid="{00000000-0010-0000-0D00-000003000000}" name="Тип" dataDxfId="30"/>
    <tableColumn id="1" xr3:uid="{00000000-0010-0000-0D00-000001000000}" name="Размеры" dataDxfId="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E000000}" name="Контраст" displayName="Контраст" ref="AI1:AK8" totalsRowShown="0">
  <autoFilter ref="AI1:AK8" xr:uid="{00000000-0009-0000-0100-000008000000}"/>
  <tableColumns count="3">
    <tableColumn id="1" xr3:uid="{00000000-0010-0000-0E00-000001000000}" name="Контраст "/>
    <tableColumn id="2" xr3:uid="{00000000-0010-0000-0E00-000002000000}" name="Название"/>
    <tableColumn id="3" xr3:uid="{00000000-0010-0000-0E00-000003000000}"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Поиск_расходки" displayName="Поиск_расходки" ref="E1:AD66" totalsRowShown="0">
  <tableColumns count="26">
    <tableColumn id="1" xr3:uid="{00000000-0010-0000-0F00-000001000000}" name="Индекс1" dataDxfId="28">
      <calculatedColumnFormula>IF(ISNUMBER(SEARCH('Карта учёта'!$B$13,Расходка[[#This Row],[Наименование расходного материала]])),MAX($E$1:E1)+1,0)</calculatedColumnFormula>
    </tableColumn>
    <tableColumn id="2" xr3:uid="{00000000-0010-0000-0F00-000002000000}" name="Индекс2" dataDxfId="27">
      <calculatedColumnFormula>IF(ISNUMBER(SEARCH('Карта учёта'!$B$14,Расходка[[#This Row],[Наименование расходного материала]])),MAX($F$1:F1)+1,0)</calculatedColumnFormula>
    </tableColumn>
    <tableColumn id="3" xr3:uid="{00000000-0010-0000-0F00-000003000000}" name="Индекс3" dataDxfId="26">
      <calculatedColumnFormula>IF(ISNUMBER(SEARCH('Карта учёта'!$B$15,Расходка[[#This Row],[Наименование расходного материала]])),MAX($G$1:G1)+1,0)</calculatedColumnFormula>
    </tableColumn>
    <tableColumn id="4" xr3:uid="{00000000-0010-0000-0F00-000004000000}" name="Индекс4" dataDxfId="25">
      <calculatedColumnFormula>IF(ISNUMBER(SEARCH('Карта учёта'!$B$16,Расходка[[#This Row],[Наименование расходного материала]])),MAX($H$1:H1)+1,0)</calculatedColumnFormula>
    </tableColumn>
    <tableColumn id="5" xr3:uid="{00000000-0010-0000-0F00-000005000000}" name="Индекс5" dataDxfId="24">
      <calculatedColumnFormula>IF(ISNUMBER(SEARCH('Карта учёта'!$B$17,Расходка[[#This Row],[Наименование расходного материала]])),MAX($I$1:I1)+1,0)</calculatedColumnFormula>
    </tableColumn>
    <tableColumn id="6" xr3:uid="{00000000-0010-0000-0F00-000006000000}" name="Индекс6" dataDxfId="23">
      <calculatedColumnFormula>IF(ISNUMBER(SEARCH('Карта учёта'!$B$18,Расходка[[#This Row],[Наименование расходного материала]])),MAX($J$1:J1)+1,0)</calculatedColumnFormula>
    </tableColumn>
    <tableColumn id="7" xr3:uid="{00000000-0010-0000-0F00-000007000000}" name="Индекс7" dataDxfId="22">
      <calculatedColumnFormula>IF(ISNUMBER(SEARCH('Карта учёта'!$B$19,Расходка[[#This Row],[Наименование расходного материала]])),MAX($K$1:K1)+1,0)</calculatedColumnFormula>
    </tableColumn>
    <tableColumn id="8" xr3:uid="{00000000-0010-0000-0F00-000008000000}" name="Индекс8" dataDxfId="21">
      <calculatedColumnFormula>IF(ISNUMBER(SEARCH('Карта учёта'!$B$20,Расходка[[#This Row],[Наименование расходного материала]])),MAX($L$1:L1)+1,0)</calculatedColumnFormula>
    </tableColumn>
    <tableColumn id="9" xr3:uid="{00000000-0010-0000-0F00-000009000000}" name="Индекс9" dataDxfId="20">
      <calculatedColumnFormula>IF(ISNUMBER(SEARCH('Карта учёта'!$B$21,Расходка[[#This Row],[Наименование расходного материала]])),MAX($M$1:M1)+1,0)</calculatedColumnFormula>
    </tableColumn>
    <tableColumn id="10" xr3:uid="{00000000-0010-0000-0F00-00000A000000}" name="Индекс10" dataDxfId="19">
      <calculatedColumnFormula>IF(ISNUMBER(SEARCH('Карта учёта'!$B$22,Расходка[[#This Row],[Наименование расходного материала]])),MAX($N$1:N1)+1,0)</calculatedColumnFormula>
    </tableColumn>
    <tableColumn id="11" xr3:uid="{00000000-0010-0000-0F00-00000B000000}" name="Индекс11" dataDxfId="18">
      <calculatedColumnFormula>IF(ISNUMBER(SEARCH('Карта учёта'!$B$23,Расходка[[#This Row],[Наименование расходного материала]])),MAX($O$1:O1)+1,0)</calculatedColumnFormula>
    </tableColumn>
    <tableColumn id="12" xr3:uid="{00000000-0010-0000-0F00-00000C000000}" name="Индекс12" dataDxfId="17">
      <calculatedColumnFormula>IF(ISNUMBER(SEARCH('Карта учёта'!$B$24,Расходка[[#This Row],[Наименование расходного материала]])),MAX($P$1:P1)+1,0)</calculatedColumnFormula>
    </tableColumn>
    <tableColumn id="13" xr3:uid="{00000000-0010-0000-0F00-00000D000000}" name="Индекс13" dataDxfId="16">
      <calculatedColumnFormula>IF(ISNUMBER(SEARCH('Карта учёта'!$B$25,Расходка[[#This Row],[Наименование расходного материала]])),MAX($Q$1:Q1)+1,0)</calculatedColumnFormula>
    </tableColumn>
    <tableColumn id="14" xr3:uid="{00000000-0010-0000-0F00-00000E000000}" name="Фильтр1" dataDxfId="15">
      <calculatedColumnFormula>IFERROR(INDEX(Расходка[Наименование расходного материала],MATCH(Расходка[[#This Row],[№]],Поиск_расходки[Индекс1],0)),"")</calculatedColumnFormula>
    </tableColumn>
    <tableColumn id="15" xr3:uid="{00000000-0010-0000-0F00-00000F000000}" name="Фильтр2" dataDxfId="14">
      <calculatedColumnFormula>IFERROR(INDEX(Расходка[Наименование расходного материала],MATCH(Расходка[[#This Row],[№]],Поиск_расходки[Индекс2],0)),"")</calculatedColumnFormula>
    </tableColumn>
    <tableColumn id="16" xr3:uid="{00000000-0010-0000-0F00-000010000000}" name="Фильтр3" dataDxfId="13">
      <calculatedColumnFormula>IFERROR(INDEX(Расходка[Наименование расходного материала],MATCH(Расходка[[#This Row],[№]],Поиск_расходки[Индекс3],0)),"")</calculatedColumnFormula>
    </tableColumn>
    <tableColumn id="17" xr3:uid="{00000000-0010-0000-0F00-000011000000}" name="Фильтр4" dataDxfId="12">
      <calculatedColumnFormula>IFERROR(INDEX(Расходка[Наименование расходного материала],MATCH(Расходка[[#This Row],[№]],Поиск_расходки[Индекс4],0)),"")</calculatedColumnFormula>
    </tableColumn>
    <tableColumn id="18" xr3:uid="{00000000-0010-0000-0F00-000012000000}" name="Фильтр5" dataDxfId="11">
      <calculatedColumnFormula>IFERROR(INDEX(Расходка[Наименование расходного материала],MATCH(Расходка[[#This Row],[№]],Поиск_расходки[Индекс5],0)),"")</calculatedColumnFormula>
    </tableColumn>
    <tableColumn id="19" xr3:uid="{00000000-0010-0000-0F00-000013000000}" name="Фильтр6" dataDxfId="10">
      <calculatedColumnFormula>IFERROR(INDEX(Расходка[Наименование расходного материала],MATCH(Расходка[[#This Row],[№]],Поиск_расходки[Индекс6],0)),"")</calculatedColumnFormula>
    </tableColumn>
    <tableColumn id="20" xr3:uid="{00000000-0010-0000-0F00-000014000000}" name="Фильтр7" dataDxfId="9">
      <calculatedColumnFormula>IFERROR(INDEX(Расходка[Наименование расходного материала],MATCH(Расходка[[#This Row],[№]],Поиск_расходки[Индекс7],0)),"")</calculatedColumnFormula>
    </tableColumn>
    <tableColumn id="21" xr3:uid="{00000000-0010-0000-0F00-000015000000}" name="Фильтр8" dataDxfId="8">
      <calculatedColumnFormula>IFERROR(INDEX(Расходка[Наименование расходного материала],MATCH(Расходка[[#This Row],[№]],Поиск_расходки[Индекс8],0)),"")</calculatedColumnFormula>
    </tableColumn>
    <tableColumn id="22" xr3:uid="{00000000-0010-0000-0F00-000016000000}" name="Фильтр9" dataDxfId="7">
      <calculatedColumnFormula>IFERROR(INDEX(Расходка[Наименование расходного материала],MATCH(Расходка[[#This Row],[№]],Поиск_расходки[Индекс9],0)),"")</calculatedColumnFormula>
    </tableColumn>
    <tableColumn id="23" xr3:uid="{00000000-0010-0000-0F00-000017000000}" name="Фильтр10" dataDxfId="6">
      <calculatedColumnFormula>IFERROR(INDEX(Расходка[Наименование расходного материала],MATCH(Расходка[[#This Row],[№]],Поиск_расходки[Индекс10],0)),"")</calculatedColumnFormula>
    </tableColumn>
    <tableColumn id="24" xr3:uid="{00000000-0010-0000-0F00-000018000000}" name="Фильтр11" dataDxfId="5">
      <calculatedColumnFormula>IFERROR(INDEX(Расходка[Наименование расходного материала],MATCH(Расходка[[#This Row],[№]],Поиск_расходки[Индекс11],0)),"")</calculatedColumnFormula>
    </tableColumn>
    <tableColumn id="25" xr3:uid="{00000000-0010-0000-0F00-000019000000}" name="Фильтр12" dataDxfId="4">
      <calculatedColumnFormula>IFERROR(INDEX(Расходка[Наименование расходного материала],MATCH(Расходка[[#This Row],[№]],Поиск_расходки[Индекс12],0)),"")</calculatedColumnFormula>
    </tableColumn>
    <tableColumn id="26" xr3:uid="{00000000-0010-0000-0F00-00001A000000}"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Таблица19" displayName="Таблица19" ref="AI10:AI20" totalsRowShown="0">
  <autoFilter ref="AI10:AI20" xr:uid="{00000000-0009-0000-0100-000013000000}"/>
  <tableColumns count="1">
    <tableColumn id="1" xr3:uid="{00000000-0010-0000-1000-000001000000}" name="Наименование "/>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Коды_Расходки" displayName="Коды_Расходки" ref="AM1:AO12" totalsRowShown="0">
  <autoFilter ref="AM1:AO12" xr:uid="{00000000-0009-0000-0100-000015000000}"/>
  <tableColumns count="3">
    <tableColumn id="1" xr3:uid="{00000000-0010-0000-1100-000001000000}" name="Код НК МИ" dataDxfId="2"/>
    <tableColumn id="2" xr3:uid="{00000000-0010-0000-1100-000002000000}" name="АБР" dataDxfId="1"/>
    <tableColumn id="3" xr3:uid="{00000000-0010-0000-1100-000003000000}" name="Наименование"/>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2000000}" name="Сотрудники" displayName="Сотрудники" ref="A1:C17" totalsRowShown="0">
  <autoFilter ref="A1:C17" xr:uid="{00000000-0009-0000-0100-000005000000}"/>
  <tableColumns count="3">
    <tableColumn id="1" xr3:uid="{00000000-0010-0000-1200-000001000000}" name="Должность: "/>
    <tableColumn id="2" xr3:uid="{00000000-0010-0000-1200-000002000000}" name="ФИО"/>
    <tableColumn id="3" xr3:uid="{00000000-0010-0000-1200-000003000000}"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Таблица24" displayName="Таблица24" ref="A12:B16" headerRowCount="0" totalsRowShown="0" headerRowDxfId="103" dataDxfId="102">
  <tableColumns count="2">
    <tableColumn id="1" xr3:uid="{00000000-0010-0000-0100-000001000000}" name="Столбец1" headerRowDxfId="101" dataDxfId="100"/>
    <tableColumn id="2" xr3:uid="{00000000-0010-0000-0100-000002000000}" name="Столбец2" headerRowDxfId="99" dataDxfId="9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Сотрудники_2" displayName="Сотрудники_2" ref="A20:B89" totalsRowShown="0">
  <autoFilter ref="A20:B89" xr:uid="{00000000-0009-0000-0100-00000A000000}"/>
  <sortState xmlns:xlrd2="http://schemas.microsoft.com/office/spreadsheetml/2017/richdata2" ref="A21:B89">
    <sortCondition ref="A21:A89"/>
    <sortCondition ref="B21:B89"/>
  </sortState>
  <tableColumns count="2">
    <tableColumn id="1" xr3:uid="{00000000-0010-0000-1300-000001000000}" name="Должность"/>
    <tableColumn id="2" xr3:uid="{00000000-0010-0000-1300-000002000000}" name="Сотрудник"/>
  </tableColumns>
  <tableStyleInfo name="TableStyleMedium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4000000}" name="Должность" displayName="Должность" ref="E1:E11" totalsRowShown="0">
  <autoFilter ref="E1:E11" xr:uid="{00000000-0009-0000-0100-00000E000000}"/>
  <tableColumns count="1">
    <tableColumn id="1" xr3:uid="{00000000-0010-0000-1400-000001000000}" name="Должность"/>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Опер.Бригада12" displayName="Опер.Бригада12" ref="D13:H17" headerRowCount="0" totalsRowShown="0" headerRowDxfId="97" dataDxfId="96" tableBorderDxfId="95" totalsRowBorderDxfId="94">
  <tableColumns count="5">
    <tableColumn id="1" xr3:uid="{00000000-0010-0000-0200-000001000000}" name="Должность" headerRowDxfId="93" dataDxfId="92"/>
    <tableColumn id="5" xr3:uid="{00000000-0010-0000-0200-000005000000}" name="Столбец2" headerRowDxfId="91" dataDxfId="90"/>
    <tableColumn id="4" xr3:uid="{00000000-0010-0000-0200-000004000000}" name="Столбец1" headerRowDxfId="89" dataDxfId="88"/>
    <tableColumn id="2" xr3:uid="{00000000-0010-0000-0200-000002000000}" name="Бригада_1" headerRowDxfId="87" dataDxfId="86"/>
    <tableColumn id="3" xr3:uid="{00000000-0010-0000-0200-000003000000}"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Таблица2416" displayName="Таблица2416" ref="A17:B21" headerRowCount="0" totalsRowShown="0" headerRowDxfId="83" dataDxfId="82">
  <tableColumns count="2">
    <tableColumn id="1" xr3:uid="{00000000-0010-0000-0300-000001000000}" name="Столбец1" headerRowDxfId="81" dataDxfId="80"/>
    <tableColumn id="2" xr3:uid="{00000000-0010-0000-0300-000002000000}"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Карта_Учёта" displayName="Карта_Учёта" ref="A12:D25" totalsRowShown="0" headerRowDxfId="77" headerRowBorderDxfId="76" tableBorderDxfId="75">
  <tableColumns count="4">
    <tableColumn id="1" xr3:uid="{00000000-0010-0000-0400-000001000000}"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xr3:uid="{00000000-0010-0000-0400-000002000000}" name="Наименование расходного материала" dataDxfId="73"/>
    <tableColumn id="3" xr3:uid="{00000000-0010-0000-0400-000003000000}" name="Размер" dataDxfId="72"/>
    <tableColumn id="4" xr3:uid="{00000000-0010-0000-0400-000004000000}"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Манипуляции" displayName="Манипуляции" ref="A4:B6" headerRowDxfId="70" dataDxfId="69">
  <tableColumns count="2">
    <tableColumn id="1" xr3:uid="{00000000-0010-0000-0500-000001000000}"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xr3:uid="{00000000-0010-0000-0500-000002000000}"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Вмешательства" displayName="Вмешательства" ref="A1:D35" totalsRowShown="0" headerRowDxfId="66" tableBorderDxfId="65">
  <tableColumns count="4">
    <tableColumn id="1" xr3:uid="{00000000-0010-0000-0600-000001000000}" name="№" dataDxfId="64"/>
    <tableColumn id="2" xr3:uid="{00000000-0010-0000-0600-000002000000}" name="Код услуги" dataDxfId="63"/>
    <tableColumn id="3" xr3:uid="{00000000-0010-0000-0600-000003000000}" name="Номенклатура мед.услуги" dataDxfId="62"/>
    <tableColumn id="4" xr3:uid="{00000000-0010-0000-0600-000004000000}"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7000000}" name="Локализация" displayName="Локализация" ref="V1:V13">
  <autoFilter ref="V1:V13" xr:uid="{00000000-0009-0000-0100-000010000000}"/>
  <tableColumns count="1">
    <tableColumn id="1" xr3:uid="{00000000-0010-0000-0700-000001000000}" name="Локализация"/>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Таблица2" displayName="Таблица2" ref="V15:V17" totalsRowShown="0">
  <autoFilter ref="V15:V17" xr:uid="{00000000-0009-0000-0100-000002000000}"/>
  <tableColumns count="1">
    <tableColumn id="1" xr3:uid="{00000000-0010-0000-0800-000001000000}"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M54"/>
  <sheetViews>
    <sheetView showGridLines="0" tabSelected="1" showWhiteSpace="0" view="pageBreakPreview" topLeftCell="A4" zoomScaleNormal="100" zoomScaleSheetLayoutView="100" zoomScalePageLayoutView="90" workbookViewId="0">
      <selection activeCell="B11" sqref="B11"/>
    </sheetView>
  </sheetViews>
  <sheetFormatPr defaultColWidth="8.85546875" defaultRowHeight="15" x14ac:dyDescent="0.2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x14ac:dyDescent="0.25">
      <c r="A6" s="211" t="s">
        <v>213</v>
      </c>
      <c r="B6" s="212"/>
      <c r="C6" s="212"/>
      <c r="D6" s="212"/>
      <c r="E6" s="212"/>
      <c r="F6" s="212"/>
      <c r="G6" s="212"/>
      <c r="H6" s="213"/>
    </row>
    <row r="7" spans="1:8" x14ac:dyDescent="0.25">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x14ac:dyDescent="0.25">
      <c r="A8" s="14" t="s">
        <v>191</v>
      </c>
      <c r="B8" s="20">
        <v>45142</v>
      </c>
      <c r="C8" s="54"/>
      <c r="D8" s="16" t="s">
        <v>186</v>
      </c>
      <c r="E8" s="29"/>
      <c r="F8" s="29"/>
      <c r="G8" s="17"/>
      <c r="H8" s="18"/>
    </row>
    <row r="9" spans="1:8" ht="15.6" customHeight="1" x14ac:dyDescent="0.25">
      <c r="A9" s="21" t="s">
        <v>193</v>
      </c>
      <c r="B9" s="22">
        <v>0.79166666666666663</v>
      </c>
      <c r="C9" s="54"/>
      <c r="D9" s="94" t="s">
        <v>172</v>
      </c>
      <c r="E9" s="92"/>
      <c r="F9" s="92"/>
      <c r="G9" s="23" t="s">
        <v>163</v>
      </c>
      <c r="H9" s="25"/>
    </row>
    <row r="10" spans="1:8" ht="15.6" customHeight="1" thickBot="1" x14ac:dyDescent="0.3">
      <c r="A10" s="83" t="s">
        <v>194</v>
      </c>
      <c r="B10" s="84">
        <v>0.8125</v>
      </c>
      <c r="C10" s="55"/>
      <c r="D10" s="95" t="s">
        <v>173</v>
      </c>
      <c r="E10" s="93"/>
      <c r="F10" s="93"/>
      <c r="G10" s="24" t="s">
        <v>156</v>
      </c>
      <c r="H10" s="26"/>
    </row>
    <row r="11" spans="1:8" ht="17.25" thickTop="1" thickBot="1" x14ac:dyDescent="0.3">
      <c r="A11" s="89" t="s">
        <v>192</v>
      </c>
      <c r="B11" s="201" t="s">
        <v>524</v>
      </c>
      <c r="C11" s="8"/>
      <c r="D11" s="95" t="s">
        <v>170</v>
      </c>
      <c r="E11" s="93"/>
      <c r="F11" s="93"/>
      <c r="G11" s="24" t="s">
        <v>254</v>
      </c>
      <c r="H11" s="26"/>
    </row>
    <row r="12" spans="1:8" ht="16.5" thickTop="1" x14ac:dyDescent="0.25">
      <c r="A12" s="81" t="s">
        <v>8</v>
      </c>
      <c r="B12" s="82">
        <v>20787</v>
      </c>
      <c r="C12" s="12"/>
      <c r="D12" s="95" t="s">
        <v>303</v>
      </c>
      <c r="E12" s="93"/>
      <c r="F12" s="93"/>
      <c r="G12" s="24" t="s">
        <v>509</v>
      </c>
      <c r="H12" s="26"/>
    </row>
    <row r="13" spans="1:8" ht="15.75" x14ac:dyDescent="0.25">
      <c r="A13" s="15" t="s">
        <v>10</v>
      </c>
      <c r="B13" s="30">
        <f>DATEDIF(B12,B8,"y")</f>
        <v>66</v>
      </c>
      <c r="C13" s="12"/>
      <c r="D13" s="95"/>
      <c r="E13" s="93"/>
      <c r="F13" s="93"/>
      <c r="G13" s="24"/>
      <c r="H13" s="26"/>
    </row>
    <row r="14" spans="1:8" ht="15.75" x14ac:dyDescent="0.25">
      <c r="A14" s="15" t="s">
        <v>12</v>
      </c>
      <c r="B14" s="19">
        <v>21052</v>
      </c>
      <c r="C14" s="12"/>
      <c r="D14" s="36"/>
      <c r="E14" s="36"/>
      <c r="F14" s="36"/>
      <c r="G14" s="37"/>
      <c r="H14" s="56"/>
    </row>
    <row r="15" spans="1:8" ht="15.75" x14ac:dyDescent="0.25">
      <c r="A15" s="15" t="s">
        <v>133</v>
      </c>
      <c r="B15" s="19">
        <v>35</v>
      </c>
      <c r="D15" s="36"/>
      <c r="E15" s="36"/>
      <c r="F15" s="36"/>
      <c r="G15" s="166" t="s">
        <v>403</v>
      </c>
      <c r="H15" s="170" t="s">
        <v>519</v>
      </c>
    </row>
    <row r="16" spans="1:8" ht="15.6" customHeight="1" x14ac:dyDescent="0.25">
      <c r="A16" s="15" t="s">
        <v>106</v>
      </c>
      <c r="B16" s="19" t="s">
        <v>312</v>
      </c>
      <c r="D16" s="36"/>
      <c r="E16" s="36"/>
      <c r="F16" s="36"/>
      <c r="G16" s="167" t="s">
        <v>406</v>
      </c>
      <c r="H16" s="165">
        <v>4470</v>
      </c>
    </row>
    <row r="17" spans="1:8" ht="14.45" customHeight="1" x14ac:dyDescent="0.25">
      <c r="A17" s="40"/>
      <c r="B17" s="31"/>
      <c r="C17" s="31"/>
      <c r="D17" s="88"/>
      <c r="E17" s="88"/>
      <c r="F17" s="88"/>
      <c r="G17" s="168" t="s">
        <v>392</v>
      </c>
      <c r="H17" s="169">
        <f>H16*0.0019</f>
        <v>8.4930000000000003</v>
      </c>
    </row>
    <row r="18" spans="1:8" ht="14.45" customHeight="1" x14ac:dyDescent="0.25">
      <c r="A18" s="57" t="s">
        <v>188</v>
      </c>
      <c r="B18" s="87" t="s">
        <v>404</v>
      </c>
      <c r="D18" s="28" t="s">
        <v>210</v>
      </c>
      <c r="E18" s="28"/>
      <c r="F18" s="28"/>
      <c r="G18" s="85" t="s">
        <v>189</v>
      </c>
      <c r="H18" s="86" t="s">
        <v>511</v>
      </c>
    </row>
    <row r="19" spans="1:8" ht="14.45" customHeight="1" x14ac:dyDescent="0.25">
      <c r="A19" s="40"/>
      <c r="B19" s="31"/>
      <c r="C19" s="31"/>
      <c r="D19" s="34"/>
      <c r="E19" s="34"/>
      <c r="F19" s="34"/>
      <c r="G19" s="31"/>
      <c r="H19" s="41"/>
    </row>
    <row r="20" spans="1:8" ht="14.45" customHeight="1" x14ac:dyDescent="0.25">
      <c r="A20" s="57" t="s">
        <v>212</v>
      </c>
      <c r="B20" s="214" t="s">
        <v>520</v>
      </c>
      <c r="C20" s="215"/>
      <c r="D20" s="215"/>
      <c r="E20" s="215"/>
      <c r="F20" s="215"/>
      <c r="G20" s="215"/>
      <c r="H20" s="216"/>
    </row>
    <row r="21" spans="1:8" x14ac:dyDescent="0.25">
      <c r="A21" s="58"/>
      <c r="B21" s="217"/>
      <c r="C21" s="217"/>
      <c r="D21" s="217"/>
      <c r="E21" s="217"/>
      <c r="F21" s="217"/>
      <c r="G21" s="217"/>
      <c r="H21" s="218"/>
    </row>
    <row r="22" spans="1:8" ht="15.6" customHeight="1" x14ac:dyDescent="0.25">
      <c r="A22" s="59" t="s">
        <v>271</v>
      </c>
      <c r="B22" s="219" t="s">
        <v>522</v>
      </c>
      <c r="C22" s="219"/>
      <c r="D22" s="219"/>
      <c r="E22" s="219"/>
      <c r="F22" s="219"/>
      <c r="G22" s="219"/>
      <c r="H22" s="220"/>
    </row>
    <row r="23" spans="1:8" ht="14.45" customHeight="1" x14ac:dyDescent="0.25">
      <c r="A23" s="38"/>
      <c r="B23" s="221"/>
      <c r="C23" s="221"/>
      <c r="D23" s="221"/>
      <c r="E23" s="221"/>
      <c r="F23" s="221"/>
      <c r="G23" s="221"/>
      <c r="H23" s="222"/>
    </row>
    <row r="24" spans="1:8" ht="14.45" customHeight="1" x14ac:dyDescent="0.25">
      <c r="A24" s="60"/>
      <c r="B24" s="221"/>
      <c r="C24" s="221"/>
      <c r="D24" s="221"/>
      <c r="E24" s="221"/>
      <c r="F24" s="221"/>
      <c r="G24" s="221"/>
      <c r="H24" s="222"/>
    </row>
    <row r="25" spans="1:8" ht="14.45" customHeight="1" x14ac:dyDescent="0.25">
      <c r="A25" s="38"/>
      <c r="B25" s="221"/>
      <c r="C25" s="221"/>
      <c r="D25" s="221"/>
      <c r="E25" s="221"/>
      <c r="F25" s="221"/>
      <c r="G25" s="221"/>
      <c r="H25" s="222"/>
    </row>
    <row r="26" spans="1:8" ht="14.45" customHeight="1" x14ac:dyDescent="0.25">
      <c r="A26" s="40"/>
      <c r="B26" s="223"/>
      <c r="C26" s="223"/>
      <c r="D26" s="223"/>
      <c r="E26" s="223"/>
      <c r="F26" s="223"/>
      <c r="G26" s="223"/>
      <c r="H26" s="224"/>
    </row>
    <row r="27" spans="1:8" ht="14.45" customHeight="1" x14ac:dyDescent="0.25">
      <c r="A27" s="59" t="s">
        <v>272</v>
      </c>
      <c r="B27" s="219" t="s">
        <v>521</v>
      </c>
      <c r="C27" s="219"/>
      <c r="D27" s="219"/>
      <c r="E27" s="219"/>
      <c r="F27" s="219"/>
      <c r="G27" s="219"/>
      <c r="H27" s="220"/>
    </row>
    <row r="28" spans="1:8" ht="15.6" customHeight="1" x14ac:dyDescent="0.25">
      <c r="A28" s="38"/>
      <c r="B28" s="221"/>
      <c r="C28" s="221"/>
      <c r="D28" s="221"/>
      <c r="E28" s="221"/>
      <c r="F28" s="221"/>
      <c r="G28" s="221"/>
      <c r="H28" s="222"/>
    </row>
    <row r="29" spans="1:8" ht="14.45" customHeight="1" x14ac:dyDescent="0.25">
      <c r="A29" s="38"/>
      <c r="B29" s="221"/>
      <c r="C29" s="221"/>
      <c r="D29" s="221"/>
      <c r="E29" s="221"/>
      <c r="F29" s="221"/>
      <c r="G29" s="221"/>
      <c r="H29" s="222"/>
    </row>
    <row r="30" spans="1:8" ht="14.45" customHeight="1" x14ac:dyDescent="0.25">
      <c r="A30" s="32"/>
      <c r="B30" s="221"/>
      <c r="C30" s="221"/>
      <c r="D30" s="221"/>
      <c r="E30" s="221"/>
      <c r="F30" s="221"/>
      <c r="G30" s="221"/>
      <c r="H30" s="222"/>
    </row>
    <row r="31" spans="1:8" ht="14.45" customHeight="1" x14ac:dyDescent="0.25">
      <c r="A31" s="33"/>
      <c r="B31" s="223"/>
      <c r="C31" s="223"/>
      <c r="D31" s="223"/>
      <c r="E31" s="223"/>
      <c r="F31" s="223"/>
      <c r="G31" s="223"/>
      <c r="H31" s="224"/>
    </row>
    <row r="32" spans="1:8" ht="14.45" customHeight="1" x14ac:dyDescent="0.25">
      <c r="A32" s="59" t="s">
        <v>273</v>
      </c>
      <c r="B32" s="219" t="s">
        <v>522</v>
      </c>
      <c r="C32" s="219"/>
      <c r="D32" s="219"/>
      <c r="E32" s="219"/>
      <c r="F32" s="219"/>
      <c r="G32" s="219"/>
      <c r="H32" s="220"/>
    </row>
    <row r="33" spans="1:8" ht="14.45" customHeight="1" x14ac:dyDescent="0.25">
      <c r="A33" s="38"/>
      <c r="B33" s="221"/>
      <c r="C33" s="221"/>
      <c r="D33" s="221"/>
      <c r="E33" s="221"/>
      <c r="F33" s="221"/>
      <c r="G33" s="221"/>
      <c r="H33" s="222"/>
    </row>
    <row r="34" spans="1:8" ht="15.6" customHeight="1" x14ac:dyDescent="0.25">
      <c r="A34" s="38"/>
      <c r="B34" s="221"/>
      <c r="C34" s="221"/>
      <c r="D34" s="221"/>
      <c r="E34" s="221"/>
      <c r="F34" s="221"/>
      <c r="G34" s="221"/>
      <c r="H34" s="222"/>
    </row>
    <row r="35" spans="1:8" ht="14.45" customHeight="1" x14ac:dyDescent="0.25">
      <c r="A35" s="38"/>
      <c r="B35" s="221"/>
      <c r="C35" s="221"/>
      <c r="D35" s="221"/>
      <c r="E35" s="221"/>
      <c r="F35" s="221"/>
      <c r="G35" s="221"/>
      <c r="H35" s="222"/>
    </row>
    <row r="36" spans="1:8" ht="15.6" customHeight="1" x14ac:dyDescent="0.25">
      <c r="A36" s="38"/>
      <c r="B36" s="221"/>
      <c r="C36" s="221"/>
      <c r="D36" s="221"/>
      <c r="E36" s="221"/>
      <c r="F36" s="221"/>
      <c r="G36" s="221"/>
      <c r="H36" s="222"/>
    </row>
    <row r="37" spans="1:8" ht="14.45" customHeight="1" x14ac:dyDescent="0.25">
      <c r="A37" s="38"/>
      <c r="D37" s="207" t="str">
        <f>IF($A$6=Вмешательства!$D$3,Вмешательства!$F$18,"")</f>
        <v/>
      </c>
      <c r="E37" s="207"/>
      <c r="F37" s="119"/>
      <c r="G37" s="119"/>
      <c r="H37" s="123"/>
    </row>
    <row r="38" spans="1:8" ht="14.45" customHeight="1" x14ac:dyDescent="0.25">
      <c r="A38" s="38"/>
      <c r="C38" s="124"/>
      <c r="D38" s="208"/>
      <c r="E38" s="209"/>
      <c r="F38" s="209"/>
      <c r="G38" s="209"/>
      <c r="H38" s="210"/>
    </row>
    <row r="39" spans="1:8" ht="14.45" customHeight="1" x14ac:dyDescent="0.25">
      <c r="A39" s="35"/>
      <c r="B39" s="119"/>
      <c r="C39" s="124"/>
      <c r="D39" s="209"/>
      <c r="E39" s="209"/>
      <c r="F39" s="209"/>
      <c r="G39" s="209"/>
      <c r="H39" s="210"/>
    </row>
    <row r="40" spans="1:8" ht="14.45" customHeight="1" x14ac:dyDescent="0.25">
      <c r="A40" s="35"/>
      <c r="B40" s="119"/>
      <c r="C40" s="124"/>
      <c r="D40" s="209"/>
      <c r="E40" s="209"/>
      <c r="F40" s="209"/>
      <c r="G40" s="209"/>
      <c r="H40" s="210"/>
    </row>
    <row r="41" spans="1:8" ht="14.45" customHeight="1" x14ac:dyDescent="0.25">
      <c r="A41" s="35"/>
      <c r="B41" s="119"/>
      <c r="C41" s="124"/>
      <c r="D41" s="209"/>
      <c r="E41" s="209"/>
      <c r="F41" s="209"/>
      <c r="G41" s="209"/>
      <c r="H41" s="210"/>
    </row>
    <row r="42" spans="1:8" ht="14.45" customHeight="1" x14ac:dyDescent="0.25">
      <c r="A42" s="35"/>
      <c r="B42" s="119"/>
      <c r="C42" s="125"/>
      <c r="D42" s="128"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Рекомендовано:</v>
      </c>
      <c r="E42" s="42"/>
      <c r="F42" s="42"/>
      <c r="G42" s="42"/>
      <c r="H42" s="61"/>
    </row>
    <row r="43" spans="1:8" ht="14.45" customHeight="1" x14ac:dyDescent="0.25">
      <c r="A43" s="35"/>
      <c r="B43" s="119"/>
      <c r="C43" s="126"/>
      <c r="D43" s="204" t="s">
        <v>523</v>
      </c>
      <c r="E43" s="205"/>
      <c r="F43" s="205"/>
      <c r="G43" s="205"/>
      <c r="H43" s="206"/>
    </row>
    <row r="44" spans="1:8" ht="14.45" customHeight="1" x14ac:dyDescent="0.25">
      <c r="A44" s="35"/>
      <c r="B44" s="119"/>
      <c r="C44" s="126"/>
      <c r="D44" s="205"/>
      <c r="E44" s="205"/>
      <c r="F44" s="205"/>
      <c r="G44" s="205"/>
      <c r="H44" s="206"/>
    </row>
    <row r="45" spans="1:8" ht="14.45" customHeight="1" x14ac:dyDescent="0.25">
      <c r="A45" s="35"/>
      <c r="B45" s="119"/>
      <c r="C45" s="126"/>
      <c r="D45" s="205"/>
      <c r="E45" s="205"/>
      <c r="F45" s="205"/>
      <c r="G45" s="205"/>
      <c r="H45" s="206"/>
    </row>
    <row r="46" spans="1:8" x14ac:dyDescent="0.25">
      <c r="A46" s="35"/>
      <c r="B46" s="119"/>
      <c r="C46" s="126"/>
      <c r="D46" s="205"/>
      <c r="E46" s="205"/>
      <c r="F46" s="205"/>
      <c r="G46" s="205"/>
      <c r="H46" s="206"/>
    </row>
    <row r="47" spans="1:8" x14ac:dyDescent="0.25">
      <c r="A47" s="38"/>
      <c r="C47" s="126"/>
      <c r="D47" s="205"/>
      <c r="E47" s="205"/>
      <c r="F47" s="205"/>
      <c r="G47" s="205"/>
      <c r="H47" s="206"/>
    </row>
    <row r="48" spans="1:8" x14ac:dyDescent="0.25">
      <c r="A48" s="38"/>
      <c r="C48" s="126"/>
      <c r="D48" s="205"/>
      <c r="E48" s="205"/>
      <c r="F48" s="205"/>
      <c r="G48" s="205"/>
      <c r="H48" s="206"/>
    </row>
    <row r="49" spans="1:13" x14ac:dyDescent="0.25">
      <c r="A49" s="40"/>
      <c r="B49" s="31"/>
      <c r="C49" s="127"/>
      <c r="D49" s="205"/>
      <c r="E49" s="205"/>
      <c r="F49" s="205"/>
      <c r="G49" s="205"/>
      <c r="H49" s="206"/>
    </row>
    <row r="50" spans="1:13" x14ac:dyDescent="0.25">
      <c r="A50" s="38"/>
      <c r="D50" s="205"/>
      <c r="E50" s="205"/>
      <c r="F50" s="205"/>
      <c r="G50" s="205"/>
      <c r="H50" s="206"/>
      <c r="M50" t="s">
        <v>211</v>
      </c>
    </row>
    <row r="51" spans="1:13" x14ac:dyDescent="0.25">
      <c r="A51" s="62" t="s">
        <v>199</v>
      </c>
      <c r="B51" s="63" t="s">
        <v>514</v>
      </c>
      <c r="G51" s="74" t="str">
        <f>$G$9</f>
        <v>Щербаков А.С.</v>
      </c>
      <c r="H51" s="64"/>
    </row>
    <row r="52" spans="1:13" x14ac:dyDescent="0.25">
      <c r="A52" s="38"/>
      <c r="H52" s="39"/>
    </row>
    <row r="53" spans="1:13" x14ac:dyDescent="0.25">
      <c r="A53" s="65" t="s">
        <v>206</v>
      </c>
      <c r="B53" s="66" t="s">
        <v>311</v>
      </c>
      <c r="G53" s="74" t="str">
        <f>IF(ISBLANK(H9),"",H9)</f>
        <v/>
      </c>
      <c r="H53" s="64"/>
    </row>
    <row r="54" spans="1:13" x14ac:dyDescent="0.25">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xr:uid="{00000000-0002-0000-0000-000000000000}">
      <formula1>INDIRECT("Должность[Должность]")</formula1>
    </dataValidation>
    <dataValidation type="list" allowBlank="1" showInputMessage="1" showErrorMessage="1" sqref="H9:H13" xr:uid="{00000000-0002-0000-0000-000001000000}">
      <formula1>Должность_Сотрудник</formula1>
    </dataValidation>
    <dataValidation type="list" allowBlank="1" showInputMessage="1" showErrorMessage="1" sqref="A51" xr:uid="{00000000-0002-0000-0000-000002000000}">
      <formula1>INDIRECT("Контраст[Название]")</formula1>
    </dataValidation>
    <dataValidation type="list" allowBlank="1" showInputMessage="1" showErrorMessage="1" sqref="B53" xr:uid="{00000000-0002-0000-0000-000003000000}">
      <formula1>"Извлечён,Оставлен,М/О ушито Angio-Seal™"</formula1>
    </dataValidation>
    <dataValidation type="list" allowBlank="1" showInputMessage="1" showErrorMessage="1" sqref="H18" xr:uid="{00000000-0002-0000-0000-000004000000}">
      <formula1>"лучевой,ульнарный,локтевой,дистальный,бедренный,rad et femoral"</formula1>
    </dataValidation>
    <dataValidation type="list" allowBlank="1" showInputMessage="1" showErrorMessage="1" sqref="B51" xr:uid="{00000000-0002-0000-0000-000005000000}">
      <formula1>"50 ml,100 ml,150 ml,200 ml,250 ml,300 ml,350 ml,400 ml,450 ml,500 ml,"</formula1>
    </dataValidation>
    <dataValidation type="list" allowBlank="1" showInputMessage="1" showErrorMessage="1" sqref="E15:F15 B18" xr:uid="{00000000-0002-0000-0000-000006000000}">
      <formula1>"Правый,Левый,Сбалансированный "</formula1>
    </dataValidation>
    <dataValidation type="list" allowBlank="1" showInputMessage="1" showErrorMessage="1" sqref="A6:H6" xr:uid="{00000000-0002-0000-0000-000007000000}">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xr:uid="{00000000-0002-0000-0000-000008000000}">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9000000}">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L54"/>
  <sheetViews>
    <sheetView showGridLines="0" showWhiteSpace="0" view="pageBreakPreview" zoomScaleNormal="100" zoomScaleSheetLayoutView="100" zoomScalePageLayoutView="90" workbookViewId="0">
      <selection activeCell="A6" sqref="A6:H7"/>
    </sheetView>
  </sheetViews>
  <sheetFormatPr defaultColWidth="8.85546875" defaultRowHeight="15" x14ac:dyDescent="0.2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ht="15.6" customHeight="1" x14ac:dyDescent="0.25">
      <c r="A6" s="235"/>
      <c r="B6" s="236"/>
      <c r="C6" s="236"/>
      <c r="D6" s="236"/>
      <c r="E6" s="236"/>
      <c r="F6" s="236"/>
      <c r="G6" s="236"/>
      <c r="H6" s="237"/>
    </row>
    <row r="7" spans="1:8" ht="21.6" customHeight="1" x14ac:dyDescent="0.25">
      <c r="A7" s="235"/>
      <c r="B7" s="236"/>
      <c r="C7" s="236"/>
      <c r="D7" s="236"/>
      <c r="E7" s="236"/>
      <c r="F7" s="236"/>
      <c r="G7" s="236"/>
      <c r="H7" s="237"/>
    </row>
    <row r="8" spans="1:8" ht="17.25" thickBot="1" x14ac:dyDescent="0.35">
      <c r="A8" s="52" t="str">
        <f>"Код по ЕНМУ:"&amp;" "&amp;IFERROR(INDEX(Вмешательства[Номенклатура мед.услуги],MATCH(ЧКВ!A6,Вмешательства[Рентгенэндоваскулярная диагностика и лечение],0)),"")</f>
        <v xml:space="preserve">Код по ЕНМУ: </v>
      </c>
      <c r="C8" s="234" t="s">
        <v>218</v>
      </c>
      <c r="D8" s="234"/>
      <c r="E8" s="234"/>
      <c r="F8" s="191">
        <v>2</v>
      </c>
      <c r="G8" s="118" t="s">
        <v>309</v>
      </c>
      <c r="H8" s="159"/>
    </row>
    <row r="9" spans="1:8" ht="15.75" thickTop="1" x14ac:dyDescent="0.25">
      <c r="A9" s="52" t="str">
        <f>"Код модели:"&amp;" "&amp;IFERROR(IF(ISBLANK(H8),IF(A6=Вмешательства!D4,INDEX(Код.Модели[#All],MATCH(ЧКВ!B21,Код.Модели[[#All],[Диагноз]],0),MATCH(ЧКВ!C11,Вмешательства!F2:T2,0))," ")," "),"")</f>
        <v xml:space="preserve">Код модели:  </v>
      </c>
      <c r="C9" s="234"/>
      <c r="D9" s="234"/>
      <c r="E9" s="234"/>
      <c r="F9" s="191"/>
      <c r="G9" s="118"/>
      <c r="H9" s="39"/>
    </row>
    <row r="10" spans="1:8" x14ac:dyDescent="0.25">
      <c r="A10" s="52" t="str">
        <f>"Код метода:"&amp;" "&amp;IFERROR(IF(ISBLANK(ЧКВ!H8),IF(A6=Вмешательства!D4,INDEX(Код.Метода[#All],MATCH(ЧКВ!B21,Код.Метода[[#All],[Диагноз]],0),MATCH(ЧКВ!C11,Вмешательства!F12:T12,0))," ")," "),"")</f>
        <v xml:space="preserve">Код метода:  </v>
      </c>
      <c r="B10" s="190"/>
      <c r="C10" s="238"/>
      <c r="D10" s="238"/>
      <c r="E10" s="238"/>
      <c r="F10" s="195"/>
      <c r="G10" s="118"/>
      <c r="H10" s="39"/>
    </row>
    <row r="11" spans="1:8" x14ac:dyDescent="0.25">
      <c r="A11" s="193"/>
      <c r="B11" s="198"/>
      <c r="C11" s="194">
        <f>SUM(F8:F10)</f>
        <v>2</v>
      </c>
      <c r="H11" s="39"/>
    </row>
    <row r="12" spans="1:8" ht="18.75" x14ac:dyDescent="0.25">
      <c r="A12" s="75" t="s">
        <v>191</v>
      </c>
      <c r="B12" s="20">
        <f>КАГ!B8</f>
        <v>45142</v>
      </c>
      <c r="C12" s="12"/>
      <c r="D12" s="16" t="s">
        <v>186</v>
      </c>
      <c r="E12" s="29"/>
      <c r="F12" s="29"/>
      <c r="G12" s="17"/>
      <c r="H12" s="18"/>
    </row>
    <row r="13" spans="1:8" ht="15.75" x14ac:dyDescent="0.25">
      <c r="A13" s="76" t="s">
        <v>193</v>
      </c>
      <c r="B13" s="22">
        <v>0.70486111111111116</v>
      </c>
      <c r="C13" s="12"/>
      <c r="D13" s="94" t="s">
        <v>172</v>
      </c>
      <c r="E13" s="92"/>
      <c r="F13" s="92"/>
      <c r="G13" s="79" t="str">
        <f>КАГ!G9</f>
        <v>Щербаков А.С.</v>
      </c>
      <c r="H13" s="90" t="str">
        <f>IF(ISBLANK(КАГ!H9),"",КАГ!H9)</f>
        <v/>
      </c>
    </row>
    <row r="14" spans="1:8" ht="15.75" x14ac:dyDescent="0.25">
      <c r="A14" s="76" t="s">
        <v>194</v>
      </c>
      <c r="B14" s="22">
        <v>0.76388888888888884</v>
      </c>
      <c r="C14" s="12"/>
      <c r="D14" s="95" t="s">
        <v>173</v>
      </c>
      <c r="E14" s="93"/>
      <c r="F14" s="93"/>
      <c r="G14" s="80" t="str">
        <f>КАГ!G10</f>
        <v>Мешалкина И.В.</v>
      </c>
      <c r="H14" s="91" t="str">
        <f>IF(ISBLANK(КАГ!H10),"",КАГ!H10)</f>
        <v/>
      </c>
    </row>
    <row r="15" spans="1:8" ht="16.5" thickBot="1" x14ac:dyDescent="0.3">
      <c r="A15" s="164" t="s">
        <v>391</v>
      </c>
      <c r="B15" s="189">
        <f>IF(B14&lt;B13,B14+1,B14)-B13</f>
        <v>5.9027777777777679E-2</v>
      </c>
      <c r="D15" s="95" t="s">
        <v>170</v>
      </c>
      <c r="E15" s="93"/>
      <c r="F15" s="93"/>
      <c r="G15" s="80" t="str">
        <f>КАГ!G11</f>
        <v>Молотков А.В.</v>
      </c>
      <c r="H15" s="91" t="str">
        <f>IF(ISBLANK(КАГ!H11),"",КАГ!H11)</f>
        <v/>
      </c>
    </row>
    <row r="16" spans="1:8" ht="17.25" thickTop="1" thickBot="1" x14ac:dyDescent="0.3">
      <c r="A16" s="89" t="s">
        <v>192</v>
      </c>
      <c r="B16" s="203" t="str">
        <f>КАГ!B11</f>
        <v>Широчина Т.А.</v>
      </c>
      <c r="D16" s="95" t="s">
        <v>303</v>
      </c>
      <c r="E16" s="93"/>
      <c r="F16" s="93"/>
      <c r="G16" s="80" t="str">
        <f>КАГ!G12</f>
        <v>Прудникова Ю.А.</v>
      </c>
      <c r="H16" s="91" t="str">
        <f>IF(ISBLANK(КАГ!H12),"",КАГ!H12)</f>
        <v/>
      </c>
    </row>
    <row r="17" spans="1:8" ht="16.5" thickTop="1" x14ac:dyDescent="0.25">
      <c r="A17" s="15" t="s">
        <v>8</v>
      </c>
      <c r="B17" s="67">
        <f>КАГ!B12</f>
        <v>20787</v>
      </c>
      <c r="D17" s="95" t="s">
        <v>184</v>
      </c>
      <c r="E17" s="93"/>
      <c r="F17" s="93"/>
      <c r="G17" s="80" t="str">
        <f>IF(ISBLANK(КАГ!G13),"",КАГ!G13)</f>
        <v/>
      </c>
      <c r="H17" s="91" t="str">
        <f>IF(ISBLANK(КАГ!H13),"",КАГ!H13)</f>
        <v/>
      </c>
    </row>
    <row r="18" spans="1:8" ht="15.75" x14ac:dyDescent="0.25">
      <c r="A18" s="15" t="s">
        <v>10</v>
      </c>
      <c r="B18" s="30">
        <f>КАГ!B13</f>
        <v>66</v>
      </c>
      <c r="H18" s="39"/>
    </row>
    <row r="19" spans="1:8" ht="14.45" customHeight="1" x14ac:dyDescent="0.25">
      <c r="A19" s="15" t="s">
        <v>12</v>
      </c>
      <c r="B19" s="68">
        <f>КАГ!B14</f>
        <v>21052</v>
      </c>
      <c r="C19" s="69"/>
      <c r="D19" s="69"/>
      <c r="E19" s="69"/>
      <c r="F19" s="69"/>
      <c r="G19" s="166" t="s">
        <v>403</v>
      </c>
      <c r="H19" s="181" t="str">
        <f>КАГ!H15</f>
        <v>02:42</v>
      </c>
    </row>
    <row r="20" spans="1:8" ht="14.45" customHeight="1" x14ac:dyDescent="0.25">
      <c r="A20" s="15" t="s">
        <v>133</v>
      </c>
      <c r="B20" s="68">
        <f>КАГ!B15</f>
        <v>35</v>
      </c>
      <c r="C20" s="70"/>
      <c r="D20" s="70"/>
      <c r="E20" s="70"/>
      <c r="F20" s="70"/>
      <c r="G20" s="167" t="s">
        <v>406</v>
      </c>
      <c r="H20" s="182">
        <f>КАГ!H16</f>
        <v>4470</v>
      </c>
    </row>
    <row r="21" spans="1:8" ht="14.45" customHeight="1" x14ac:dyDescent="0.25">
      <c r="A21" s="15" t="s">
        <v>106</v>
      </c>
      <c r="B21" s="67" t="str">
        <f>КАГ!B16</f>
        <v>ОКС БПST</v>
      </c>
      <c r="C21" s="70"/>
      <c r="E21" s="71"/>
      <c r="F21" s="71"/>
      <c r="G21" s="168" t="s">
        <v>392</v>
      </c>
      <c r="H21" s="169">
        <f>КАГ!H17</f>
        <v>8.4930000000000003</v>
      </c>
    </row>
    <row r="22" spans="1:8" ht="14.45" customHeight="1" x14ac:dyDescent="0.25">
      <c r="A22" s="57" t="str">
        <f>КАГ!G18</f>
        <v>Доступ:</v>
      </c>
      <c r="B22" s="77" t="str">
        <f>КАГ!H18</f>
        <v>лучевой</v>
      </c>
      <c r="C22" s="70"/>
      <c r="D22" s="70"/>
      <c r="E22" s="70"/>
      <c r="F22" s="70"/>
      <c r="G22" s="185" t="str">
        <f>IF(B21=Вмешательства!F3,Вмешательства!F19,"")</f>
        <v/>
      </c>
      <c r="H22" s="186" t="str">
        <f>IFERROR(SUM(IF($B$21=Вмешательства!F3,SUM(КАГ!$B$9+0.01),"")),"")</f>
        <v/>
      </c>
    </row>
    <row r="23" spans="1:8" ht="14.45" customHeight="1" x14ac:dyDescent="0.25">
      <c r="A23" s="65" t="s">
        <v>395</v>
      </c>
      <c r="B23" s="173" t="s">
        <v>394</v>
      </c>
      <c r="C23" s="163"/>
      <c r="D23" s="163"/>
      <c r="E23" s="163"/>
      <c r="F23" s="163"/>
      <c r="H23" s="39"/>
    </row>
    <row r="24" spans="1:8" ht="14.45" customHeight="1" x14ac:dyDescent="0.3">
      <c r="A24" s="184" t="s">
        <v>393</v>
      </c>
      <c r="B24" s="171"/>
      <c r="C24" s="171"/>
      <c r="D24" s="171"/>
      <c r="E24" s="171"/>
      <c r="F24" s="171"/>
      <c r="G24" s="171"/>
      <c r="H24" s="172"/>
    </row>
    <row r="25" spans="1:8" ht="14.45" customHeight="1" x14ac:dyDescent="0.25">
      <c r="A25" s="242" t="s">
        <v>518</v>
      </c>
      <c r="B25" s="243"/>
      <c r="C25" s="243"/>
      <c r="D25" s="243"/>
      <c r="E25" s="243"/>
      <c r="F25" s="243"/>
      <c r="G25" s="243"/>
      <c r="H25" s="244"/>
    </row>
    <row r="26" spans="1:8" ht="14.45" customHeight="1" x14ac:dyDescent="0.25">
      <c r="A26" s="245"/>
      <c r="B26" s="243"/>
      <c r="C26" s="243"/>
      <c r="D26" s="243"/>
      <c r="E26" s="243"/>
      <c r="F26" s="243"/>
      <c r="G26" s="243"/>
      <c r="H26" s="244"/>
    </row>
    <row r="27" spans="1:8" ht="14.45" customHeight="1" x14ac:dyDescent="0.25">
      <c r="A27" s="245"/>
      <c r="B27" s="243"/>
      <c r="C27" s="243"/>
      <c r="D27" s="243"/>
      <c r="E27" s="243"/>
      <c r="F27" s="243"/>
      <c r="G27" s="243"/>
      <c r="H27" s="244"/>
    </row>
    <row r="28" spans="1:8" ht="14.45" customHeight="1" x14ac:dyDescent="0.25">
      <c r="A28" s="245"/>
      <c r="B28" s="243"/>
      <c r="C28" s="243"/>
      <c r="D28" s="243"/>
      <c r="E28" s="243"/>
      <c r="F28" s="243"/>
      <c r="G28" s="243"/>
      <c r="H28" s="244"/>
    </row>
    <row r="29" spans="1:8" ht="14.45" customHeight="1" x14ac:dyDescent="0.25">
      <c r="A29" s="245"/>
      <c r="B29" s="243"/>
      <c r="C29" s="243"/>
      <c r="D29" s="243"/>
      <c r="E29" s="243"/>
      <c r="F29" s="243"/>
      <c r="G29" s="243"/>
      <c r="H29" s="244"/>
    </row>
    <row r="30" spans="1:8" ht="14.45" customHeight="1" x14ac:dyDescent="0.25">
      <c r="A30" s="245"/>
      <c r="B30" s="243"/>
      <c r="C30" s="243"/>
      <c r="D30" s="243"/>
      <c r="E30" s="243"/>
      <c r="F30" s="243"/>
      <c r="G30" s="243"/>
      <c r="H30" s="244"/>
    </row>
    <row r="31" spans="1:8" ht="14.45" customHeight="1" x14ac:dyDescent="0.25">
      <c r="A31" s="245"/>
      <c r="B31" s="243"/>
      <c r="C31" s="243"/>
      <c r="D31" s="243"/>
      <c r="E31" s="243"/>
      <c r="F31" s="243"/>
      <c r="G31" s="243"/>
      <c r="H31" s="244"/>
    </row>
    <row r="32" spans="1:8" ht="14.45" customHeight="1" x14ac:dyDescent="0.25">
      <c r="A32" s="245"/>
      <c r="B32" s="243"/>
      <c r="C32" s="243"/>
      <c r="D32" s="243"/>
      <c r="E32" s="243"/>
      <c r="F32" s="243"/>
      <c r="G32" s="243"/>
      <c r="H32" s="244"/>
    </row>
    <row r="33" spans="1:12" ht="14.45" customHeight="1" x14ac:dyDescent="0.25">
      <c r="A33" s="245"/>
      <c r="B33" s="243"/>
      <c r="C33" s="243"/>
      <c r="D33" s="243"/>
      <c r="E33" s="243"/>
      <c r="F33" s="243"/>
      <c r="G33" s="243"/>
      <c r="H33" s="244"/>
    </row>
    <row r="34" spans="1:12" ht="14.45" customHeight="1" x14ac:dyDescent="0.25">
      <c r="A34" s="245"/>
      <c r="B34" s="243"/>
      <c r="C34" s="243"/>
      <c r="D34" s="243"/>
      <c r="E34" s="243"/>
      <c r="F34" s="243"/>
      <c r="G34" s="243"/>
      <c r="H34" s="244"/>
    </row>
    <row r="35" spans="1:12" ht="14.45" customHeight="1" x14ac:dyDescent="0.25">
      <c r="A35" s="245"/>
      <c r="B35" s="243"/>
      <c r="C35" s="243"/>
      <c r="D35" s="243"/>
      <c r="E35" s="243"/>
      <c r="F35" s="243"/>
      <c r="G35" s="243"/>
      <c r="H35" s="244"/>
    </row>
    <row r="36" spans="1:12" ht="14.45" customHeight="1" x14ac:dyDescent="0.25">
      <c r="A36" s="245"/>
      <c r="B36" s="243"/>
      <c r="C36" s="243"/>
      <c r="D36" s="243"/>
      <c r="E36" s="243"/>
      <c r="F36" s="243"/>
      <c r="G36" s="243"/>
      <c r="H36" s="244"/>
    </row>
    <row r="37" spans="1:12" ht="14.45" customHeight="1" x14ac:dyDescent="0.25">
      <c r="A37" s="245"/>
      <c r="B37" s="243"/>
      <c r="C37" s="243"/>
      <c r="D37" s="243"/>
      <c r="E37" s="243"/>
      <c r="F37" s="243"/>
      <c r="G37" s="243"/>
      <c r="H37" s="244"/>
    </row>
    <row r="38" spans="1:12" ht="14.45" customHeight="1" x14ac:dyDescent="0.25">
      <c r="A38" s="178" t="s">
        <v>399</v>
      </c>
      <c r="B38" s="176"/>
      <c r="C38" s="177"/>
      <c r="D38" s="177"/>
      <c r="E38" s="187" t="str">
        <f>IF(A6=Вмешательства!D4,Вмешательства!V16,IF(ЧКВ!A6=Вмешательства!D36,Вмешательства!V16,"-----"))</f>
        <v>СТЕНТ/Ы</v>
      </c>
      <c r="F38" s="177"/>
      <c r="G38" s="180"/>
    </row>
    <row r="39" spans="1:12" ht="15.75" x14ac:dyDescent="0.25">
      <c r="A39" s="174" t="s">
        <v>396</v>
      </c>
      <c r="B39" s="70" t="s">
        <v>398</v>
      </c>
      <c r="C39" s="121"/>
      <c r="D39" s="122" t="s">
        <v>187</v>
      </c>
      <c r="E39" s="72"/>
      <c r="F39" s="72"/>
      <c r="G39" s="72"/>
      <c r="H39" s="73"/>
    </row>
    <row r="40" spans="1:12" ht="14.45" customHeight="1" x14ac:dyDescent="0.25">
      <c r="A40" s="175" t="s">
        <v>397</v>
      </c>
      <c r="B40" s="179" t="s">
        <v>514</v>
      </c>
      <c r="C40" s="120"/>
      <c r="D40" s="239" t="s">
        <v>517</v>
      </c>
      <c r="E40" s="240"/>
      <c r="F40" s="240"/>
      <c r="G40" s="240"/>
      <c r="H40" s="241"/>
    </row>
    <row r="41" spans="1:12" ht="14.45" customHeight="1" x14ac:dyDescent="0.25">
      <c r="A41" s="32"/>
      <c r="B41" s="28"/>
      <c r="C41" s="120"/>
      <c r="D41" s="240"/>
      <c r="E41" s="240"/>
      <c r="F41" s="240"/>
      <c r="G41" s="240"/>
      <c r="H41" s="241"/>
    </row>
    <row r="42" spans="1:12" ht="14.45" customHeight="1" x14ac:dyDescent="0.25">
      <c r="A42" s="32"/>
      <c r="B42" s="28"/>
      <c r="C42" s="120"/>
      <c r="D42" s="240"/>
      <c r="E42" s="240"/>
      <c r="F42" s="240"/>
      <c r="G42" s="240"/>
      <c r="H42" s="241"/>
    </row>
    <row r="43" spans="1:12" ht="14.45" customHeight="1" x14ac:dyDescent="0.25">
      <c r="A43" s="32"/>
      <c r="B43" s="28"/>
      <c r="C43" s="120"/>
      <c r="D43" s="240"/>
      <c r="E43" s="240"/>
      <c r="F43" s="240"/>
      <c r="G43" s="240"/>
      <c r="H43" s="241"/>
    </row>
    <row r="44" spans="1:12" ht="14.45" customHeight="1" x14ac:dyDescent="0.25">
      <c r="A44" s="32"/>
      <c r="B44" s="28"/>
      <c r="C44" s="120"/>
      <c r="D44" s="240"/>
      <c r="E44" s="240"/>
      <c r="F44" s="240"/>
      <c r="G44" s="240"/>
      <c r="H44" s="241"/>
      <c r="L44" s="161"/>
    </row>
    <row r="45" spans="1:12" ht="14.45" customHeight="1" x14ac:dyDescent="0.25">
      <c r="A45" s="32"/>
      <c r="B45" s="28"/>
      <c r="C45" s="120"/>
      <c r="D45" s="240"/>
      <c r="E45" s="240"/>
      <c r="F45" s="240"/>
      <c r="G45" s="240"/>
      <c r="H45" s="241"/>
    </row>
    <row r="46" spans="1:12" ht="14.45" customHeight="1" x14ac:dyDescent="0.25">
      <c r="A46" s="32"/>
      <c r="B46" s="28"/>
      <c r="C46" s="120"/>
      <c r="D46" s="240"/>
      <c r="E46" s="240"/>
      <c r="F46" s="240"/>
      <c r="G46" s="240"/>
      <c r="H46" s="241"/>
    </row>
    <row r="47" spans="1:12" ht="14.45" customHeight="1" x14ac:dyDescent="0.25">
      <c r="A47" s="38"/>
      <c r="C47" s="120"/>
      <c r="D47" s="240"/>
      <c r="E47" s="240"/>
      <c r="F47" s="240"/>
      <c r="G47" s="240"/>
      <c r="H47" s="241"/>
    </row>
    <row r="48" spans="1:12" ht="14.45" customHeight="1" x14ac:dyDescent="0.25">
      <c r="A48" s="38"/>
      <c r="C48" s="120"/>
      <c r="D48" s="240"/>
      <c r="E48" s="240"/>
      <c r="F48" s="240"/>
      <c r="G48" s="240"/>
      <c r="H48" s="241"/>
    </row>
    <row r="49" spans="1:8" ht="14.45" customHeight="1" x14ac:dyDescent="0.25">
      <c r="A49" s="38"/>
      <c r="C49" s="120"/>
      <c r="D49" s="240"/>
      <c r="E49" s="240"/>
      <c r="F49" s="240"/>
      <c r="G49" s="240"/>
      <c r="H49" s="241"/>
    </row>
    <row r="50" spans="1:8" x14ac:dyDescent="0.25">
      <c r="A50" s="62" t="s">
        <v>199</v>
      </c>
      <c r="B50" s="63" t="s">
        <v>516</v>
      </c>
      <c r="H50" s="39"/>
    </row>
    <row r="51" spans="1:8" x14ac:dyDescent="0.25">
      <c r="A51" s="65" t="s">
        <v>206</v>
      </c>
      <c r="B51" s="66" t="s">
        <v>311</v>
      </c>
      <c r="G51" s="74" t="str">
        <f>$G$13</f>
        <v>Щербаков А.С.</v>
      </c>
      <c r="H51" s="64"/>
    </row>
    <row r="52" spans="1:8" x14ac:dyDescent="0.25">
      <c r="A52" s="225" t="s">
        <v>375</v>
      </c>
      <c r="B52" s="226"/>
      <c r="C52" s="226"/>
      <c r="D52" s="226"/>
      <c r="E52" s="226"/>
      <c r="F52" s="227"/>
      <c r="H52" s="39"/>
    </row>
    <row r="53" spans="1:8" ht="15" customHeight="1" x14ac:dyDescent="0.25">
      <c r="A53" s="228"/>
      <c r="B53" s="229"/>
      <c r="C53" s="229"/>
      <c r="D53" s="229"/>
      <c r="E53" s="229"/>
      <c r="F53" s="230"/>
      <c r="G53" s="74" t="str">
        <f>IF(ISBLANK(H13),"",H13)</f>
        <v/>
      </c>
      <c r="H53" s="64"/>
    </row>
    <row r="54" spans="1:8" x14ac:dyDescent="0.25">
      <c r="A54" s="231"/>
      <c r="B54" s="232"/>
      <c r="C54" s="232"/>
      <c r="D54" s="232"/>
      <c r="E54" s="232"/>
      <c r="F54" s="233"/>
      <c r="G54" s="31"/>
      <c r="H54" s="41"/>
    </row>
  </sheetData>
  <sheetProtection sheet="1" formatCells="0" formatColumns="0"/>
  <mergeCells count="7">
    <mergeCell ref="A52:F54"/>
    <mergeCell ref="C8:E8"/>
    <mergeCell ref="A6:H7"/>
    <mergeCell ref="C9:E9"/>
    <mergeCell ref="C10:E10"/>
    <mergeCell ref="D40:H49"/>
    <mergeCell ref="A25:H37"/>
  </mergeCells>
  <phoneticPr fontId="14" type="noConversion"/>
  <dataValidations count="9">
    <dataValidation type="list" allowBlank="1" showInputMessage="1" showErrorMessage="1" sqref="B50 B40" xr:uid="{00000000-0002-0000-0100-000000000000}">
      <formula1>"50 ml,100 ml,150 ml,200 ml,250 ml,300 ml,350 ml,400 ml,450 ml,500 ml,"</formula1>
    </dataValidation>
    <dataValidation type="list" allowBlank="1" showInputMessage="1" showErrorMessage="1" sqref="B51" xr:uid="{00000000-0002-0000-0100-000001000000}">
      <formula1>"Извлечён,Оставлен,М/О ушито Angio-Seal™"</formula1>
    </dataValidation>
    <dataValidation type="list" allowBlank="1" showInputMessage="1" showErrorMessage="1" sqref="A50" xr:uid="{00000000-0002-0000-0100-000002000000}">
      <formula1>INDIRECT("Контраст[Название]")</formula1>
    </dataValidation>
    <dataValidation type="list" allowBlank="1" showInputMessage="1" showErrorMessage="1" sqref="A6" xr:uid="{00000000-0002-0000-0100-000003000000}">
      <formula1>INDIRECT("Вмешательства[Рентгенэндоваскулярная диагностика и лечение]")</formula1>
    </dataValidation>
    <dataValidation type="list" allowBlank="1" showInputMessage="1" showErrorMessage="1" sqref="D13:F17" xr:uid="{00000000-0002-0000-0100-000004000000}">
      <formula1>INDIRECT("Должность[Должность]")</formula1>
    </dataValidation>
    <dataValidation type="list" allowBlank="1" showInputMessage="1" showErrorMessage="1" sqref="C8:E10" xr:uid="{00000000-0002-0000-0100-000005000000}">
      <formula1>INDIRECT("Локализация[Локализация]")</formula1>
    </dataValidation>
    <dataValidation type="list" allowBlank="1" showInputMessage="1" showErrorMessage="1" sqref="G9:G10" xr:uid="{00000000-0002-0000-0100-000006000000}">
      <formula1>"DES,BMS"</formula1>
    </dataValidation>
    <dataValidation type="list" allowBlank="1" showInputMessage="1" showErrorMessage="1" sqref="B23" xr:uid="{00000000-0002-0000-0100-000007000000}">
      <formula1>"м/а,общий"</formula1>
    </dataValidation>
    <dataValidation type="list" allowBlank="1" showInputMessage="1" showErrorMessage="1" sqref="B39" xr:uid="{00000000-0002-0000-0100-000008000000}">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9000000}">
          <x14:formula1>
            <xm:f>Вмешательства!$F$23:$F$24</xm:f>
          </x14:formula1>
          <xm:sqref>H8</xm:sqref>
        </x14:dataValidation>
        <x14:dataValidation type="list" allowBlank="1" showInputMessage="1" showErrorMessage="1" xr:uid="{00000000-0002-0000-0100-00000A000000}">
          <x14:formula1>
            <xm:f>Вмешательства!$H$2:$T$2</xm:f>
          </x14:formula1>
          <xm:sqref>F8:F10</xm:sqref>
        </x14:dataValidation>
        <x14:dataValidation type="list" allowBlank="1" showInputMessage="1" showErrorMessage="1" xr:uid="{00000000-0002-0000-0100-00000B000000}">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
  <sheetViews>
    <sheetView showGridLines="0" showWhiteSpace="0" view="pageBreakPreview" zoomScaleNormal="90" zoomScaleSheetLayoutView="100" zoomScalePageLayoutView="80" workbookViewId="0">
      <selection activeCell="H20" sqref="H20"/>
    </sheetView>
  </sheetViews>
  <sheetFormatPr defaultRowHeight="15" x14ac:dyDescent="0.2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x14ac:dyDescent="0.25">
      <c r="A1" s="27"/>
      <c r="B1" s="112"/>
      <c r="C1" s="112"/>
      <c r="D1" s="113"/>
    </row>
    <row r="2" spans="1:4" ht="19.899999999999999" customHeight="1" x14ac:dyDescent="0.3">
      <c r="A2" s="96" t="s">
        <v>98</v>
      </c>
      <c r="B2" s="97">
        <f>$D$10</f>
        <v>45142</v>
      </c>
      <c r="C2" s="153" t="str">
        <f>IF(ЧКВ!A6=Вмешательства!D4,Вмешательства!F20,IF(ЧКВ!A6=Вмешательства!D36,Вмешательства!F20,Вмешательства!F22))</f>
        <v>ВМП 1</v>
      </c>
      <c r="D2" s="98" t="s">
        <v>99</v>
      </c>
    </row>
    <row r="3" spans="1:4" ht="20.45" customHeight="1" x14ac:dyDescent="0.25">
      <c r="A3" s="99" t="s">
        <v>97</v>
      </c>
      <c r="B3" s="100"/>
      <c r="D3" s="39"/>
    </row>
    <row r="4" spans="1:4" ht="16.5" thickBot="1" x14ac:dyDescent="0.3">
      <c r="A4" s="148" t="s">
        <v>195</v>
      </c>
      <c r="B4" s="149" t="s">
        <v>105</v>
      </c>
      <c r="C4" s="150" t="s">
        <v>15</v>
      </c>
      <c r="D4" s="202" t="str">
        <f>КАГ!$B$11</f>
        <v>Широчина Т.А.</v>
      </c>
    </row>
    <row r="5" spans="1:4" ht="15.75" thickTop="1" x14ac:dyDescent="0.25">
      <c r="A5"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4" t="str">
        <f>IF(ISBLANK(КАГ!A6),"",КАГ!A6)</f>
        <v>КОРОНАРОГРАФИЯ</v>
      </c>
      <c r="C5" s="132" t="s">
        <v>8</v>
      </c>
      <c r="D5" s="102">
        <f>КАГ!$B$12</f>
        <v>20787</v>
      </c>
    </row>
    <row r="6" spans="1:4" ht="30" x14ac:dyDescent="0.25">
      <c r="A6"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
      </c>
      <c r="B6" s="135">
        <f>ЧКВ!A6</f>
        <v>0</v>
      </c>
      <c r="C6" s="132" t="s">
        <v>10</v>
      </c>
      <c r="D6" s="103">
        <f>DATEDIF(D5,D10,"y")</f>
        <v>66</v>
      </c>
    </row>
    <row r="7" spans="1:4" x14ac:dyDescent="0.25">
      <c r="A7" s="38"/>
      <c r="C7" s="101" t="s">
        <v>12</v>
      </c>
      <c r="D7" s="103">
        <f>КАГ!$B$14</f>
        <v>21052</v>
      </c>
    </row>
    <row r="8" spans="1:4" x14ac:dyDescent="0.25">
      <c r="A8" s="196" t="str">
        <f>ЧКВ!$A$9</f>
        <v xml:space="preserve">Код модели:  </v>
      </c>
      <c r="B8" s="104"/>
      <c r="C8" s="101" t="s">
        <v>133</v>
      </c>
      <c r="D8" s="103">
        <f>КАГ!$B$15</f>
        <v>35</v>
      </c>
    </row>
    <row r="9" spans="1:4" x14ac:dyDescent="0.25">
      <c r="A9" s="196" t="str">
        <f>ЧКВ!$A$10</f>
        <v xml:space="preserve">Код метода:  </v>
      </c>
      <c r="C9" s="105" t="s">
        <v>106</v>
      </c>
      <c r="D9" s="103" t="str">
        <f>КАГ!$B$16</f>
        <v>ОКС БПST</v>
      </c>
    </row>
    <row r="10" spans="1:4" x14ac:dyDescent="0.25">
      <c r="A10" s="197"/>
      <c r="B10" s="31"/>
      <c r="C10" s="151" t="s">
        <v>13</v>
      </c>
      <c r="D10" s="152">
        <f>КАГ!$B$8</f>
        <v>45142</v>
      </c>
    </row>
    <row r="11" spans="1:4" x14ac:dyDescent="0.25">
      <c r="A11" s="27"/>
      <c r="B11" s="112"/>
      <c r="C11" s="112"/>
      <c r="D11" s="113"/>
    </row>
    <row r="12" spans="1:4" ht="18.75" customHeight="1" x14ac:dyDescent="0.25">
      <c r="A12" s="137" t="s">
        <v>336</v>
      </c>
      <c r="B12" s="138" t="s">
        <v>0</v>
      </c>
      <c r="C12" s="138" t="s">
        <v>14</v>
      </c>
      <c r="D12" s="139" t="s">
        <v>100</v>
      </c>
    </row>
    <row r="13" spans="1:4" ht="27.75" customHeight="1" x14ac:dyDescent="0.25">
      <c r="A13" s="140"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4" t="s">
        <v>513</v>
      </c>
      <c r="C13" s="188"/>
      <c r="D13" s="141">
        <v>1</v>
      </c>
    </row>
    <row r="14" spans="1:4" ht="27.75" customHeight="1" x14ac:dyDescent="0.25">
      <c r="A14" s="142"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5" t="s">
        <v>326</v>
      </c>
      <c r="C14" s="136"/>
      <c r="D14" s="141">
        <v>1</v>
      </c>
    </row>
    <row r="15" spans="1:4" ht="27.75" customHeight="1" x14ac:dyDescent="0.25">
      <c r="A15"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5" t="s">
        <v>315</v>
      </c>
      <c r="C15" s="136"/>
      <c r="D15" s="141">
        <v>2</v>
      </c>
    </row>
    <row r="16" spans="1:4" ht="27.75" customHeight="1" x14ac:dyDescent="0.25">
      <c r="A16"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6" s="155" t="s">
        <v>379</v>
      </c>
      <c r="C16" s="136" t="s">
        <v>515</v>
      </c>
      <c r="D16" s="141">
        <v>1</v>
      </c>
    </row>
    <row r="17" spans="1:4" ht="27.75" customHeight="1" x14ac:dyDescent="0.25">
      <c r="A17"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5" t="s">
        <v>313</v>
      </c>
      <c r="C17" s="136" t="s">
        <v>417</v>
      </c>
      <c r="D17" s="141">
        <v>1</v>
      </c>
    </row>
    <row r="18" spans="1:4" ht="27.75" customHeight="1" x14ac:dyDescent="0.25">
      <c r="A18"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8" s="155" t="s">
        <v>313</v>
      </c>
      <c r="C18" s="136" t="s">
        <v>430</v>
      </c>
      <c r="D18" s="141">
        <v>1</v>
      </c>
    </row>
    <row r="19" spans="1:4" ht="27.75" customHeight="1" x14ac:dyDescent="0.25">
      <c r="A19"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9" s="155" t="s">
        <v>324</v>
      </c>
      <c r="C19" s="183" t="s">
        <v>464</v>
      </c>
      <c r="D19" s="141">
        <v>1</v>
      </c>
    </row>
    <row r="20" spans="1:4" ht="27.75" customHeight="1" x14ac:dyDescent="0.25">
      <c r="A20"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0" s="156" t="s">
        <v>324</v>
      </c>
      <c r="C20" s="136" t="s">
        <v>420</v>
      </c>
      <c r="D20" s="141">
        <v>1</v>
      </c>
    </row>
    <row r="21" spans="1:4" ht="27.75" customHeight="1" x14ac:dyDescent="0.25">
      <c r="A21" s="142" t="str">
        <f>IFERROR(INDEX(Расходка[[Тип расходного материала ]],MATCH(Карта_Учёта[[#This Row],[Наименование расходного материала]],Расходка[Наименование расходного материала],0)),"")</f>
        <v/>
      </c>
      <c r="B21" s="155"/>
      <c r="C21" s="136"/>
      <c r="D21" s="141"/>
    </row>
    <row r="22" spans="1:4" ht="27.75" customHeight="1" x14ac:dyDescent="0.25">
      <c r="A22" s="142" t="str">
        <f>IFERROR(INDEX(Расходка[[Тип расходного материала ]],MATCH(Карта_Учёта[[#This Row],[Наименование расходного материала]],Расходка[Наименование расходного материала],0)),"")</f>
        <v/>
      </c>
      <c r="B22" s="155"/>
      <c r="C22" s="136"/>
      <c r="D22" s="143"/>
    </row>
    <row r="23" spans="1:4" ht="27.75" customHeight="1" x14ac:dyDescent="0.25">
      <c r="A23" s="142" t="str">
        <f>IFERROR(INDEX(Расходка[[Тип расходного материала ]],MATCH(Карта_Учёта[[#This Row],[Наименование расходного материала]],Расходка[Наименование расходного материала],0)),"")</f>
        <v/>
      </c>
      <c r="B23" s="155"/>
      <c r="C23" s="136"/>
      <c r="D23" s="143"/>
    </row>
    <row r="24" spans="1:4" ht="27.75" customHeight="1" x14ac:dyDescent="0.25">
      <c r="A24" s="144" t="str">
        <f>IFERROR(INDEX(Расходка[[Тип расходного материала ]],MATCH(Карта_Учёта[[#This Row],[Наименование расходного материала]],Расходка[Наименование расходного материала],0)),"")</f>
        <v/>
      </c>
      <c r="B24" s="155"/>
      <c r="C24" s="136"/>
      <c r="D24" s="143"/>
    </row>
    <row r="25" spans="1:4" ht="27.75" customHeight="1" x14ac:dyDescent="0.25">
      <c r="A25" s="145" t="str">
        <f>IFERROR(INDEX(Расходка[[Тип расходного материала ]],MATCH(Карта_Учёта[[#This Row],[Наименование расходного материала]],Расходка[Наименование расходного материала],0)),"")</f>
        <v/>
      </c>
      <c r="B25" s="157"/>
      <c r="C25" s="146"/>
      <c r="D25" s="147"/>
    </row>
    <row r="26" spans="1:4" ht="14.45" customHeight="1" x14ac:dyDescent="0.25">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x14ac:dyDescent="0.25">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x14ac:dyDescent="0.25">
      <c r="A28" s="38" t="s">
        <v>11</v>
      </c>
      <c r="B28" t="s">
        <v>11</v>
      </c>
      <c r="D28" s="39"/>
    </row>
    <row r="29" spans="1:4" ht="14.45" customHeight="1" x14ac:dyDescent="0.25">
      <c r="A29" s="38" t="s">
        <v>11</v>
      </c>
      <c r="B29" t="s">
        <v>11</v>
      </c>
      <c r="D29" s="39"/>
    </row>
    <row r="30" spans="1:4" ht="14.45" customHeight="1" x14ac:dyDescent="0.25">
      <c r="A30" s="38" t="s">
        <v>11</v>
      </c>
      <c r="B30" t="s">
        <v>11</v>
      </c>
      <c r="D30" s="39"/>
    </row>
    <row r="31" spans="1:4" ht="14.45" customHeight="1" x14ac:dyDescent="0.25">
      <c r="A31" s="38" t="s">
        <v>11</v>
      </c>
      <c r="B31" t="s">
        <v>11</v>
      </c>
      <c r="D31" s="39"/>
    </row>
    <row r="32" spans="1:4" ht="14.45" customHeight="1" x14ac:dyDescent="0.25">
      <c r="A32" s="38" t="s">
        <v>11</v>
      </c>
      <c r="D32" s="39"/>
    </row>
    <row r="33" spans="1:4" ht="14.45" customHeight="1" x14ac:dyDescent="0.25">
      <c r="A33" s="38"/>
      <c r="D33" s="39"/>
    </row>
    <row r="34" spans="1:4" ht="14.45" customHeight="1" x14ac:dyDescent="0.25">
      <c r="A34" s="38"/>
      <c r="D34" s="39"/>
    </row>
    <row r="35" spans="1:4" ht="19.899999999999999" customHeight="1" x14ac:dyDescent="0.25">
      <c r="A35" s="38"/>
      <c r="B35" s="110" t="s">
        <v>381</v>
      </c>
      <c r="C35" s="13"/>
      <c r="D35" s="39"/>
    </row>
    <row r="36" spans="1:4" ht="19.899999999999999" customHeight="1" x14ac:dyDescent="0.25">
      <c r="A36" s="38"/>
      <c r="D36" s="39"/>
    </row>
    <row r="37" spans="1:4" ht="19.899999999999999" customHeight="1" x14ac:dyDescent="0.25">
      <c r="A37" s="38"/>
      <c r="B37" s="117" t="str">
        <f>"Оператор:"&amp;" "&amp;ЧКВ!$G$13</f>
        <v>Оператор: Щербаков А.С.</v>
      </c>
      <c r="C37" s="13"/>
      <c r="D37" s="39"/>
    </row>
    <row r="38" spans="1:4" ht="19.899999999999999" customHeight="1" x14ac:dyDescent="0.25">
      <c r="A38" s="38"/>
      <c r="D38" s="39"/>
    </row>
    <row r="39" spans="1:4" ht="19.899999999999999" customHeight="1" x14ac:dyDescent="0.25">
      <c r="A39" s="38"/>
      <c r="B39" s="111" t="s">
        <v>372</v>
      </c>
      <c r="C39" s="114"/>
      <c r="D39" s="39"/>
    </row>
    <row r="40" spans="1:4" ht="19.899999999999999" customHeight="1" x14ac:dyDescent="0.25">
      <c r="A40" s="40"/>
      <c r="B40" s="31"/>
      <c r="C40" s="31"/>
      <c r="D40" s="41"/>
    </row>
    <row r="41" spans="1:4" ht="14.45" customHeight="1" x14ac:dyDescent="0.25">
      <c r="C41" s="11"/>
    </row>
  </sheetData>
  <sheetProtection formatCells="0" formatColumns="0" formatRows="0" sort="0" autoFilter="0"/>
  <phoneticPr fontId="14" type="noConversion"/>
  <dataValidations count="17">
    <dataValidation allowBlank="1" showInputMessage="1" sqref="B5:B6" xr:uid="{00000000-0002-0000-0200-000000000000}"/>
    <dataValidation type="list" errorStyle="warning" allowBlank="1" showInputMessage="1" showErrorMessage="1" errorTitle="Ой)))" error="Размера нет в базе данных!" sqref="C13:C14 C16:C25" xr:uid="{00000000-0002-0000-0200-000001000000}">
      <formula1>Размеры_стентов_балонов</formula1>
    </dataValidation>
    <dataValidation type="list" allowBlank="1" showInputMessage="1" sqref="B13" xr:uid="{00000000-0002-0000-0200-000002000000}">
      <formula1>ВЫП.Список_Расходка_1</formula1>
    </dataValidation>
    <dataValidation type="list" allowBlank="1" showInputMessage="1" sqref="B14" xr:uid="{00000000-0002-0000-0200-000003000000}">
      <formula1>ВЫП.Список_Расходка_2</formula1>
    </dataValidation>
    <dataValidation type="list" allowBlank="1" showInputMessage="1" sqref="B15" xr:uid="{00000000-0002-0000-0200-000004000000}">
      <formula1>ВЫП.Список_Расходка_3</formula1>
    </dataValidation>
    <dataValidation type="list" allowBlank="1" showInputMessage="1" showErrorMessage="1" sqref="B39 B35" xr:uid="{00000000-0002-0000-0200-000005000000}">
      <formula1>INDIRECT("Сотрудники[Должность: ФИО]")</formula1>
    </dataValidation>
    <dataValidation type="list" allowBlank="1" showInputMessage="1" sqref="B17" xr:uid="{00000000-0002-0000-0200-000006000000}">
      <formula1>ВЫП.Список_Расходка_5</formula1>
    </dataValidation>
    <dataValidation type="list" allowBlank="1" showInputMessage="1" sqref="B18" xr:uid="{00000000-0002-0000-0200-000007000000}">
      <formula1>ВЫП.Список_Расходка_6</formula1>
    </dataValidation>
    <dataValidation type="list" allowBlank="1" showInputMessage="1" sqref="B19" xr:uid="{00000000-0002-0000-0200-000008000000}">
      <formula1>ВЫП.Список_Расходка_7</formula1>
    </dataValidation>
    <dataValidation type="list" allowBlank="1" showInputMessage="1" sqref="B20" xr:uid="{00000000-0002-0000-0200-000009000000}">
      <formula1>ВЫП.Список_Расходка_8</formula1>
    </dataValidation>
    <dataValidation type="list" allowBlank="1" showInputMessage="1" sqref="B21" xr:uid="{00000000-0002-0000-0200-00000A000000}">
      <formula1>ВЫП.Список_Расходка_9</formula1>
    </dataValidation>
    <dataValidation type="list" allowBlank="1" showInputMessage="1" sqref="B22" xr:uid="{00000000-0002-0000-0200-00000B000000}">
      <formula1>ВЫП.Список_Расходка_10</formula1>
    </dataValidation>
    <dataValidation type="list" allowBlank="1" showInputMessage="1" sqref="B23" xr:uid="{00000000-0002-0000-0200-00000C000000}">
      <formula1>ВЫП.Список_Расходка_11</formula1>
    </dataValidation>
    <dataValidation type="list" allowBlank="1" showInputMessage="1" sqref="B24" xr:uid="{00000000-0002-0000-0200-00000D000000}">
      <formula1>ВЫП.Список_Расходка_12</formula1>
    </dataValidation>
    <dataValidation type="list" allowBlank="1" showInputMessage="1" sqref="B25" xr:uid="{00000000-0002-0000-0200-00000E000000}">
      <formula1>ВЫП.Список_Расходка_13</formula1>
    </dataValidation>
    <dataValidation type="list" errorStyle="warning" allowBlank="1" showInputMessage="1" showErrorMessage="1" errorTitle="Ой)))" error="Размера нет в базе данных" sqref="C15" xr:uid="{00000000-0002-0000-0200-00000F000000}">
      <formula1>Размеры_стентов_балонов</formula1>
    </dataValidation>
    <dataValidation type="list" allowBlank="1" showInputMessage="1" sqref="B16" xr:uid="{911EF318-FAC1-468D-9B2E-5BFF895B0773}">
      <formula1>ВЫП.Список_Расходка_4</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7"/>
  <sheetViews>
    <sheetView zoomScale="90" zoomScaleNormal="90" workbookViewId="0">
      <pane ySplit="1" topLeftCell="A5" activePane="bottomLeft" state="frozen"/>
      <selection pane="bottomLeft" activeCell="V21" sqref="V21"/>
    </sheetView>
  </sheetViews>
  <sheetFormatPr defaultRowHeight="15" outlineLevelCol="1" x14ac:dyDescent="0.25"/>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x14ac:dyDescent="0.25">
      <c r="A1" s="6" t="s">
        <v>2</v>
      </c>
      <c r="B1" s="6" t="s">
        <v>7</v>
      </c>
      <c r="C1" s="7" t="s">
        <v>16</v>
      </c>
      <c r="D1" s="9" t="s">
        <v>17</v>
      </c>
      <c r="V1" t="s">
        <v>227</v>
      </c>
    </row>
    <row r="2" spans="1:23" x14ac:dyDescent="0.25">
      <c r="A2" s="8">
        <v>1</v>
      </c>
      <c r="B2" s="2" t="s">
        <v>9</v>
      </c>
      <c r="C2" s="8" t="s">
        <v>228</v>
      </c>
      <c r="D2" s="5" t="s">
        <v>213</v>
      </c>
      <c r="F2" t="s">
        <v>106</v>
      </c>
      <c r="G2" s="3" t="s">
        <v>491</v>
      </c>
      <c r="H2" s="3">
        <v>1</v>
      </c>
      <c r="I2" s="3">
        <v>2</v>
      </c>
      <c r="J2" s="3">
        <v>3</v>
      </c>
      <c r="K2" s="3">
        <v>4</v>
      </c>
      <c r="L2" s="3">
        <v>5</v>
      </c>
      <c r="M2" s="3">
        <v>6</v>
      </c>
      <c r="N2" s="3">
        <v>7</v>
      </c>
      <c r="O2" s="3">
        <v>8</v>
      </c>
      <c r="P2" s="3">
        <v>9</v>
      </c>
      <c r="Q2" s="3">
        <v>10</v>
      </c>
      <c r="R2" s="3">
        <v>11</v>
      </c>
      <c r="S2" s="3">
        <v>12</v>
      </c>
      <c r="T2" s="3">
        <v>13</v>
      </c>
      <c r="V2" t="s">
        <v>217</v>
      </c>
    </row>
    <row r="3" spans="1:23" x14ac:dyDescent="0.25">
      <c r="A3" s="8">
        <v>2</v>
      </c>
      <c r="B3" s="2" t="s">
        <v>18</v>
      </c>
      <c r="C3" s="8" t="s">
        <v>85</v>
      </c>
      <c r="D3" s="5" t="s">
        <v>214</v>
      </c>
      <c r="F3" t="s">
        <v>490</v>
      </c>
      <c r="G3" s="3" t="s">
        <v>491</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x14ac:dyDescent="0.25">
      <c r="A4" s="8">
        <v>3</v>
      </c>
      <c r="B4" s="2" t="s">
        <v>38</v>
      </c>
      <c r="C4" s="8" t="s">
        <v>39</v>
      </c>
      <c r="D4" s="5" t="s">
        <v>208</v>
      </c>
      <c r="F4" t="s">
        <v>312</v>
      </c>
      <c r="G4" s="3" t="s">
        <v>491</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x14ac:dyDescent="0.25">
      <c r="A5" s="8">
        <v>4</v>
      </c>
      <c r="B5" s="2" t="s">
        <v>36</v>
      </c>
      <c r="C5" s="8" t="s">
        <v>37</v>
      </c>
      <c r="D5" s="5" t="s">
        <v>405</v>
      </c>
      <c r="F5" t="s">
        <v>131</v>
      </c>
      <c r="G5" s="3" t="s">
        <v>491</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x14ac:dyDescent="0.25">
      <c r="A6" s="8">
        <v>5</v>
      </c>
      <c r="B6" s="2"/>
      <c r="C6" s="8" t="s">
        <v>229</v>
      </c>
      <c r="D6" s="5" t="s">
        <v>132</v>
      </c>
      <c r="F6" t="s">
        <v>125</v>
      </c>
      <c r="G6" s="3" t="s">
        <v>491</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x14ac:dyDescent="0.25">
      <c r="A7" s="8">
        <v>6</v>
      </c>
      <c r="B7" s="2"/>
      <c r="C7" s="8" t="s">
        <v>80</v>
      </c>
      <c r="D7" s="5" t="s">
        <v>247</v>
      </c>
      <c r="F7" t="s">
        <v>127</v>
      </c>
      <c r="G7" s="3" t="s">
        <v>491</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x14ac:dyDescent="0.25">
      <c r="A8" s="8">
        <v>7</v>
      </c>
      <c r="B8" s="2" t="s">
        <v>35</v>
      </c>
      <c r="C8" s="8" t="s">
        <v>86</v>
      </c>
      <c r="D8" s="5" t="s">
        <v>87</v>
      </c>
      <c r="F8" t="s">
        <v>126</v>
      </c>
      <c r="G8" s="3" t="s">
        <v>491</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x14ac:dyDescent="0.25">
      <c r="A9" s="8">
        <v>8</v>
      </c>
      <c r="B9" s="2"/>
      <c r="C9" s="8" t="s">
        <v>230</v>
      </c>
      <c r="D9" s="5" t="s">
        <v>139</v>
      </c>
      <c r="F9" t="s">
        <v>128</v>
      </c>
      <c r="G9" s="3" t="s">
        <v>491</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x14ac:dyDescent="0.25">
      <c r="A10" s="8">
        <v>9</v>
      </c>
      <c r="B10" s="2" t="s">
        <v>25</v>
      </c>
      <c r="C10" s="8" t="s">
        <v>231</v>
      </c>
      <c r="D10" s="5" t="s">
        <v>26</v>
      </c>
      <c r="G10" s="3"/>
      <c r="H10" s="12"/>
      <c r="I10" s="12"/>
      <c r="J10" s="3"/>
      <c r="K10" s="3"/>
      <c r="L10" s="3"/>
      <c r="M10" s="3"/>
      <c r="N10" s="12"/>
      <c r="O10" s="12"/>
      <c r="P10" s="12"/>
      <c r="Q10" s="12"/>
      <c r="R10" s="12"/>
      <c r="S10" s="12"/>
      <c r="T10" s="12"/>
      <c r="V10" t="s">
        <v>224</v>
      </c>
    </row>
    <row r="11" spans="1:23" x14ac:dyDescent="0.25">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x14ac:dyDescent="0.25">
      <c r="A12" s="8">
        <v>11</v>
      </c>
      <c r="B12" s="2" t="s">
        <v>21</v>
      </c>
      <c r="C12" s="8" t="s">
        <v>233</v>
      </c>
      <c r="D12" s="5" t="s">
        <v>22</v>
      </c>
      <c r="F12" t="s">
        <v>106</v>
      </c>
      <c r="G12" s="3" t="s">
        <v>492</v>
      </c>
      <c r="H12" s="3">
        <v>1</v>
      </c>
      <c r="I12" s="3">
        <v>2</v>
      </c>
      <c r="J12" s="3">
        <v>3</v>
      </c>
      <c r="K12" s="3">
        <v>4</v>
      </c>
      <c r="L12" s="3">
        <v>5</v>
      </c>
      <c r="M12" s="3">
        <v>6</v>
      </c>
      <c r="N12" s="3">
        <v>7</v>
      </c>
      <c r="O12" s="3">
        <v>8</v>
      </c>
      <c r="P12" s="3">
        <v>9</v>
      </c>
      <c r="Q12" s="3">
        <v>10</v>
      </c>
      <c r="R12" s="3">
        <v>11</v>
      </c>
      <c r="S12" s="3">
        <v>12</v>
      </c>
      <c r="T12" s="3">
        <v>13</v>
      </c>
      <c r="V12" t="s">
        <v>225</v>
      </c>
      <c r="W12" s="12"/>
    </row>
    <row r="13" spans="1:23" x14ac:dyDescent="0.25">
      <c r="A13" s="8">
        <v>12</v>
      </c>
      <c r="B13" s="2" t="s">
        <v>23</v>
      </c>
      <c r="C13" s="8" t="s">
        <v>234</v>
      </c>
      <c r="D13" s="5" t="s">
        <v>24</v>
      </c>
      <c r="F13" t="s">
        <v>490</v>
      </c>
      <c r="G13" s="3" t="s">
        <v>492</v>
      </c>
      <c r="H13" s="3">
        <v>47</v>
      </c>
      <c r="I13" s="3">
        <v>46</v>
      </c>
      <c r="J13" s="3">
        <v>45</v>
      </c>
      <c r="K13" s="3">
        <v>45</v>
      </c>
      <c r="L13" s="3">
        <v>45</v>
      </c>
      <c r="M13" s="3">
        <v>45</v>
      </c>
      <c r="N13" s="3">
        <v>45</v>
      </c>
      <c r="O13" s="3">
        <v>45</v>
      </c>
      <c r="P13" s="3">
        <v>45</v>
      </c>
      <c r="Q13" s="3">
        <v>45</v>
      </c>
      <c r="R13" s="3">
        <v>45</v>
      </c>
      <c r="S13" s="3">
        <v>45</v>
      </c>
      <c r="T13" s="3">
        <v>45</v>
      </c>
      <c r="V13" t="s">
        <v>226</v>
      </c>
      <c r="W13" s="12"/>
    </row>
    <row r="14" spans="1:23" x14ac:dyDescent="0.25">
      <c r="A14" s="8">
        <v>13</v>
      </c>
      <c r="B14" s="2" t="s">
        <v>27</v>
      </c>
      <c r="C14" s="8" t="s">
        <v>235</v>
      </c>
      <c r="D14" s="5" t="s">
        <v>28</v>
      </c>
      <c r="F14" t="s">
        <v>312</v>
      </c>
      <c r="G14" s="3" t="s">
        <v>492</v>
      </c>
      <c r="H14" s="3">
        <v>47</v>
      </c>
      <c r="I14" s="3">
        <v>46</v>
      </c>
      <c r="J14" s="3">
        <v>45</v>
      </c>
      <c r="K14" s="3">
        <v>45</v>
      </c>
      <c r="L14" s="3">
        <v>45</v>
      </c>
      <c r="M14" s="3">
        <v>45</v>
      </c>
      <c r="N14" s="3">
        <v>45</v>
      </c>
      <c r="O14" s="3">
        <v>45</v>
      </c>
      <c r="P14" s="3">
        <v>45</v>
      </c>
      <c r="Q14" s="3">
        <v>45</v>
      </c>
      <c r="R14" s="3">
        <v>45</v>
      </c>
      <c r="S14" s="3">
        <v>45</v>
      </c>
      <c r="T14" s="3">
        <v>45</v>
      </c>
      <c r="W14" s="12"/>
    </row>
    <row r="15" spans="1:23" x14ac:dyDescent="0.25">
      <c r="A15" s="8">
        <v>14</v>
      </c>
      <c r="B15" s="2" t="s">
        <v>29</v>
      </c>
      <c r="C15" s="8" t="s">
        <v>236</v>
      </c>
      <c r="D15" s="5" t="s">
        <v>30</v>
      </c>
      <c r="F15" t="s">
        <v>131</v>
      </c>
      <c r="G15" s="3" t="s">
        <v>492</v>
      </c>
      <c r="H15" s="3">
        <v>2633</v>
      </c>
      <c r="I15" s="3">
        <v>46</v>
      </c>
      <c r="J15" s="3">
        <v>45</v>
      </c>
      <c r="K15" s="3">
        <v>45</v>
      </c>
      <c r="L15" s="3">
        <v>45</v>
      </c>
      <c r="M15" s="3">
        <v>45</v>
      </c>
      <c r="N15" s="3">
        <v>45</v>
      </c>
      <c r="O15" s="3">
        <v>45</v>
      </c>
      <c r="P15" s="3">
        <v>45</v>
      </c>
      <c r="Q15" s="3">
        <v>45</v>
      </c>
      <c r="R15" s="3">
        <v>45</v>
      </c>
      <c r="S15" s="3">
        <v>45</v>
      </c>
      <c r="T15" s="3">
        <v>45</v>
      </c>
      <c r="V15" t="s">
        <v>399</v>
      </c>
      <c r="W15" s="12"/>
    </row>
    <row r="16" spans="1:23" x14ac:dyDescent="0.25">
      <c r="A16" s="8">
        <v>15</v>
      </c>
      <c r="B16" s="2" t="s">
        <v>31</v>
      </c>
      <c r="C16" s="8" t="s">
        <v>237</v>
      </c>
      <c r="D16" s="5" t="s">
        <v>32</v>
      </c>
      <c r="V16" t="s">
        <v>400</v>
      </c>
    </row>
    <row r="17" spans="1:23" x14ac:dyDescent="0.25">
      <c r="A17" s="8">
        <v>16</v>
      </c>
      <c r="B17" s="2" t="s">
        <v>33</v>
      </c>
      <c r="C17" s="8" t="s">
        <v>238</v>
      </c>
      <c r="D17" s="5" t="s">
        <v>34</v>
      </c>
      <c r="F17" t="s">
        <v>493</v>
      </c>
      <c r="V17" t="s">
        <v>401</v>
      </c>
    </row>
    <row r="18" spans="1:23" ht="30" x14ac:dyDescent="0.25">
      <c r="A18" s="8">
        <v>17</v>
      </c>
      <c r="B18" s="2" t="s">
        <v>40</v>
      </c>
      <c r="C18" s="8" t="s">
        <v>41</v>
      </c>
      <c r="D18" s="5" t="s">
        <v>42</v>
      </c>
      <c r="F18" t="s">
        <v>215</v>
      </c>
    </row>
    <row r="19" spans="1:23" ht="30" x14ac:dyDescent="0.25">
      <c r="A19" s="8">
        <v>18</v>
      </c>
      <c r="B19" s="2" t="s">
        <v>43</v>
      </c>
      <c r="C19" s="8" t="s">
        <v>44</v>
      </c>
      <c r="D19" s="5" t="s">
        <v>45</v>
      </c>
      <c r="F19" t="s">
        <v>207</v>
      </c>
    </row>
    <row r="20" spans="1:23" ht="30" x14ac:dyDescent="0.25">
      <c r="A20" s="8">
        <v>19</v>
      </c>
      <c r="B20" s="2" t="s">
        <v>46</v>
      </c>
      <c r="C20" s="8" t="s">
        <v>47</v>
      </c>
      <c r="D20" s="5" t="s">
        <v>48</v>
      </c>
      <c r="F20" t="s">
        <v>305</v>
      </c>
      <c r="J20" s="12"/>
    </row>
    <row r="21" spans="1:23" ht="30" x14ac:dyDescent="0.25">
      <c r="A21" s="8">
        <v>20</v>
      </c>
      <c r="B21" s="2" t="s">
        <v>49</v>
      </c>
      <c r="C21" s="8" t="s">
        <v>50</v>
      </c>
      <c r="D21" s="5" t="s">
        <v>51</v>
      </c>
      <c r="F21" t="s">
        <v>337</v>
      </c>
      <c r="J21" s="12"/>
    </row>
    <row r="22" spans="1:23" ht="30" x14ac:dyDescent="0.25">
      <c r="A22" s="8">
        <v>21</v>
      </c>
      <c r="B22" s="2" t="s">
        <v>52</v>
      </c>
      <c r="C22" s="8" t="s">
        <v>53</v>
      </c>
      <c r="D22" s="5" t="s">
        <v>54</v>
      </c>
      <c r="F22" t="s">
        <v>338</v>
      </c>
      <c r="J22" s="12"/>
      <c r="U22" s="2"/>
    </row>
    <row r="23" spans="1:23" x14ac:dyDescent="0.25">
      <c r="A23" s="8">
        <v>22</v>
      </c>
      <c r="B23" s="2" t="s">
        <v>55</v>
      </c>
      <c r="C23" s="8" t="s">
        <v>56</v>
      </c>
      <c r="D23" s="5" t="s">
        <v>57</v>
      </c>
      <c r="F23" t="s">
        <v>348</v>
      </c>
      <c r="J23" s="12"/>
      <c r="U23" s="2"/>
    </row>
    <row r="24" spans="1:23" x14ac:dyDescent="0.25">
      <c r="A24" s="8">
        <v>23</v>
      </c>
      <c r="B24" s="2" t="s">
        <v>58</v>
      </c>
      <c r="C24" s="8" t="s">
        <v>59</v>
      </c>
      <c r="D24" s="5" t="s">
        <v>60</v>
      </c>
      <c r="F24" t="s">
        <v>508</v>
      </c>
      <c r="H24" s="10"/>
      <c r="K24" s="2"/>
      <c r="U24" s="2"/>
      <c r="W24" s="12"/>
    </row>
    <row r="25" spans="1:23" ht="30" x14ac:dyDescent="0.25">
      <c r="A25" s="8">
        <v>24</v>
      </c>
      <c r="B25" s="2" t="s">
        <v>61</v>
      </c>
      <c r="C25" s="8" t="s">
        <v>62</v>
      </c>
      <c r="D25" s="5" t="s">
        <v>63</v>
      </c>
      <c r="K25" s="2"/>
    </row>
    <row r="26" spans="1:23" ht="45" x14ac:dyDescent="0.25">
      <c r="A26" s="8">
        <v>25</v>
      </c>
      <c r="B26" s="2" t="s">
        <v>64</v>
      </c>
      <c r="C26" s="8" t="s">
        <v>65</v>
      </c>
      <c r="D26" s="5" t="s">
        <v>66</v>
      </c>
      <c r="H26" s="10"/>
      <c r="K26" s="3"/>
      <c r="W26" s="10"/>
    </row>
    <row r="27" spans="1:23" x14ac:dyDescent="0.25">
      <c r="A27" s="8">
        <v>26</v>
      </c>
      <c r="B27" s="2" t="s">
        <v>67</v>
      </c>
      <c r="C27" s="78" t="s">
        <v>244</v>
      </c>
      <c r="D27" s="5" t="s">
        <v>245</v>
      </c>
      <c r="H27" s="10"/>
      <c r="W27" s="10"/>
    </row>
    <row r="28" spans="1:23" ht="45" x14ac:dyDescent="0.25">
      <c r="A28" s="8">
        <v>27</v>
      </c>
      <c r="B28" s="2" t="s">
        <v>68</v>
      </c>
      <c r="C28" s="78" t="s">
        <v>69</v>
      </c>
      <c r="D28" s="5" t="s">
        <v>70</v>
      </c>
      <c r="H28" s="10"/>
      <c r="W28" s="10"/>
    </row>
    <row r="29" spans="1:23" ht="30" x14ac:dyDescent="0.25">
      <c r="A29" s="8">
        <v>28</v>
      </c>
      <c r="B29" s="2" t="s">
        <v>71</v>
      </c>
      <c r="C29" s="78" t="s">
        <v>72</v>
      </c>
      <c r="D29" s="5" t="s">
        <v>73</v>
      </c>
      <c r="H29" s="10"/>
      <c r="W29" s="10"/>
    </row>
    <row r="30" spans="1:23" x14ac:dyDescent="0.25">
      <c r="A30" s="8">
        <v>29</v>
      </c>
      <c r="B30" s="2" t="s">
        <v>74</v>
      </c>
      <c r="C30" s="78" t="s">
        <v>240</v>
      </c>
      <c r="D30" s="5" t="s">
        <v>75</v>
      </c>
      <c r="H30" s="10"/>
      <c r="W30" s="10"/>
    </row>
    <row r="31" spans="1:23" x14ac:dyDescent="0.25">
      <c r="A31" s="8">
        <v>30</v>
      </c>
      <c r="B31" s="2" t="s">
        <v>76</v>
      </c>
      <c r="C31" s="78" t="s">
        <v>239</v>
      </c>
      <c r="D31" s="5" t="s">
        <v>77</v>
      </c>
      <c r="H31" s="10"/>
      <c r="W31" s="10"/>
    </row>
    <row r="32" spans="1:23" x14ac:dyDescent="0.25">
      <c r="A32" s="8">
        <v>31</v>
      </c>
      <c r="B32" s="2" t="s">
        <v>78</v>
      </c>
      <c r="C32" s="78" t="s">
        <v>241</v>
      </c>
      <c r="D32" s="5" t="s">
        <v>79</v>
      </c>
      <c r="H32" s="10"/>
      <c r="W32" s="10"/>
    </row>
    <row r="33" spans="1:23" x14ac:dyDescent="0.25">
      <c r="A33" s="8">
        <v>32</v>
      </c>
      <c r="B33" s="2" t="s">
        <v>81</v>
      </c>
      <c r="C33" s="78" t="s">
        <v>82</v>
      </c>
      <c r="D33" s="5" t="s">
        <v>242</v>
      </c>
      <c r="H33" s="10"/>
      <c r="I33" s="10"/>
      <c r="W33" s="10"/>
    </row>
    <row r="34" spans="1:23" x14ac:dyDescent="0.25">
      <c r="A34" s="8">
        <v>33</v>
      </c>
      <c r="B34" s="2" t="s">
        <v>83</v>
      </c>
      <c r="C34" s="78" t="s">
        <v>84</v>
      </c>
      <c r="D34" s="5" t="s">
        <v>243</v>
      </c>
      <c r="H34" s="10"/>
      <c r="W34" s="10"/>
    </row>
    <row r="35" spans="1:23" x14ac:dyDescent="0.25">
      <c r="A35" s="8">
        <v>34</v>
      </c>
      <c r="B35" s="2"/>
      <c r="C35" s="78" t="s">
        <v>246</v>
      </c>
      <c r="D35" s="5" t="s">
        <v>88</v>
      </c>
      <c r="H35" s="10"/>
      <c r="W35" s="10"/>
    </row>
    <row r="36" spans="1:23" ht="34.15" customHeight="1" x14ac:dyDescent="0.25">
      <c r="A36" s="8"/>
      <c r="B36" s="2"/>
      <c r="C36" s="8"/>
      <c r="D36" s="5"/>
      <c r="F36" s="10"/>
      <c r="H36" s="10"/>
      <c r="W36" s="10"/>
    </row>
    <row r="37" spans="1:23" x14ac:dyDescent="0.25">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AP97"/>
  <sheetViews>
    <sheetView topLeftCell="A2" zoomScaleNormal="100" workbookViewId="0">
      <selection activeCell="Q37" sqref="Q37"/>
    </sheetView>
  </sheetViews>
  <sheetFormatPr defaultRowHeight="15" outlineLevelCol="1" x14ac:dyDescent="0.25"/>
  <cols>
    <col min="1" max="1" width="3.140625" bestFit="1" customWidth="1"/>
    <col min="2" max="2" width="34.42578125" bestFit="1" customWidth="1"/>
    <col min="3" max="3" width="35.5703125"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x14ac:dyDescent="0.25">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505</v>
      </c>
      <c r="AN1" s="2" t="s">
        <v>499</v>
      </c>
      <c r="AO1" t="s">
        <v>357</v>
      </c>
      <c r="AP1" s="160"/>
    </row>
    <row r="2" spans="1:42" x14ac:dyDescent="0.25">
      <c r="A2">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0</v>
      </c>
      <c r="G2" s="116">
        <f>IF(ISNUMBER(SEARCH('Карта учёта'!$B$15,Расходка[[#This Row],[Наименование расходного материала]])),MAX($G$1:G1)+1,0)</f>
        <v>0</v>
      </c>
      <c r="H2" s="116">
        <f>IF(ISNUMBER(SEARCH('Карта учёта'!$B$16,Расходка[[#This Row],[Наименование расходного материала]])),MAX($H$1:H1)+1,0)</f>
        <v>0</v>
      </c>
      <c r="I2" s="116">
        <f>IF(ISNUMBER(SEARCH('Карта учёта'!$B$17,Расходка[[#This Row],[Наименование расходного материала]])),MAX($I$1:I1)+1,0)</f>
        <v>0</v>
      </c>
      <c r="J2" s="116">
        <f>IF(ISNUMBER(SEARCH('Карта учёта'!$B$18,Расходка[[#This Row],[Наименование расходного материала]])),MAX($J$1:J1)+1,0)</f>
        <v>0</v>
      </c>
      <c r="K2" s="116">
        <f>IF(ISNUMBER(SEARCH('Карта учёта'!$B$19,Расходка[[#This Row],[Наименование расходного материала]])),MAX($K$1:K1)+1,0)</f>
        <v>0</v>
      </c>
      <c r="L2" s="116">
        <f>IF(ISNUMBER(SEARCH('Карта учёта'!$B$20,Расходка[[#This Row],[Наименование расходного материала]])),MAX($L$1:L1)+1,0)</f>
        <v>0</v>
      </c>
      <c r="M2" s="116">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"МИМ". Тюмень</v>
      </c>
      <c r="S2" s="115" t="str">
        <f>IFERROR(INDEX(Расходка[Наименование расходного материала],MATCH(Расходка[[#This Row],[№]],Поиск_расходки[Индекс2],0)),"")</f>
        <v>Launcher 6F EBU 3.5</v>
      </c>
      <c r="T2" s="115" t="str">
        <f>IFERROR(INDEX(Расходка[Наименование расходного материала],MATCH(Расходка[[#This Row],[№]],Поиск_расходки[Индекс3],0)),"")</f>
        <v>Fielder</v>
      </c>
      <c r="U2" s="115" t="str">
        <f>IFERROR(INDEX(Расходка[Наименование расходного материала],MATCH(Расходка[[#This Row],[№]],Поиск_расходки[Индекс4],0)),"")</f>
        <v>Колибри</v>
      </c>
      <c r="V2" s="115" t="str">
        <f>IFERROR(INDEX(Расходка[Наименование расходного материала],MATCH(Расходка[[#This Row],[№]],Поиск_расходки[Индекс5],0)),"")</f>
        <v>NC Accuforce</v>
      </c>
      <c r="W2" s="115" t="str">
        <f>IFERROR(INDEX(Расходка[Наименование расходного материала],MATCH(Расходка[[#This Row],[№]],Поиск_расходки[Индекс6],0)),"")</f>
        <v>NC Accuforce</v>
      </c>
      <c r="X2" s="115" t="str">
        <f>IFERROR(INDEX(Расходка[Наименование расходного материала],MATCH(Расходка[[#This Row],[№]],Поиск_расходки[Индекс7],0)),"")</f>
        <v>DES, Resolute Integtity</v>
      </c>
      <c r="Y2" s="115" t="str">
        <f>IFERROR(INDEX(Расходка[Наименование расходного материала],MATCH(Расходка[[#This Row],[№]],Поиск_расходки[Индекс8],0)),"")</f>
        <v>DES, Resolute Integtity</v>
      </c>
      <c r="Z2" s="115" t="str">
        <f>IFERROR(INDEX(Расходка[Наименование расходного материала],MATCH(Расходка[[#This Row],[№]],Поиск_расходки[Индекс9],0)),"")</f>
        <v>Hunter® 6F</v>
      </c>
      <c r="AA2" s="115" t="str">
        <f>IFERROR(INDEX(Расходка[Наименование расходного материала],MATCH(Расходка[[#This Row],[№]],Поиск_расходки[Индекс10],0)),"")</f>
        <v>Hunter® 6F</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407</v>
      </c>
      <c r="AI2" t="s">
        <v>190</v>
      </c>
      <c r="AJ2" t="s">
        <v>199</v>
      </c>
      <c r="AK2" t="str">
        <f>CONCATENATE(AI2,AJ2)</f>
        <v xml:space="preserve">Контраст: Ультравист 370 </v>
      </c>
      <c r="AM2" s="190">
        <v>155800</v>
      </c>
      <c r="AN2" s="2" t="s">
        <v>309</v>
      </c>
      <c r="AO2" t="s">
        <v>501</v>
      </c>
      <c r="AP2" s="129"/>
    </row>
    <row r="3" spans="1:42" x14ac:dyDescent="0.25">
      <c r="A3">
        <v>2</v>
      </c>
      <c r="B3" t="s">
        <v>94</v>
      </c>
      <c r="C3" t="s">
        <v>374</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0</v>
      </c>
      <c r="G3" s="116">
        <f>IF(ISNUMBER(SEARCH('Карта учёта'!$B$15,Расходка[[#This Row],[Наименование расходного материала]])),MAX($G$1:G2)+1,0)</f>
        <v>0</v>
      </c>
      <c r="H3" s="116">
        <f>IF(ISNUMBER(SEARCH('Карта учёта'!$B$16,Расходка[[#This Row],[Наименование расходного материала]])),MAX($H$1:H2)+1,0)</f>
        <v>0</v>
      </c>
      <c r="I3" s="116">
        <f>IF(ISNUMBER(SEARCH('Карта учёта'!$B$17,Расходка[[#This Row],[Наименование расходного материала]])),MAX($I$1:I2)+1,0)</f>
        <v>0</v>
      </c>
      <c r="J3" s="116">
        <f>IF(ISNUMBER(SEARCH('Карта учёта'!$B$18,Расходка[[#This Row],[Наименование расходного материала]])),MAX($J$1:J2)+1,0)</f>
        <v>0</v>
      </c>
      <c r="K3" s="116">
        <f>IF(ISNUMBER(SEARCH('Карта учёта'!$B$19,Расходка[[#This Row],[Наименование расходного материала]])),MAX($K$1:K2)+1,0)</f>
        <v>0</v>
      </c>
      <c r="L3" s="116">
        <f>IF(ISNUMBER(SEARCH('Карта учёта'!$B$20,Расходка[[#This Row],[Наименование расходного материала]])),MAX($L$1:L2)+1,0)</f>
        <v>0</v>
      </c>
      <c r="M3" s="116">
        <f>IF(ISNUMBER(SEARCH('Карта учёта'!$B$21,Расходка[[#This Row],[Наименование расходного материала]])),MAX($M$1:M2)+1,0)</f>
        <v>2</v>
      </c>
      <c r="N3" s="116">
        <f>IF(ISNUMBER(SEARCH('Карта учёта'!$B$22,Расходка[[#This Row],[Наименование расходного материала]])),MAX($N$1:N2)+1,0)</f>
        <v>2</v>
      </c>
      <c r="O3" s="116">
        <f>IF(ISNUMBER(SEARCH('Карта учёта'!$B$23,Расходка[[#This Row],[Наименование расходного материала]])),MAX($O$1:O2)+1,0)</f>
        <v>2</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c>
      <c r="T3" s="115" t="str">
        <f>IFERROR(INDEX(Расходка[Наименование расходного материала],MATCH(Расходка[[#This Row],[№]],Поиск_расходки[Индекс3],0)),"")</f>
        <v>Fielder XT-A</v>
      </c>
      <c r="U3" s="115" t="str">
        <f>IFERROR(INDEX(Расходка[Наименование расходного материала],MATCH(Расходка[[#This Row],[№]],Поиск_расходки[Индекс4],0)),"")</f>
        <v xml:space="preserve">NC Колибри </v>
      </c>
      <c r="V3" s="115" t="str">
        <f>IFERROR(INDEX(Расходка[Наименование расходного материала],MATCH(Расходка[[#This Row],[№]],Поиск_расходки[Индекс5],0)),"")</f>
        <v/>
      </c>
      <c r="W3" s="115" t="str">
        <f>IFERROR(INDEX(Расходка[Наименование расходного материала],MATCH(Расходка[[#This Row],[№]],Поиск_расходки[Индекс6],0)),"")</f>
        <v/>
      </c>
      <c r="X3" s="115" t="str">
        <f>IFERROR(INDEX(Расходка[Наименование расходного материала],MATCH(Расходка[[#This Row],[№]],Поиск_расходки[Индекс7],0)),"")</f>
        <v/>
      </c>
      <c r="Y3" s="115" t="str">
        <f>IFERROR(INDEX(Расходка[Наименование расходного материала],MATCH(Расходка[[#This Row],[№]],Поиск_расходки[Индекс8],0)),"")</f>
        <v/>
      </c>
      <c r="Z3" s="115" t="str">
        <f>IFERROR(INDEX(Расходка[Наименование расходного материала],MATCH(Расходка[[#This Row],[№]],Поиск_расходки[Индекс9],0)),"")</f>
        <v xml:space="preserve">Medtronic Export Advance </v>
      </c>
      <c r="AA3" s="115" t="str">
        <f>IFERROR(INDEX(Расходка[Наименование расходного материала],MATCH(Расходка[[#This Row],[№]],Поиск_расходки[Индекс10],0)),"")</f>
        <v xml:space="preserve">Medtronic Export Advance </v>
      </c>
      <c r="AB3" s="115" t="str">
        <f>IFERROR(INDEX(Расходка[Наименование расходного материала],MATCH(Расходка[[#This Row],[№]],Поиск_расходки[Индекс11],0)),"")</f>
        <v xml:space="preserve">Medtronic Export Advance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408</v>
      </c>
      <c r="AI3" t="s">
        <v>190</v>
      </c>
      <c r="AJ3" t="s">
        <v>200</v>
      </c>
      <c r="AK3" t="str">
        <f t="shared" ref="AK3:AK6" si="0">CONCATENATE(AI3,AJ3)</f>
        <v>Контраст: Омнипак 350</v>
      </c>
      <c r="AM3" s="190">
        <v>218190</v>
      </c>
      <c r="AN3" s="2" t="s">
        <v>494</v>
      </c>
      <c r="AO3" t="s">
        <v>502</v>
      </c>
      <c r="AP3" s="130"/>
    </row>
    <row r="4" spans="1:42" x14ac:dyDescent="0.25">
      <c r="A4">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0</v>
      </c>
      <c r="G4" s="116">
        <f>IF(ISNUMBER(SEARCH('Карта учёта'!$B$15,Расходка[[#This Row],[Наименование расходного материала]])),MAX($G$1:G3)+1,0)</f>
        <v>0</v>
      </c>
      <c r="H4" s="116">
        <f>IF(ISNUMBER(SEARCH('Карта учёта'!$B$16,Расходка[[#This Row],[Наименование расходного материала]])),MAX($H$1:H3)+1,0)</f>
        <v>0</v>
      </c>
      <c r="I4" s="116">
        <f>IF(ISNUMBER(SEARCH('Карта учёта'!$B$17,Расходка[[#This Row],[Наименование расходного материала]])),MAX($I$1:I3)+1,0)</f>
        <v>0</v>
      </c>
      <c r="J4" s="116">
        <f>IF(ISNUMBER(SEARCH('Карта учёта'!$B$18,Расходка[[#This Row],[Наименование расходного материала]])),MAX($J$1:J3)+1,0)</f>
        <v>0</v>
      </c>
      <c r="K4" s="116">
        <f>IF(ISNUMBER(SEARCH('Карта учёта'!$B$19,Расходка[[#This Row],[Наименование расходного материала]])),MAX($K$1:K3)+1,0)</f>
        <v>0</v>
      </c>
      <c r="L4" s="116">
        <f>IF(ISNUMBER(SEARCH('Карта учёта'!$B$20,Расходка[[#This Row],[Наименование расходного материала]])),MAX($L$1:L3)+1,0)</f>
        <v>0</v>
      </c>
      <c r="M4" s="116">
        <f>IF(ISNUMBER(SEARCH('Карта учёта'!$B$21,Расходка[[#This Row],[Наименование расходного материала]])),MAX($M$1:M3)+1,0)</f>
        <v>3</v>
      </c>
      <c r="N4" s="116">
        <f>IF(ISNUMBER(SEARCH('Карта учёта'!$B$22,Расходка[[#This Row],[Наименование расходного материала]])),MAX($N$1:N3)+1,0)</f>
        <v>3</v>
      </c>
      <c r="O4" s="116">
        <f>IF(ISNUMBER(SEARCH('Карта учёта'!$B$23,Расходка[[#This Row],[Наименование расходного материала]])),MAX($O$1:O3)+1,0)</f>
        <v>3</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
      </c>
      <c r="T4" s="115" t="str">
        <f>IFERROR(INDEX(Расходка[Наименование расходного материала],MATCH(Расходка[[#This Row],[№]],Поиск_расходки[Индекс3],0)),"")</f>
        <v>Fielder XT-R</v>
      </c>
      <c r="U4" s="115" t="str">
        <f>IFERROR(INDEX(Расходка[Наименование расходного материала],MATCH(Расходка[[#This Row],[№]],Поиск_расходки[Индекс4],0)),"")</f>
        <v/>
      </c>
      <c r="V4" s="115" t="str">
        <f>IFERROR(INDEX(Расходка[Наименование расходного материала],MATCH(Расходка[[#This Row],[№]],Поиск_расходки[Индекс5],0)),"")</f>
        <v/>
      </c>
      <c r="W4" s="115" t="str">
        <f>IFERROR(INDEX(Расходка[Наименование расходного материала],MATCH(Расходка[[#This Row],[№]],Поиск_расходки[Индекс6],0)),"")</f>
        <v/>
      </c>
      <c r="X4" s="115" t="str">
        <f>IFERROR(INDEX(Расходка[Наименование расходного материала],MATCH(Расходка[[#This Row],[№]],Поиск_расходки[Индекс7],0)),"")</f>
        <v/>
      </c>
      <c r="Y4" s="115" t="str">
        <f>IFERROR(INDEX(Расходка[Наименование расходного материала],MATCH(Расходка[[#This Row],[№]],Поиск_расходки[Индекс8],0)),"")</f>
        <v/>
      </c>
      <c r="Z4" s="115" t="str">
        <f>IFERROR(INDEX(Расходка[Наименование расходного материала],MATCH(Расходка[[#This Row],[№]],Поиск_расходки[Индекс9],0)),"")</f>
        <v>Euphora</v>
      </c>
      <c r="AA4" s="115" t="str">
        <f>IFERROR(INDEX(Расходка[Наименование расходного материала],MATCH(Расходка[[#This Row],[№]],Поиск_расходки[Индекс10],0)),"")</f>
        <v>Euphora</v>
      </c>
      <c r="AB4" s="115" t="str">
        <f>IFERROR(INDEX(Расходка[Наименование расходного материала],MATCH(Расходка[[#This Row],[№]],Поиск_расходки[Индекс11],0)),"")</f>
        <v>Euphora</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409</v>
      </c>
      <c r="AI4" t="s">
        <v>190</v>
      </c>
      <c r="AJ4" t="s">
        <v>201</v>
      </c>
      <c r="AK4" t="str">
        <f t="shared" si="0"/>
        <v>Контраст: Оптирей 350</v>
      </c>
      <c r="AM4" s="190">
        <v>337440</v>
      </c>
      <c r="AN4" s="2" t="s">
        <v>507</v>
      </c>
      <c r="AO4" t="s">
        <v>504</v>
      </c>
      <c r="AP4" s="130"/>
    </row>
    <row r="5" spans="1:42" x14ac:dyDescent="0.25">
      <c r="A5">
        <v>4</v>
      </c>
      <c r="B5" t="s">
        <v>5</v>
      </c>
      <c r="C5" t="s">
        <v>313</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0</v>
      </c>
      <c r="G5" s="116">
        <f>IF(ISNUMBER(SEARCH('Карта учёта'!$B$15,Расходка[[#This Row],[Наименование расходного материала]])),MAX($G$1:G4)+1,0)</f>
        <v>0</v>
      </c>
      <c r="H5" s="116">
        <f>IF(ISNUMBER(SEARCH('Карта учёта'!$B$16,Расходка[[#This Row],[Наименование расходного материала]])),MAX($H$1:H4)+1,0)</f>
        <v>0</v>
      </c>
      <c r="I5" s="116">
        <f>IF(ISNUMBER(SEARCH('Карта учёта'!$B$17,Расходка[[#This Row],[Наименование расходного материала]])),MAX($I$1:I4)+1,0)</f>
        <v>1</v>
      </c>
      <c r="J5" s="116">
        <f>IF(ISNUMBER(SEARCH('Карта учёта'!$B$18,Расходка[[#This Row],[Наименование расходного материала]])),MAX($J$1:J4)+1,0)</f>
        <v>1</v>
      </c>
      <c r="K5" s="116">
        <f>IF(ISNUMBER(SEARCH('Карта учёта'!$B$19,Расходка[[#This Row],[Наименование расходного материала]])),MAX($K$1:K4)+1,0)</f>
        <v>0</v>
      </c>
      <c r="L5" s="116">
        <f>IF(ISNUMBER(SEARCH('Карта учёта'!$B$20,Расходка[[#This Row],[Наименование расходного материала]])),MAX($L$1:L4)+1,0)</f>
        <v>0</v>
      </c>
      <c r="M5" s="116">
        <f>IF(ISNUMBER(SEARCH('Карта учёта'!$B$21,Расходка[[#This Row],[Наименование расходного материала]])),MAX($M$1:M4)+1,0)</f>
        <v>4</v>
      </c>
      <c r="N5" s="116">
        <f>IF(ISNUMBER(SEARCH('Карта учёта'!$B$22,Расходка[[#This Row],[Наименование расходного материала]])),MAX($N$1:N4)+1,0)</f>
        <v>4</v>
      </c>
      <c r="O5" s="116">
        <f>IF(ISNUMBER(SEARCH('Карта учёта'!$B$23,Расходка[[#This Row],[Наименование расходного материала]])),MAX($O$1:O4)+1,0)</f>
        <v>4</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
      </c>
      <c r="T5" s="115" t="str">
        <f>IFERROR(INDEX(Расходка[Наименование расходного материала],MATCH(Расходка[[#This Row],[№]],Поиск_расходки[Индекс3],0)),"")</f>
        <v/>
      </c>
      <c r="U5" s="115" t="str">
        <f>IFERROR(INDEX(Расходка[Наименование расходного материала],MATCH(Расходка[[#This Row],[№]],Поиск_расходки[Индекс4],0)),"")</f>
        <v/>
      </c>
      <c r="V5" s="115" t="str">
        <f>IFERROR(INDEX(Расходка[Наименование расходного материала],MATCH(Расходка[[#This Row],[№]],Поиск_расходки[Индекс5],0)),"")</f>
        <v/>
      </c>
      <c r="W5" s="115" t="str">
        <f>IFERROR(INDEX(Расходка[Наименование расходного материала],MATCH(Расходка[[#This Row],[№]],Поиск_расходки[Индекс6],0)),"")</f>
        <v/>
      </c>
      <c r="X5" s="115" t="str">
        <f>IFERROR(INDEX(Расходка[Наименование расходного материала],MATCH(Расходка[[#This Row],[№]],Поиск_расходки[Индекс7],0)),"")</f>
        <v/>
      </c>
      <c r="Y5" s="115" t="str">
        <f>IFERROR(INDEX(Расходка[Наименование расходного материала],MATCH(Расходка[[#This Row],[№]],Поиск_расходки[Индекс8],0)),"")</f>
        <v/>
      </c>
      <c r="Z5" s="115" t="str">
        <f>IFERROR(INDEX(Расходка[Наименование расходного материала],MATCH(Расходка[[#This Row],[№]],Поиск_расходки[Индекс9],0)),"")</f>
        <v>NC Accuforce</v>
      </c>
      <c r="AA5" s="115" t="str">
        <f>IFERROR(INDEX(Расходка[Наименование расходного материала],MATCH(Расходка[[#This Row],[№]],Поиск_расходки[Индекс10],0)),"")</f>
        <v>NC Accuforce</v>
      </c>
      <c r="AB5" s="115" t="str">
        <f>IFERROR(INDEX(Расходка[Наименование расходного материала],MATCH(Расходка[[#This Row],[№]],Поиск_расходки[Индекс11],0)),"")</f>
        <v>NC Accuforce</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410</v>
      </c>
      <c r="AI5" t="s">
        <v>190</v>
      </c>
      <c r="AJ5" t="s">
        <v>202</v>
      </c>
      <c r="AK5" t="str">
        <f t="shared" si="0"/>
        <v>Контраст: Юнигексол 350</v>
      </c>
      <c r="AM5" s="190">
        <v>136170</v>
      </c>
      <c r="AN5" s="2"/>
      <c r="AO5" t="s">
        <v>503</v>
      </c>
    </row>
    <row r="6" spans="1:42" x14ac:dyDescent="0.25">
      <c r="A6">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0</v>
      </c>
      <c r="G6" s="116">
        <f>IF(ISNUMBER(SEARCH('Карта учёта'!$B$15,Расходка[[#This Row],[Наименование расходного материала]])),MAX($G$1:G5)+1,0)</f>
        <v>0</v>
      </c>
      <c r="H6" s="116">
        <f>IF(ISNUMBER(SEARCH('Карта учёта'!$B$16,Расходка[[#This Row],[Наименование расходного материала]])),MAX($H$1:H5)+1,0)</f>
        <v>0</v>
      </c>
      <c r="I6" s="116">
        <f>IF(ISNUMBER(SEARCH('Карта учёта'!$B$17,Расходка[[#This Row],[Наименование расходного материала]])),MAX($I$1:I5)+1,0)</f>
        <v>0</v>
      </c>
      <c r="J6" s="116">
        <f>IF(ISNUMBER(SEARCH('Карта учёта'!$B$18,Расходка[[#This Row],[Наименование расходного материала]])),MAX($J$1:J5)+1,0)</f>
        <v>0</v>
      </c>
      <c r="K6" s="116">
        <f>IF(ISNUMBER(SEARCH('Карта учёта'!$B$19,Расходка[[#This Row],[Наименование расходного материала]])),MAX($K$1:K5)+1,0)</f>
        <v>0</v>
      </c>
      <c r="L6" s="116">
        <f>IF(ISNUMBER(SEARCH('Карта учёта'!$B$20,Расходка[[#This Row],[Наименование расходного материала]])),MAX($L$1:L5)+1,0)</f>
        <v>0</v>
      </c>
      <c r="M6" s="116">
        <f>IF(ISNUMBER(SEARCH('Карта учёта'!$B$21,Расходка[[#This Row],[Наименование расходного материала]])),MAX($M$1:M5)+1,0)</f>
        <v>5</v>
      </c>
      <c r="N6" s="116">
        <f>IF(ISNUMBER(SEARCH('Карта учёта'!$B$22,Расходка[[#This Row],[Наименование расходного материала]])),MAX($N$1:N5)+1,0)</f>
        <v>5</v>
      </c>
      <c r="O6" s="116">
        <f>IF(ISNUMBER(SEARCH('Карта учёта'!$B$23,Расходка[[#This Row],[Наименование расходного материала]])),MAX($O$1:O5)+1,0)</f>
        <v>5</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
      </c>
      <c r="T6" s="115" t="str">
        <f>IFERROR(INDEX(Расходка[Наименование расходного материала],MATCH(Расходка[[#This Row],[№]],Поиск_расходки[Индекс3],0)),"")</f>
        <v/>
      </c>
      <c r="U6" s="115" t="str">
        <f>IFERROR(INDEX(Расходка[Наименование расходного материала],MATCH(Расходка[[#This Row],[№]],Поиск_расходки[Индекс4],0)),"")</f>
        <v/>
      </c>
      <c r="V6" s="115" t="str">
        <f>IFERROR(INDEX(Расходка[Наименование расходного материала],MATCH(Расходка[[#This Row],[№]],Поиск_расходки[Индекс5],0)),"")</f>
        <v/>
      </c>
      <c r="W6" s="115" t="str">
        <f>IFERROR(INDEX(Расходка[Наименование расходного материала],MATCH(Расходка[[#This Row],[№]],Поиск_расходки[Индекс6],0)),"")</f>
        <v/>
      </c>
      <c r="X6" s="115" t="str">
        <f>IFERROR(INDEX(Расходка[Наименование расходного материала],MATCH(Расходка[[#This Row],[№]],Поиск_расходки[Индекс7],0)),"")</f>
        <v/>
      </c>
      <c r="Y6" s="115" t="str">
        <f>IFERROR(INDEX(Расходка[Наименование расходного материала],MATCH(Расходка[[#This Row],[№]],Поиск_расходки[Индекс8],0)),"")</f>
        <v/>
      </c>
      <c r="Z6" s="115" t="str">
        <f>IFERROR(INDEX(Расходка[Наименование расходного материала],MATCH(Расходка[[#This Row],[№]],Поиск_расходки[Индекс9],0)),"")</f>
        <v>NC Euphora</v>
      </c>
      <c r="AA6" s="115" t="str">
        <f>IFERROR(INDEX(Расходка[Наименование расходного материала],MATCH(Расходка[[#This Row],[№]],Поиск_расходки[Индекс10],0)),"")</f>
        <v>NC Euphora</v>
      </c>
      <c r="AB6" s="115" t="str">
        <f>IFERROR(INDEX(Расходка[Наименование расходного материала],MATCH(Расходка[[#This Row],[№]],Поиск_расходки[Индекс11],0)),"")</f>
        <v>NC Euphora</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411</v>
      </c>
      <c r="AI6" t="s">
        <v>190</v>
      </c>
      <c r="AJ6" t="s">
        <v>203</v>
      </c>
      <c r="AK6" t="str">
        <f t="shared" si="0"/>
        <v>Контраст: Сканлюкс 370</v>
      </c>
      <c r="AM6" s="190">
        <v>135820</v>
      </c>
      <c r="AN6" s="2"/>
      <c r="AO6" t="s">
        <v>506</v>
      </c>
    </row>
    <row r="7" spans="1:42" x14ac:dyDescent="0.25">
      <c r="A7">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0</v>
      </c>
      <c r="G7" s="116">
        <f>IF(ISNUMBER(SEARCH('Карта учёта'!$B$15,Расходка[[#This Row],[Наименование расходного материала]])),MAX($G$1:G6)+1,0)</f>
        <v>0</v>
      </c>
      <c r="H7" s="116">
        <f>IF(ISNUMBER(SEARCH('Карта учёта'!$B$16,Расходка[[#This Row],[Наименование расходного материала]])),MAX($H$1:H6)+1,0)</f>
        <v>0</v>
      </c>
      <c r="I7" s="116">
        <f>IF(ISNUMBER(SEARCH('Карта учёта'!$B$17,Расходка[[#This Row],[Наименование расходного материала]])),MAX($I$1:I6)+1,0)</f>
        <v>0</v>
      </c>
      <c r="J7" s="116">
        <f>IF(ISNUMBER(SEARCH('Карта учёта'!$B$18,Расходка[[#This Row],[Наименование расходного материала]])),MAX($J$1:J6)+1,0)</f>
        <v>0</v>
      </c>
      <c r="K7" s="116">
        <f>IF(ISNUMBER(SEARCH('Карта учёта'!$B$19,Расходка[[#This Row],[Наименование расходного материала]])),MAX($K$1:K6)+1,0)</f>
        <v>0</v>
      </c>
      <c r="L7" s="116">
        <f>IF(ISNUMBER(SEARCH('Карта учёта'!$B$20,Расходка[[#This Row],[Наименование расходного материала]])),MAX($L$1:L6)+1,0)</f>
        <v>0</v>
      </c>
      <c r="M7" s="116">
        <f>IF(ISNUMBER(SEARCH('Карта учёта'!$B$21,Расходка[[#This Row],[Наименование расходного материала]])),MAX($M$1:M6)+1,0)</f>
        <v>6</v>
      </c>
      <c r="N7" s="116">
        <f>IF(ISNUMBER(SEARCH('Карта учёта'!$B$22,Расходка[[#This Row],[Наименование расходного материала]])),MAX($N$1:N6)+1,0)</f>
        <v>6</v>
      </c>
      <c r="O7" s="116">
        <f>IF(ISNUMBER(SEARCH('Карта учёта'!$B$23,Расходка[[#This Row],[Наименование расходного материала]])),MAX($O$1:O6)+1,0)</f>
        <v>6</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
      </c>
      <c r="T7" s="115" t="str">
        <f>IFERROR(INDEX(Расходка[Наименование расходного материала],MATCH(Расходка[[#This Row],[№]],Поиск_расходки[Индекс3],0)),"")</f>
        <v/>
      </c>
      <c r="U7" s="115" t="str">
        <f>IFERROR(INDEX(Расходка[Наименование расходного материала],MATCH(Расходка[[#This Row],[№]],Поиск_расходки[Индекс4],0)),"")</f>
        <v/>
      </c>
      <c r="V7" s="115" t="str">
        <f>IFERROR(INDEX(Расходка[Наименование расходного материала],MATCH(Расходка[[#This Row],[№]],Поиск_расходки[Индекс5],0)),"")</f>
        <v/>
      </c>
      <c r="W7" s="115" t="str">
        <f>IFERROR(INDEX(Расходка[Наименование расходного материала],MATCH(Расходка[[#This Row],[№]],Поиск_расходки[Индекс6],0)),"")</f>
        <v/>
      </c>
      <c r="X7" s="115" t="str">
        <f>IFERROR(INDEX(Расходка[Наименование расходного материала],MATCH(Расходка[[#This Row],[№]],Поиск_расходки[Индекс7],0)),"")</f>
        <v/>
      </c>
      <c r="Y7" s="115" t="str">
        <f>IFERROR(INDEX(Расходка[Наименование расходного материала],MATCH(Расходка[[#This Row],[№]],Поиск_расходки[Индекс8],0)),"")</f>
        <v/>
      </c>
      <c r="Z7" s="115" t="str">
        <f>IFERROR(INDEX(Расходка[Наименование расходного материала],MATCH(Расходка[[#This Row],[№]],Поиск_расходки[Индекс9],0)),"")</f>
        <v>Sapphire</v>
      </c>
      <c r="AA7" s="115" t="str">
        <f>IFERROR(INDEX(Расходка[Наименование расходного материала],MATCH(Расходка[[#This Row],[№]],Поиск_расходки[Индекс10],0)),"")</f>
        <v>Sapphire</v>
      </c>
      <c r="AB7" s="115" t="str">
        <f>IFERROR(INDEX(Расходка[Наименование расходного материала],MATCH(Расходка[[#This Row],[№]],Поиск_расходки[Индекс11],0)),"")</f>
        <v>Sapphire</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412</v>
      </c>
      <c r="AI7" t="s">
        <v>190</v>
      </c>
      <c r="AJ7" t="s">
        <v>204</v>
      </c>
      <c r="AK7" t="str">
        <f t="shared" ref="AK7:AK8" si="1">CONCATENATE(AI7,AJ7)</f>
        <v>Контраст: Йогексол 350</v>
      </c>
      <c r="AM7" s="190">
        <v>155760</v>
      </c>
      <c r="AN7" s="2"/>
      <c r="AO7" t="s">
        <v>500</v>
      </c>
    </row>
    <row r="8" spans="1:42" x14ac:dyDescent="0.25">
      <c r="A8">
        <v>7</v>
      </c>
      <c r="B8" t="s">
        <v>5</v>
      </c>
      <c r="C8" t="s">
        <v>314</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0</v>
      </c>
      <c r="G8" s="116">
        <f>IF(ISNUMBER(SEARCH('Карта учёта'!$B$15,Расходка[[#This Row],[Наименование расходного материала]])),MAX($G$1:G7)+1,0)</f>
        <v>0</v>
      </c>
      <c r="H8" s="116">
        <f>IF(ISNUMBER(SEARCH('Карта учёта'!$B$16,Расходка[[#This Row],[Наименование расходного материала]])),MAX($H$1:H7)+1,0)</f>
        <v>0</v>
      </c>
      <c r="I8" s="116">
        <f>IF(ISNUMBER(SEARCH('Карта учёта'!$B$17,Расходка[[#This Row],[Наименование расходного материала]])),MAX($I$1:I7)+1,0)</f>
        <v>0</v>
      </c>
      <c r="J8" s="116">
        <f>IF(ISNUMBER(SEARCH('Карта учёта'!$B$18,Расходка[[#This Row],[Наименование расходного материала]])),MAX($J$1:J7)+1,0)</f>
        <v>0</v>
      </c>
      <c r="K8" s="116">
        <f>IF(ISNUMBER(SEARCH('Карта учёта'!$B$19,Расходка[[#This Row],[Наименование расходного материала]])),MAX($K$1:K7)+1,0)</f>
        <v>0</v>
      </c>
      <c r="L8" s="116">
        <f>IF(ISNUMBER(SEARCH('Карта учёта'!$B$20,Расходка[[#This Row],[Наименование расходного материала]])),MAX($L$1:L7)+1,0)</f>
        <v>0</v>
      </c>
      <c r="M8" s="116">
        <f>IF(ISNUMBER(SEARCH('Карта учёта'!$B$21,Расходка[[#This Row],[Наименование расходного материала]])),MAX($M$1:M7)+1,0)</f>
        <v>7</v>
      </c>
      <c r="N8" s="116">
        <f>IF(ISNUMBER(SEARCH('Карта учёта'!$B$22,Расходка[[#This Row],[Наименование расходного материала]])),MAX($N$1:N7)+1,0)</f>
        <v>7</v>
      </c>
      <c r="O8" s="116">
        <f>IF(ISNUMBER(SEARCH('Карта учёта'!$B$23,Расходка[[#This Row],[Наименование расходного материала]])),MAX($O$1:O7)+1,0)</f>
        <v>7</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
      </c>
      <c r="T8" s="115" t="str">
        <f>IFERROR(INDEX(Расходка[Наименование расходного материала],MATCH(Расходка[[#This Row],[№]],Поиск_расходки[Индекс3],0)),"")</f>
        <v/>
      </c>
      <c r="U8" s="115" t="str">
        <f>IFERROR(INDEX(Расходка[Наименование расходного материала],MATCH(Расходка[[#This Row],[№]],Поиск_расходки[Индекс4],0)),"")</f>
        <v/>
      </c>
      <c r="V8" s="115" t="str">
        <f>IFERROR(INDEX(Расходка[Наименование расходного материала],MATCH(Расходка[[#This Row],[№]],Поиск_расходки[Индекс5],0)),"")</f>
        <v/>
      </c>
      <c r="W8" s="115" t="str">
        <f>IFERROR(INDEX(Расходка[Наименование расходного материала],MATCH(Расходка[[#This Row],[№]],Поиск_расходки[Индекс6],0)),"")</f>
        <v/>
      </c>
      <c r="X8" s="115" t="str">
        <f>IFERROR(INDEX(Расходка[Наименование расходного материала],MATCH(Расходка[[#This Row],[№]],Поиск_расходки[Индекс7],0)),"")</f>
        <v/>
      </c>
      <c r="Y8" s="115" t="str">
        <f>IFERROR(INDEX(Расходка[Наименование расходного материала],MATCH(Расходка[[#This Row],[№]],Поиск_расходки[Индекс8],0)),"")</f>
        <v/>
      </c>
      <c r="Z8" s="115" t="str">
        <f>IFERROR(INDEX(Расходка[Наименование расходного материала],MATCH(Расходка[[#This Row],[№]],Поиск_расходки[Индекс9],0)),"")</f>
        <v>Sprinter Legend</v>
      </c>
      <c r="AA8" s="115" t="str">
        <f>IFERROR(INDEX(Расходка[Наименование расходного материала],MATCH(Расходка[[#This Row],[№]],Поиск_расходки[Индекс10],0)),"")</f>
        <v>Sprinter Legend</v>
      </c>
      <c r="AB8" s="115" t="str">
        <f>IFERROR(INDEX(Расходка[Наименование расходного материала],MATCH(Расходка[[#This Row],[№]],Поиск_расходки[Индекс11],0)),"")</f>
        <v>Sprinter Legend</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413</v>
      </c>
      <c r="AI8" t="s">
        <v>190</v>
      </c>
      <c r="AJ8" t="s">
        <v>205</v>
      </c>
      <c r="AK8" t="str">
        <f t="shared" si="1"/>
        <v>Контраст: Визипак 320</v>
      </c>
      <c r="AM8" s="190">
        <v>218140</v>
      </c>
      <c r="AN8" s="2"/>
      <c r="AO8" t="s">
        <v>89</v>
      </c>
    </row>
    <row r="9" spans="1:42" x14ac:dyDescent="0.25">
      <c r="A9">
        <v>8</v>
      </c>
      <c r="B9" t="s">
        <v>5</v>
      </c>
      <c r="C9" t="s">
        <v>359</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0</v>
      </c>
      <c r="G9" s="116">
        <f>IF(ISNUMBER(SEARCH('Карта учёта'!$B$15,Расходка[[#This Row],[Наименование расходного материала]])),MAX($G$1:G8)+1,0)</f>
        <v>0</v>
      </c>
      <c r="H9" s="116">
        <f>IF(ISNUMBER(SEARCH('Карта учёта'!$B$16,Расходка[[#This Row],[Наименование расходного материала]])),MAX($H$1:H8)+1,0)</f>
        <v>0</v>
      </c>
      <c r="I9" s="116">
        <f>IF(ISNUMBER(SEARCH('Карта учёта'!$B$17,Расходка[[#This Row],[Наименование расходного материала]])),MAX($I$1:I8)+1,0)</f>
        <v>0</v>
      </c>
      <c r="J9" s="116">
        <f>IF(ISNUMBER(SEARCH('Карта учёта'!$B$18,Расходка[[#This Row],[Наименование расходного материала]])),MAX($J$1:J8)+1,0)</f>
        <v>0</v>
      </c>
      <c r="K9" s="116">
        <f>IF(ISNUMBER(SEARCH('Карта учёта'!$B$19,Расходка[[#This Row],[Наименование расходного материала]])),MAX($K$1:K8)+1,0)</f>
        <v>0</v>
      </c>
      <c r="L9" s="116">
        <f>IF(ISNUMBER(SEARCH('Карта учёта'!$B$20,Расходка[[#This Row],[Наименование расходного материала]])),MAX($L$1:L8)+1,0)</f>
        <v>0</v>
      </c>
      <c r="M9" s="116">
        <f>IF(ISNUMBER(SEARCH('Карта учёта'!$B$21,Расходка[[#This Row],[Наименование расходного материала]])),MAX($M$1:M8)+1,0)</f>
        <v>8</v>
      </c>
      <c r="N9" s="116">
        <f>IF(ISNUMBER(SEARCH('Карта учёта'!$B$22,Расходка[[#This Row],[Наименование расходного материала]])),MAX($N$1:N8)+1,0)</f>
        <v>8</v>
      </c>
      <c r="O9" s="116">
        <f>IF(ISNUMBER(SEARCH('Карта учёта'!$B$23,Расходка[[#This Row],[Наименование расходного материала]])),MAX($O$1:O8)+1,0)</f>
        <v>8</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
      </c>
      <c r="T9" s="115" t="str">
        <f>IFERROR(INDEX(Расходка[Наименование расходного материала],MATCH(Расходка[[#This Row],[№]],Поиск_расходки[Индекс3],0)),"")</f>
        <v/>
      </c>
      <c r="U9" s="115" t="str">
        <f>IFERROR(INDEX(Расходка[Наименование расходного материала],MATCH(Расходка[[#This Row],[№]],Поиск_расходки[Индекс4],0)),"")</f>
        <v/>
      </c>
      <c r="V9" s="115" t="str">
        <f>IFERROR(INDEX(Расходка[Наименование расходного материала],MATCH(Расходка[[#This Row],[№]],Поиск_расходки[Индекс5],0)),"")</f>
        <v/>
      </c>
      <c r="W9" s="115" t="str">
        <f>IFERROR(INDEX(Расходка[Наименование расходного материала],MATCH(Расходка[[#This Row],[№]],Поиск_расходки[Индекс6],0)),"")</f>
        <v/>
      </c>
      <c r="X9" s="115" t="str">
        <f>IFERROR(INDEX(Расходка[Наименование расходного материала],MATCH(Расходка[[#This Row],[№]],Поиск_расходки[Индекс7],0)),"")</f>
        <v/>
      </c>
      <c r="Y9" s="115" t="str">
        <f>IFERROR(INDEX(Расходка[Наименование расходного материала],MATCH(Расходка[[#This Row],[№]],Поиск_расходки[Индекс8],0)),"")</f>
        <v/>
      </c>
      <c r="Z9" s="115" t="str">
        <f>IFERROR(INDEX(Расходка[Наименование расходного материала],MATCH(Расходка[[#This Row],[№]],Поиск_расходки[Индекс9],0)),"")</f>
        <v>SubMarine Rapido, Invatec</v>
      </c>
      <c r="AA9" s="115" t="str">
        <f>IFERROR(INDEX(Расходка[Наименование расходного материала],MATCH(Расходка[[#This Row],[№]],Поиск_расходки[Индекс10],0)),"")</f>
        <v>SubMarine Rapido, Invatec</v>
      </c>
      <c r="AB9" s="115" t="str">
        <f>IFERROR(INDEX(Расходка[Наименование расходного материала],MATCH(Расходка[[#This Row],[№]],Поиск_расходки[Индекс11],0)),"")</f>
        <v>SubMarine Rapido, Invatec</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414</v>
      </c>
      <c r="AM9" s="190">
        <v>218160</v>
      </c>
      <c r="AN9" s="2"/>
      <c r="AO9" t="s">
        <v>90</v>
      </c>
    </row>
    <row r="10" spans="1:42" x14ac:dyDescent="0.25">
      <c r="A10">
        <v>9</v>
      </c>
      <c r="B10" t="s">
        <v>5</v>
      </c>
      <c r="C10" t="s">
        <v>379</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0</v>
      </c>
      <c r="G10" s="116">
        <f>IF(ISNUMBER(SEARCH('Карта учёта'!$B$15,Расходка[[#This Row],[Наименование расходного материала]])),MAX($G$1:G9)+1,0)</f>
        <v>0</v>
      </c>
      <c r="H10" s="116">
        <f>IF(ISNUMBER(SEARCH('Карта учёта'!$B$16,Расходка[[#This Row],[Наименование расходного материала]])),MAX($H$1:H9)+1,0)</f>
        <v>1</v>
      </c>
      <c r="I10" s="116">
        <f>IF(ISNUMBER(SEARCH('Карта учёта'!$B$17,Расходка[[#This Row],[Наименование расходного материала]])),MAX($I$1:I9)+1,0)</f>
        <v>0</v>
      </c>
      <c r="J10" s="116">
        <f>IF(ISNUMBER(SEARCH('Карта учёта'!$B$18,Расходка[[#This Row],[Наименование расходного материала]])),MAX($J$1:J9)+1,0)</f>
        <v>0</v>
      </c>
      <c r="K10" s="116">
        <f>IF(ISNUMBER(SEARCH('Карта учёта'!$B$19,Расходка[[#This Row],[Наименование расходного материала]])),MAX($K$1:K9)+1,0)</f>
        <v>0</v>
      </c>
      <c r="L10" s="116">
        <f>IF(ISNUMBER(SEARCH('Карта учёта'!$B$20,Расходка[[#This Row],[Наименование расходного материала]])),MAX($L$1:L9)+1,0)</f>
        <v>0</v>
      </c>
      <c r="M10" s="116">
        <f>IF(ISNUMBER(SEARCH('Карта учёта'!$B$21,Расходка[[#This Row],[Наименование расходного материала]])),MAX($M$1:M9)+1,0)</f>
        <v>9</v>
      </c>
      <c r="N10" s="116">
        <f>IF(ISNUMBER(SEARCH('Карта учёта'!$B$22,Расходка[[#This Row],[Наименование расходного материала]])),MAX($N$1:N9)+1,0)</f>
        <v>9</v>
      </c>
      <c r="O10" s="116">
        <f>IF(ISNUMBER(SEARCH('Карта учёта'!$B$23,Расходка[[#This Row],[Наименование расходного материала]])),MAX($O$1:O9)+1,0)</f>
        <v>9</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
      </c>
      <c r="T10" s="115" t="str">
        <f>IFERROR(INDEX(Расходка[Наименование расходного материала],MATCH(Расходка[[#This Row],[№]],Поиск_расходки[Индекс3],0)),"")</f>
        <v/>
      </c>
      <c r="U10" s="115" t="str">
        <f>IFERROR(INDEX(Расходка[Наименование расходного материала],MATCH(Расходка[[#This Row],[№]],Поиск_расходки[Индекс4],0)),"")</f>
        <v/>
      </c>
      <c r="V10" s="115" t="str">
        <f>IFERROR(INDEX(Расходка[Наименование расходного материала],MATCH(Расходка[[#This Row],[№]],Поиск_расходки[Индекс5],0)),"")</f>
        <v/>
      </c>
      <c r="W10" s="115" t="str">
        <f>IFERROR(INDEX(Расходка[Наименование расходного материала],MATCH(Расходка[[#This Row],[№]],Поиск_расходки[Индекс6],0)),"")</f>
        <v/>
      </c>
      <c r="X10" s="115" t="str">
        <f>IFERROR(INDEX(Расходка[Наименование расходного материала],MATCH(Расходка[[#This Row],[№]],Поиск_расходки[Индекс7],0)),"")</f>
        <v/>
      </c>
      <c r="Y10" s="115" t="str">
        <f>IFERROR(INDEX(Расходка[Наименование расходного материала],MATCH(Расходка[[#This Row],[№]],Поиск_расходки[Индекс8],0)),"")</f>
        <v/>
      </c>
      <c r="Z10" s="115" t="str">
        <f>IFERROR(INDEX(Расходка[Наименование расходного материала],MATCH(Расходка[[#This Row],[№]],Поиск_расходки[Индекс9],0)),"")</f>
        <v>Колибри</v>
      </c>
      <c r="AA10" s="115" t="str">
        <f>IFERROR(INDEX(Расходка[Наименование расходного материала],MATCH(Расходка[[#This Row],[№]],Поиск_расходки[Индекс10],0)),"")</f>
        <v>Колибри</v>
      </c>
      <c r="AB10" s="115" t="str">
        <f>IFERROR(INDEX(Расходка[Наименование расходного материала],MATCH(Расходка[[#This Row],[№]],Поиск_расходки[Индекс11],0)),"")</f>
        <v>Колибри</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415</v>
      </c>
      <c r="AI10" t="s">
        <v>356</v>
      </c>
      <c r="AM10" s="190">
        <v>194510</v>
      </c>
      <c r="AN10" s="2"/>
      <c r="AO10" t="s">
        <v>91</v>
      </c>
    </row>
    <row r="11" spans="1:42" x14ac:dyDescent="0.25">
      <c r="A11">
        <v>10</v>
      </c>
      <c r="B11" t="s">
        <v>5</v>
      </c>
      <c r="C11" t="s">
        <v>402</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0</v>
      </c>
      <c r="G11" s="116">
        <f>IF(ISNUMBER(SEARCH('Карта учёта'!$B$15,Расходка[[#This Row],[Наименование расходного материала]])),MAX($G$1:G10)+1,0)</f>
        <v>0</v>
      </c>
      <c r="H11" s="116">
        <f>IF(ISNUMBER(SEARCH('Карта учёта'!$B$16,Расходка[[#This Row],[Наименование расходного материала]])),MAX($H$1:H10)+1,0)</f>
        <v>2</v>
      </c>
      <c r="I11" s="116">
        <f>IF(ISNUMBER(SEARCH('Карта учёта'!$B$17,Расходка[[#This Row],[Наименование расходного материала]])),MAX($I$1:I10)+1,0)</f>
        <v>0</v>
      </c>
      <c r="J11" s="116">
        <f>IF(ISNUMBER(SEARCH('Карта учёта'!$B$18,Расходка[[#This Row],[Наименование расходного материала]])),MAX($J$1:J10)+1,0)</f>
        <v>0</v>
      </c>
      <c r="K11" s="116">
        <f>IF(ISNUMBER(SEARCH('Карта учёта'!$B$19,Расходка[[#This Row],[Наименование расходного материала]])),MAX($K$1:K10)+1,0)</f>
        <v>0</v>
      </c>
      <c r="L11" s="116">
        <f>IF(ISNUMBER(SEARCH('Карта учёта'!$B$20,Расходка[[#This Row],[Наименование расходного материала]])),MAX($L$1:L10)+1,0)</f>
        <v>0</v>
      </c>
      <c r="M11" s="116">
        <f>IF(ISNUMBER(SEARCH('Карта учёта'!$B$21,Расходка[[#This Row],[Наименование расходного материала]])),MAX($M$1:M10)+1,0)</f>
        <v>10</v>
      </c>
      <c r="N11" s="116">
        <f>IF(ISNUMBER(SEARCH('Карта учёта'!$B$22,Расходка[[#This Row],[Наименование расходного материала]])),MAX($N$1:N10)+1,0)</f>
        <v>10</v>
      </c>
      <c r="O11" s="116">
        <f>IF(ISNUMBER(SEARCH('Карта учёта'!$B$23,Расходка[[#This Row],[Наименование расходного материала]])),MAX($O$1:O10)+1,0)</f>
        <v>10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c>
      <c r="T11" s="115" t="str">
        <f>IFERROR(INDEX(Расходка[Наименование расходного материала],MATCH(Расходка[[#This Row],[№]],Поиск_расходки[Индекс3],0)),"")</f>
        <v/>
      </c>
      <c r="U11" s="115" t="str">
        <f>IFERROR(INDEX(Расходка[Наименование расходного материала],MATCH(Расходка[[#This Row],[№]],Поиск_расходки[Индекс4],0)),"")</f>
        <v/>
      </c>
      <c r="V11" s="115" t="str">
        <f>IFERROR(INDEX(Расходка[Наименование расходного материала],MATCH(Расходка[[#This Row],[№]],Поиск_расходки[Индекс5],0)),"")</f>
        <v/>
      </c>
      <c r="W11" s="115" t="str">
        <f>IFERROR(INDEX(Расходка[Наименование расходного материала],MATCH(Расходка[[#This Row],[№]],Поиск_расходки[Индекс6],0)),"")</f>
        <v/>
      </c>
      <c r="X11" s="115" t="str">
        <f>IFERROR(INDEX(Расходка[Наименование расходного материала],MATCH(Расходка[[#This Row],[№]],Поиск_расходки[Индекс7],0)),"")</f>
        <v/>
      </c>
      <c r="Y11" s="115" t="str">
        <f>IFERROR(INDEX(Расходка[Наименование расходного материала],MATCH(Расходка[[#This Row],[№]],Поиск_расходки[Индекс8],0)),"")</f>
        <v/>
      </c>
      <c r="Z11" s="115" t="str">
        <f>IFERROR(INDEX(Расходка[Наименование расходного материала],MATCH(Расходка[[#This Row],[№]],Поиск_расходки[Индекс9],0)),"")</f>
        <v xml:space="preserve">NC Колибри </v>
      </c>
      <c r="AA11" s="115" t="str">
        <f>IFERROR(INDEX(Расходка[Наименование расходного материала],MATCH(Расходка[[#This Row],[№]],Поиск_расходки[Индекс10],0)),"")</f>
        <v xml:space="preserve">NC Колибри </v>
      </c>
      <c r="AB11" s="115" t="str">
        <f>IFERROR(INDEX(Расходка[Наименование расходного материала],MATCH(Расходка[[#This Row],[№]],Поиск_расходки[Индекс11],0)),"")</f>
        <v xml:space="preserve">NC Колибри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416</v>
      </c>
      <c r="AI11" t="s">
        <v>4</v>
      </c>
      <c r="AM11" s="190">
        <v>323500</v>
      </c>
      <c r="AN11" s="2"/>
      <c r="AO11" t="s">
        <v>92</v>
      </c>
    </row>
    <row r="12" spans="1:42" x14ac:dyDescent="0.25">
      <c r="A12">
        <v>11</v>
      </c>
      <c r="B12" t="s">
        <v>308</v>
      </c>
      <c r="C12" s="1" t="s">
        <v>334</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0</v>
      </c>
      <c r="G12" s="116">
        <f>IF(ISNUMBER(SEARCH('Карта учёта'!$B$15,Расходка[[#This Row],[Наименование расходного материала]])),MAX($G$1:G11)+1,0)</f>
        <v>0</v>
      </c>
      <c r="H12" s="116">
        <f>IF(ISNUMBER(SEARCH('Карта учёта'!$B$16,Расходка[[#This Row],[Наименование расходного материала]])),MAX($H$1:H11)+1,0)</f>
        <v>0</v>
      </c>
      <c r="I12" s="116">
        <f>IF(ISNUMBER(SEARCH('Карта учёта'!$B$17,Расходка[[#This Row],[Наименование расходного материала]])),MAX($I$1:I11)+1,0)</f>
        <v>0</v>
      </c>
      <c r="J12" s="116">
        <f>IF(ISNUMBER(SEARCH('Карта учёта'!$B$18,Расходка[[#This Row],[Наименование расходного материала]])),MAX($J$1:J11)+1,0)</f>
        <v>0</v>
      </c>
      <c r="K12" s="116">
        <f>IF(ISNUMBER(SEARCH('Карта учёта'!$B$19,Расходка[[#This Row],[Наименование расходного материала]])),MAX($K$1:K11)+1,0)</f>
        <v>0</v>
      </c>
      <c r="L12" s="116">
        <f>IF(ISNUMBER(SEARCH('Карта учёта'!$B$20,Расходка[[#This Row],[Наименование расходного материала]])),MAX($L$1:L11)+1,0)</f>
        <v>0</v>
      </c>
      <c r="M12" s="116">
        <f>IF(ISNUMBER(SEARCH('Карта учёта'!$B$21,Расходка[[#This Row],[Наименование расходного материала]])),MAX($M$1:M11)+1,0)</f>
        <v>11</v>
      </c>
      <c r="N12" s="116">
        <f>IF(ISNUMBER(SEARCH('Карта учёта'!$B$22,Расходка[[#This Row],[Наименование расходного материала]])),MAX($N$1:N11)+1,0)</f>
        <v>11</v>
      </c>
      <c r="O12" s="116">
        <f>IF(ISNUMBER(SEARCH('Карта учёта'!$B$23,Расходка[[#This Row],[Наименование расходного материала]])),MAX($O$1:O11)+1,0)</f>
        <v>11</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
      </c>
      <c r="T12" s="115" t="str">
        <f>IFERROR(INDEX(Расходка[Наименование расходного материала],MATCH(Расходка[[#This Row],[№]],Поиск_расходки[Индекс3],0)),"")</f>
        <v/>
      </c>
      <c r="U12" s="115" t="str">
        <f>IFERROR(INDEX(Расходка[Наименование расходного материала],MATCH(Расходка[[#This Row],[№]],Поиск_расходки[Индекс4],0)),"")</f>
        <v/>
      </c>
      <c r="V12" s="115" t="str">
        <f>IFERROR(INDEX(Расходка[Наименование расходного материала],MATCH(Расходка[[#This Row],[№]],Поиск_расходки[Индекс5],0)),"")</f>
        <v/>
      </c>
      <c r="W12" s="115" t="str">
        <f>IFERROR(INDEX(Расходка[Наименование расходного материала],MATCH(Расходка[[#This Row],[№]],Поиск_расходки[Индекс6],0)),"")</f>
        <v/>
      </c>
      <c r="X12" s="115" t="str">
        <f>IFERROR(INDEX(Расходка[Наименование расходного материала],MATCH(Расходка[[#This Row],[№]],Поиск_расходки[Индекс7],0)),"")</f>
        <v/>
      </c>
      <c r="Y12" s="115" t="str">
        <f>IFERROR(INDEX(Расходка[Наименование расходного материала],MATCH(Расходка[[#This Row],[№]],Поиск_расходки[Индекс8],0)),"")</f>
        <v/>
      </c>
      <c r="Z12" s="115" t="str">
        <f>IFERROR(INDEX(Расходка[Наименование расходного материала],MATCH(Расходка[[#This Row],[№]],Поиск_расходки[Индекс9],0)),"")</f>
        <v>Nitrex 260</v>
      </c>
      <c r="AA12" s="115" t="str">
        <f>IFERROR(INDEX(Расходка[Наименование расходного материала],MATCH(Расходка[[#This Row],[№]],Поиск_расходки[Индекс10],0)),"")</f>
        <v>Nitrex 260</v>
      </c>
      <c r="AB12" s="115" t="str">
        <f>IFERROR(INDEX(Расходка[Наименование расходного материала],MATCH(Расходка[[#This Row],[№]],Поиск_расходки[Индекс11],0)),"")</f>
        <v>Nitrex 260</v>
      </c>
      <c r="AC12" s="115" t="str">
        <f>IFERROR(INDEX(Расходка[Наименование расходного материала],MATCH(Расходка[[#This Row],[№]],Поиск_расходки[Индекс12],0)),"")</f>
        <v>Nitrex 260</v>
      </c>
      <c r="AD12" s="115" t="str">
        <f>IFERROR(INDEX(Расходка[Наименование расходного материала],MATCH(Расходка[[#This Row],[№]],Поиск_расходки[Индекс13],0)),"")</f>
        <v>Nitrex 260</v>
      </c>
      <c r="AF12" s="4" t="s">
        <v>5</v>
      </c>
      <c r="AG12" s="4" t="s">
        <v>417</v>
      </c>
      <c r="AI12" t="s">
        <v>3</v>
      </c>
      <c r="AM12" s="190">
        <v>323510</v>
      </c>
      <c r="AN12" s="2"/>
      <c r="AO12" t="s">
        <v>93</v>
      </c>
    </row>
    <row r="13" spans="1:42" x14ac:dyDescent="0.25">
      <c r="A13">
        <v>12</v>
      </c>
      <c r="B13" t="s">
        <v>308</v>
      </c>
      <c r="C13" t="s">
        <v>368</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0</v>
      </c>
      <c r="G13" s="116">
        <f>IF(ISNUMBER(SEARCH('Карта учёта'!$B$15,Расходка[[#This Row],[Наименование расходного материала]])),MAX($G$1:G12)+1,0)</f>
        <v>0</v>
      </c>
      <c r="H13" s="116">
        <f>IF(ISNUMBER(SEARCH('Карта учёта'!$B$16,Расходка[[#This Row],[Наименование расходного материала]])),MAX($H$1:H12)+1,0)</f>
        <v>0</v>
      </c>
      <c r="I13" s="116">
        <f>IF(ISNUMBER(SEARCH('Карта учёта'!$B$17,Расходка[[#This Row],[Наименование расходного материала]])),MAX($I$1:I12)+1,0)</f>
        <v>0</v>
      </c>
      <c r="J13" s="116">
        <f>IF(ISNUMBER(SEARCH('Карта учёта'!$B$18,Расходка[[#This Row],[Наименование расходного материала]])),MAX($J$1:J12)+1,0)</f>
        <v>0</v>
      </c>
      <c r="K13" s="116">
        <f>IF(ISNUMBER(SEARCH('Карта учёта'!$B$19,Расходка[[#This Row],[Наименование расходного материала]])),MAX($K$1:K12)+1,0)</f>
        <v>0</v>
      </c>
      <c r="L13" s="116">
        <f>IF(ISNUMBER(SEARCH('Карта учёта'!$B$20,Расходка[[#This Row],[Наименование расходного материала]])),MAX($L$1:L12)+1,0)</f>
        <v>0</v>
      </c>
      <c r="M13" s="116">
        <f>IF(ISNUMBER(SEARCH('Карта учёта'!$B$21,Расходка[[#This Row],[Наименование расходного материала]])),MAX($M$1:M12)+1,0)</f>
        <v>12</v>
      </c>
      <c r="N13" s="116">
        <f>IF(ISNUMBER(SEARCH('Карта учёта'!$B$22,Расходка[[#This Row],[Наименование расходного материала]])),MAX($N$1:N12)+1,0)</f>
        <v>12</v>
      </c>
      <c r="O13" s="116">
        <f>IF(ISNUMBER(SEARCH('Карта учёта'!$B$23,Расходка[[#This Row],[Наименование расходного материала]])),MAX($O$1:O12)+1,0)</f>
        <v>12</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
      </c>
      <c r="T13" s="115" t="str">
        <f>IFERROR(INDEX(Расходка[Наименование расходного материала],MATCH(Расходка[[#This Row],[№]],Поиск_расходки[Индекс3],0)),"")</f>
        <v/>
      </c>
      <c r="U13" s="115" t="str">
        <f>IFERROR(INDEX(Расходка[Наименование расходного материала],MATCH(Расходка[[#This Row],[№]],Поиск_расходки[Индекс4],0)),"")</f>
        <v/>
      </c>
      <c r="V13" s="115" t="str">
        <f>IFERROR(INDEX(Расходка[Наименование расходного материала],MATCH(Расходка[[#This Row],[№]],Поиск_расходки[Индекс5],0)),"")</f>
        <v/>
      </c>
      <c r="W13" s="115" t="str">
        <f>IFERROR(INDEX(Расходка[Наименование расходного материала],MATCH(Расходка[[#This Row],[№]],Поиск_расходки[Индекс6],0)),"")</f>
        <v/>
      </c>
      <c r="X13" s="115" t="str">
        <f>IFERROR(INDEX(Расходка[Наименование расходного материала],MATCH(Расходка[[#This Row],[№]],Поиск_расходки[Индекс7],0)),"")</f>
        <v/>
      </c>
      <c r="Y13" s="115" t="str">
        <f>IFERROR(INDEX(Расходка[Наименование расходного материала],MATCH(Расходка[[#This Row],[№]],Поиск_расходки[Индекс8],0)),"")</f>
        <v/>
      </c>
      <c r="Z13" s="115" t="str">
        <f>IFERROR(INDEX(Расходка[Наименование расходного материала],MATCH(Расходка[[#This Row],[№]],Поиск_расходки[Индекс9],0)),"")</f>
        <v>RadiFocus</v>
      </c>
      <c r="AA13" s="115" t="str">
        <f>IFERROR(INDEX(Расходка[Наименование расходного материала],MATCH(Расходка[[#This Row],[№]],Поиск_расходки[Индекс10],0)),"")</f>
        <v>RadiFocus</v>
      </c>
      <c r="AB13" s="115" t="str">
        <f>IFERROR(INDEX(Расходка[Наименование расходного материала],MATCH(Расходка[[#This Row],[№]],Поиск_расходки[Индекс11],0)),"")</f>
        <v>RadiFocus</v>
      </c>
      <c r="AC13" s="115" t="str">
        <f>IFERROR(INDEX(Расходка[Наименование расходного материала],MATCH(Расходка[[#This Row],[№]],Поиск_расходки[Индекс12],0)),"")</f>
        <v>RadiFocus</v>
      </c>
      <c r="AD13" s="115" t="str">
        <f>IFERROR(INDEX(Расходка[Наименование расходного материала],MATCH(Расходка[[#This Row],[№]],Поиск_расходки[Индекс13],0)),"")</f>
        <v>RadiFocus</v>
      </c>
      <c r="AF13" s="4" t="s">
        <v>5</v>
      </c>
      <c r="AG13" s="4" t="s">
        <v>418</v>
      </c>
      <c r="AI13" t="s">
        <v>6</v>
      </c>
      <c r="AN13" s="2"/>
    </row>
    <row r="14" spans="1:42" x14ac:dyDescent="0.25">
      <c r="A14">
        <v>13</v>
      </c>
      <c r="B14" t="s">
        <v>306</v>
      </c>
      <c r="C14" t="s">
        <v>333</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0</v>
      </c>
      <c r="G14" s="116">
        <f>IF(ISNUMBER(SEARCH('Карта учёта'!$B$15,Расходка[[#This Row],[Наименование расходного материала]])),MAX($G$1:G13)+1,0)</f>
        <v>0</v>
      </c>
      <c r="H14" s="116">
        <f>IF(ISNUMBER(SEARCH('Карта учёта'!$B$16,Расходка[[#This Row],[Наименование расходного материала]])),MAX($H$1:H13)+1,0)</f>
        <v>0</v>
      </c>
      <c r="I14" s="116">
        <f>IF(ISNUMBER(SEARCH('Карта учёта'!$B$17,Расходка[[#This Row],[Наименование расходного материала]])),MAX($I$1:I13)+1,0)</f>
        <v>0</v>
      </c>
      <c r="J14" s="116">
        <f>IF(ISNUMBER(SEARCH('Карта учёта'!$B$18,Расходка[[#This Row],[Наименование расходного материала]])),MAX($J$1:J13)+1,0)</f>
        <v>0</v>
      </c>
      <c r="K14" s="116">
        <f>IF(ISNUMBER(SEARCH('Карта учёта'!$B$19,Расходка[[#This Row],[Наименование расходного материала]])),MAX($K$1:K13)+1,0)</f>
        <v>0</v>
      </c>
      <c r="L14" s="116">
        <f>IF(ISNUMBER(SEARCH('Карта учёта'!$B$20,Расходка[[#This Row],[Наименование расходного материала]])),MAX($L$1:L13)+1,0)</f>
        <v>0</v>
      </c>
      <c r="M14" s="116">
        <f>IF(ISNUMBER(SEARCH('Карта учёта'!$B$21,Расходка[[#This Row],[Наименование расходного материала]])),MAX($M$1:M13)+1,0)</f>
        <v>13</v>
      </c>
      <c r="N14" s="116">
        <f>IF(ISNUMBER(SEARCH('Карта учёта'!$B$22,Расходка[[#This Row],[Наименование расходного материала]])),MAX($N$1:N13)+1,0)</f>
        <v>13</v>
      </c>
      <c r="O14" s="116">
        <f>IF(ISNUMBER(SEARCH('Карта учёта'!$B$23,Расходка[[#This Row],[Наименование расходного материала]])),MAX($O$1:O13)+1,0)</f>
        <v>13</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
      </c>
      <c r="T14" s="115" t="str">
        <f>IFERROR(INDEX(Расходка[Наименование расходного материала],MATCH(Расходка[[#This Row],[№]],Поиск_расходки[Индекс3],0)),"")</f>
        <v/>
      </c>
      <c r="U14" s="115" t="str">
        <f>IFERROR(INDEX(Расходка[Наименование расходного материала],MATCH(Расходка[[#This Row],[№]],Поиск_расходки[Индекс4],0)),"")</f>
        <v/>
      </c>
      <c r="V14" s="115" t="str">
        <f>IFERROR(INDEX(Расходка[Наименование расходного материала],MATCH(Расходка[[#This Row],[№]],Поиск_расходки[Индекс5],0)),"")</f>
        <v/>
      </c>
      <c r="W14" s="115" t="str">
        <f>IFERROR(INDEX(Расходка[Наименование расходного материала],MATCH(Расходка[[#This Row],[№]],Поиск_расходки[Индекс6],0)),"")</f>
        <v/>
      </c>
      <c r="X14" s="115" t="str">
        <f>IFERROR(INDEX(Расходка[Наименование расходного материала],MATCH(Расходка[[#This Row],[№]],Поиск_расходки[Индекс7],0)),"")</f>
        <v/>
      </c>
      <c r="Y14" s="115" t="str">
        <f>IFERROR(INDEX(Расходка[Наименование расходного материала],MATCH(Расходка[[#This Row],[№]],Поиск_расходки[Индекс8],0)),"")</f>
        <v/>
      </c>
      <c r="Z14" s="115" t="str">
        <f>IFERROR(INDEX(Расходка[Наименование расходного материала],MATCH(Расходка[[#This Row],[№]],Поиск_расходки[Индекс9],0)),"")</f>
        <v>BasixCOMPAK</v>
      </c>
      <c r="AA14" s="115" t="str">
        <f>IFERROR(INDEX(Расходка[Наименование расходного материала],MATCH(Расходка[[#This Row],[№]],Поиск_расходки[Индекс10],0)),"")</f>
        <v>BasixCOMPAK</v>
      </c>
      <c r="AB14" s="115" t="str">
        <f>IFERROR(INDEX(Расходка[Наименование расходного материала],MATCH(Расходка[[#This Row],[№]],Поиск_расходки[Индекс11],0)),"")</f>
        <v>BasixCOMPAK</v>
      </c>
      <c r="AC14" s="115" t="str">
        <f>IFERROR(INDEX(Расходка[Наименование расходного материала],MATCH(Расходка[[#This Row],[№]],Поиск_расходки[Индекс12],0)),"")</f>
        <v>BasixCOMPAK</v>
      </c>
      <c r="AD14" s="115" t="str">
        <f>IFERROR(INDEX(Расходка[Наименование расходного материала],MATCH(Расходка[[#This Row],[№]],Поиск_расходки[Индекс13],0)),"")</f>
        <v>BasixCOMPAK</v>
      </c>
      <c r="AF14" s="4" t="s">
        <v>5</v>
      </c>
      <c r="AG14" s="4" t="s">
        <v>497</v>
      </c>
      <c r="AI14" t="s">
        <v>5</v>
      </c>
      <c r="AM14" s="190"/>
      <c r="AN14" s="2"/>
    </row>
    <row r="15" spans="1:42" x14ac:dyDescent="0.25">
      <c r="A15">
        <v>14</v>
      </c>
      <c r="B15" t="s">
        <v>306</v>
      </c>
      <c r="C15" t="s">
        <v>365</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0</v>
      </c>
      <c r="G15" s="116">
        <f>IF(ISNUMBER(SEARCH('Карта учёта'!$B$15,Расходка[[#This Row],[Наименование расходного материала]])),MAX($G$1:G14)+1,0)</f>
        <v>0</v>
      </c>
      <c r="H15" s="116">
        <f>IF(ISNUMBER(SEARCH('Карта учёта'!$B$16,Расходка[[#This Row],[Наименование расходного материала]])),MAX($H$1:H14)+1,0)</f>
        <v>0</v>
      </c>
      <c r="I15" s="116">
        <f>IF(ISNUMBER(SEARCH('Карта учёта'!$B$17,Расходка[[#This Row],[Наименование расходного материала]])),MAX($I$1:I14)+1,0)</f>
        <v>0</v>
      </c>
      <c r="J15" s="116">
        <f>IF(ISNUMBER(SEARCH('Карта учёта'!$B$18,Расходка[[#This Row],[Наименование расходного материала]])),MAX($J$1:J14)+1,0)</f>
        <v>0</v>
      </c>
      <c r="K15" s="116">
        <f>IF(ISNUMBER(SEARCH('Карта учёта'!$B$19,Расходка[[#This Row],[Наименование расходного материала]])),MAX($K$1:K14)+1,0)</f>
        <v>0</v>
      </c>
      <c r="L15" s="116">
        <f>IF(ISNUMBER(SEARCH('Карта учёта'!$B$20,Расходка[[#This Row],[Наименование расходного материала]])),MAX($L$1:L14)+1,0)</f>
        <v>0</v>
      </c>
      <c r="M15" s="116">
        <f>IF(ISNUMBER(SEARCH('Карта учёта'!$B$21,Расходка[[#This Row],[Наименование расходного материала]])),MAX($M$1:M14)+1,0)</f>
        <v>14</v>
      </c>
      <c r="N15" s="116">
        <f>IF(ISNUMBER(SEARCH('Карта учёта'!$B$22,Расходка[[#This Row],[Наименование расходного материала]])),MAX($N$1:N14)+1,0)</f>
        <v>14</v>
      </c>
      <c r="O15" s="116">
        <f>IF(ISNUMBER(SEARCH('Карта учёта'!$B$23,Расходка[[#This Row],[Наименование расходного материала]])),MAX($O$1:O14)+1,0)</f>
        <v>14</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
      </c>
      <c r="T15" s="115" t="str">
        <f>IFERROR(INDEX(Расходка[Наименование расходного материала],MATCH(Расходка[[#This Row],[№]],Поиск_расходки[Индекс3],0)),"")</f>
        <v/>
      </c>
      <c r="U15" s="115" t="str">
        <f>IFERROR(INDEX(Расходка[Наименование расходного материала],MATCH(Расходка[[#This Row],[№]],Поиск_расходки[Индекс4],0)),"")</f>
        <v/>
      </c>
      <c r="V15" s="115" t="str">
        <f>IFERROR(INDEX(Расходка[Наименование расходного материала],MATCH(Расходка[[#This Row],[№]],Поиск_расходки[Индекс5],0)),"")</f>
        <v/>
      </c>
      <c r="W15" s="115" t="str">
        <f>IFERROR(INDEX(Расходка[Наименование расходного материала],MATCH(Расходка[[#This Row],[№]],Поиск_расходки[Индекс6],0)),"")</f>
        <v/>
      </c>
      <c r="X15" s="115" t="str">
        <f>IFERROR(INDEX(Расходка[Наименование расходного материала],MATCH(Расходка[[#This Row],[№]],Поиск_расходки[Индекс7],0)),"")</f>
        <v/>
      </c>
      <c r="Y15" s="115" t="str">
        <f>IFERROR(INDEX(Расходка[Наименование расходного материала],MATCH(Расходка[[#This Row],[№]],Поиск_расходки[Индекс8],0)),"")</f>
        <v/>
      </c>
      <c r="Z15" s="115" t="str">
        <f>IFERROR(INDEX(Расходка[Наименование расходного материала],MATCH(Расходка[[#This Row],[№]],Поиск_расходки[Индекс9],0)),"")</f>
        <v>BasixTOUCH</v>
      </c>
      <c r="AA15" s="115" t="str">
        <f>IFERROR(INDEX(Расходка[Наименование расходного материала],MATCH(Расходка[[#This Row],[№]],Поиск_расходки[Индекс10],0)),"")</f>
        <v>BasixTOUCH</v>
      </c>
      <c r="AB15" s="115" t="str">
        <f>IFERROR(INDEX(Расходка[Наименование расходного материала],MATCH(Расходка[[#This Row],[№]],Поиск_расходки[Индекс11],0)),"")</f>
        <v>BasixTOUCH</v>
      </c>
      <c r="AC15" s="115" t="str">
        <f>IFERROR(INDEX(Расходка[Наименование расходного материала],MATCH(Расходка[[#This Row],[№]],Поиск_расходки[Индекс12],0)),"")</f>
        <v>BasixTOUCH</v>
      </c>
      <c r="AD15" s="115" t="str">
        <f>IFERROR(INDEX(Расходка[Наименование расходного материала],MATCH(Расходка[[#This Row],[№]],Поиск_расходки[Индекс13],0)),"")</f>
        <v>BasixTOUCH</v>
      </c>
      <c r="AF15" s="4" t="s">
        <v>5</v>
      </c>
      <c r="AG15" s="4" t="s">
        <v>419</v>
      </c>
      <c r="AI15" t="s">
        <v>94</v>
      </c>
    </row>
    <row r="16" spans="1:42" x14ac:dyDescent="0.25">
      <c r="A16">
        <v>15</v>
      </c>
      <c r="B16" t="s">
        <v>306</v>
      </c>
      <c r="C16" t="s">
        <v>355</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0</v>
      </c>
      <c r="G16" s="116">
        <f>IF(ISNUMBER(SEARCH('Карта учёта'!$B$15,Расходка[[#This Row],[Наименование расходного материала]])),MAX($G$1:G15)+1,0)</f>
        <v>0</v>
      </c>
      <c r="H16" s="116">
        <f>IF(ISNUMBER(SEARCH('Карта учёта'!$B$16,Расходка[[#This Row],[Наименование расходного материала]])),MAX($H$1:H15)+1,0)</f>
        <v>0</v>
      </c>
      <c r="I16" s="116">
        <f>IF(ISNUMBER(SEARCH('Карта учёта'!$B$17,Расходка[[#This Row],[Наименование расходного материала]])),MAX($I$1:I15)+1,0)</f>
        <v>0</v>
      </c>
      <c r="J16" s="116">
        <f>IF(ISNUMBER(SEARCH('Карта учёта'!$B$18,Расходка[[#This Row],[Наименование расходного материала]])),MAX($J$1:J15)+1,0)</f>
        <v>0</v>
      </c>
      <c r="K16" s="116">
        <f>IF(ISNUMBER(SEARCH('Карта учёта'!$B$19,Расходка[[#This Row],[Наименование расходного материала]])),MAX($K$1:K15)+1,0)</f>
        <v>0</v>
      </c>
      <c r="L16" s="116">
        <f>IF(ISNUMBER(SEARCH('Карта учёта'!$B$20,Расходка[[#This Row],[Наименование расходного материала]])),MAX($L$1:L15)+1,0)</f>
        <v>0</v>
      </c>
      <c r="M16" s="116">
        <f>IF(ISNUMBER(SEARCH('Карта учёта'!$B$21,Расходка[[#This Row],[Наименование расходного материала]])),MAX($M$1:M15)+1,0)</f>
        <v>15</v>
      </c>
      <c r="N16" s="116">
        <f>IF(ISNUMBER(SEARCH('Карта учёта'!$B$22,Расходка[[#This Row],[Наименование расходного материала]])),MAX($N$1:N15)+1,0)</f>
        <v>15</v>
      </c>
      <c r="O16" s="116">
        <f>IF(ISNUMBER(SEARCH('Карта учёта'!$B$23,Расходка[[#This Row],[Наименование расходного материала]])),MAX($O$1:O15)+1,0)</f>
        <v>15</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
      </c>
      <c r="T16" s="115" t="str">
        <f>IFERROR(INDEX(Расходка[Наименование расходного материала],MATCH(Расходка[[#This Row],[№]],Поиск_расходки[Индекс3],0)),"")</f>
        <v/>
      </c>
      <c r="U16" s="115" t="str">
        <f>IFERROR(INDEX(Расходка[Наименование расходного материала],MATCH(Расходка[[#This Row],[№]],Поиск_расходки[Индекс4],0)),"")</f>
        <v/>
      </c>
      <c r="V16" s="115" t="str">
        <f>IFERROR(INDEX(Расходка[Наименование расходного материала],MATCH(Расходка[[#This Row],[№]],Поиск_расходки[Индекс5],0)),"")</f>
        <v/>
      </c>
      <c r="W16" s="115" t="str">
        <f>IFERROR(INDEX(Расходка[Наименование расходного материала],MATCH(Расходка[[#This Row],[№]],Поиск_расходки[Индекс6],0)),"")</f>
        <v/>
      </c>
      <c r="X16" s="115" t="str">
        <f>IFERROR(INDEX(Расходка[Наименование расходного материала],MATCH(Расходка[[#This Row],[№]],Поиск_расходки[Индекс7],0)),"")</f>
        <v/>
      </c>
      <c r="Y16" s="115" t="str">
        <f>IFERROR(INDEX(Расходка[Наименование расходного материала],MATCH(Расходка[[#This Row],[№]],Поиск_расходки[Индекс8],0)),"")</f>
        <v/>
      </c>
      <c r="Z16" s="115" t="str">
        <f>IFERROR(INDEX(Расходка[Наименование расходного материала],MATCH(Расходка[[#This Row],[№]],Поиск_расходки[Индекс9],0)),"")</f>
        <v>Dolphin</v>
      </c>
      <c r="AA16" s="115" t="str">
        <f>IFERROR(INDEX(Расходка[Наименование расходного материала],MATCH(Расходка[[#This Row],[№]],Поиск_расходки[Индекс10],0)),"")</f>
        <v>Dolphin</v>
      </c>
      <c r="AB16" s="115" t="str">
        <f>IFERROR(INDEX(Расходка[Наименование расходного материала],MATCH(Расходка[[#This Row],[№]],Поиск_расходки[Индекс11],0)),"")</f>
        <v>Dolphin</v>
      </c>
      <c r="AC16" s="115" t="str">
        <f>IFERROR(INDEX(Расходка[Наименование расходного материала],MATCH(Расходка[[#This Row],[№]],Поиск_расходки[Индекс12],0)),"")</f>
        <v>Dolphin</v>
      </c>
      <c r="AD16" s="115" t="str">
        <f>IFERROR(INDEX(Расходка[Наименование расходного материала],MATCH(Расходка[[#This Row],[№]],Поиск_расходки[Индекс13],0)),"")</f>
        <v>Dolphin</v>
      </c>
      <c r="AF16" s="4" t="s">
        <v>5</v>
      </c>
      <c r="AG16" s="4" t="s">
        <v>420</v>
      </c>
      <c r="AI16" t="s">
        <v>306</v>
      </c>
    </row>
    <row r="17" spans="1:35" x14ac:dyDescent="0.25">
      <c r="A17">
        <v>16</v>
      </c>
      <c r="B17" t="s">
        <v>306</v>
      </c>
      <c r="C17" t="s">
        <v>380</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0</v>
      </c>
      <c r="G17" s="116">
        <f>IF(ISNUMBER(SEARCH('Карта учёта'!$B$15,Расходка[[#This Row],[Наименование расходного материала]])),MAX($G$1:G16)+1,0)</f>
        <v>0</v>
      </c>
      <c r="H17" s="116">
        <f>IF(ISNUMBER(SEARCH('Карта учёта'!$B$16,Расходка[[#This Row],[Наименование расходного материала]])),MAX($H$1:H16)+1,0)</f>
        <v>0</v>
      </c>
      <c r="I17" s="116">
        <f>IF(ISNUMBER(SEARCH('Карта учёта'!$B$17,Расходка[[#This Row],[Наименование расходного материала]])),MAX($I$1:I16)+1,0)</f>
        <v>0</v>
      </c>
      <c r="J17" s="116">
        <f>IF(ISNUMBER(SEARCH('Карта учёта'!$B$18,Расходка[[#This Row],[Наименование расходного материала]])),MAX($J$1:J16)+1,0)</f>
        <v>0</v>
      </c>
      <c r="K17" s="116">
        <f>IF(ISNUMBER(SEARCH('Карта учёта'!$B$19,Расходка[[#This Row],[Наименование расходного материала]])),MAX($K$1:K16)+1,0)</f>
        <v>0</v>
      </c>
      <c r="L17" s="116">
        <f>IF(ISNUMBER(SEARCH('Карта учёта'!$B$20,Расходка[[#This Row],[Наименование расходного материала]])),MAX($L$1:L16)+1,0)</f>
        <v>0</v>
      </c>
      <c r="M17" s="116">
        <f>IF(ISNUMBER(SEARCH('Карта учёта'!$B$21,Расходка[[#This Row],[Наименование расходного материала]])),MAX($M$1:M16)+1,0)</f>
        <v>16</v>
      </c>
      <c r="N17" s="116">
        <f>IF(ISNUMBER(SEARCH('Карта учёта'!$B$22,Расходка[[#This Row],[Наименование расходного материала]])),MAX($N$1:N16)+1,0)</f>
        <v>16</v>
      </c>
      <c r="O17" s="116">
        <f>IF(ISNUMBER(SEARCH('Карта учёта'!$B$23,Расходка[[#This Row],[Наименование расходного материала]])),MAX($O$1:O16)+1,0)</f>
        <v>16</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
      </c>
      <c r="T17" s="115" t="str">
        <f>IFERROR(INDEX(Расходка[Наименование расходного материала],MATCH(Расходка[[#This Row],[№]],Поиск_расходки[Индекс3],0)),"")</f>
        <v/>
      </c>
      <c r="U17" s="115" t="str">
        <f>IFERROR(INDEX(Расходка[Наименование расходного материала],MATCH(Расходка[[#This Row],[№]],Поиск_расходки[Индекс4],0)),"")</f>
        <v/>
      </c>
      <c r="V17" s="115" t="str">
        <f>IFERROR(INDEX(Расходка[Наименование расходного материала],MATCH(Расходка[[#This Row],[№]],Поиск_расходки[Индекс5],0)),"")</f>
        <v/>
      </c>
      <c r="W17" s="115" t="str">
        <f>IFERROR(INDEX(Расходка[Наименование расходного материала],MATCH(Расходка[[#This Row],[№]],Поиск_расходки[Индекс6],0)),"")</f>
        <v/>
      </c>
      <c r="X17" s="115" t="str">
        <f>IFERROR(INDEX(Расходка[Наименование расходного материала],MATCH(Расходка[[#This Row],[№]],Поиск_расходки[Индекс7],0)),"")</f>
        <v/>
      </c>
      <c r="Y17" s="115" t="str">
        <f>IFERROR(INDEX(Расходка[Наименование расходного материала],MATCH(Расходка[[#This Row],[№]],Поиск_расходки[Индекс8],0)),"")</f>
        <v/>
      </c>
      <c r="Z17" s="115" t="str">
        <f>IFERROR(INDEX(Расходка[Наименование расходного материала],MATCH(Расходка[[#This Row],[№]],Поиск_расходки[Индекс9],0)),"")</f>
        <v>Lepu Medical</v>
      </c>
      <c r="AA17" s="115" t="str">
        <f>IFERROR(INDEX(Расходка[Наименование расходного материала],MATCH(Расходка[[#This Row],[№]],Поиск_расходки[Индекс10],0)),"")</f>
        <v>Lepu Medical</v>
      </c>
      <c r="AB17" s="115" t="str">
        <f>IFERROR(INDEX(Расходка[Наименование расходного материала],MATCH(Расходка[[#This Row],[№]],Поиск_расходки[Индекс11],0)),"")</f>
        <v>Lepu Medical</v>
      </c>
      <c r="AC17" s="115" t="str">
        <f>IFERROR(INDEX(Расходка[Наименование расходного материала],MATCH(Расходка[[#This Row],[№]],Поиск_расходки[Индекс12],0)),"")</f>
        <v>Lepu Medical</v>
      </c>
      <c r="AD17" s="115" t="str">
        <f>IFERROR(INDEX(Расходка[Наименование расходного материала],MATCH(Расходка[[#This Row],[№]],Поиск_расходки[Индекс13],0)),"")</f>
        <v>Lepu Medical</v>
      </c>
      <c r="AF17" s="4" t="s">
        <v>5</v>
      </c>
      <c r="AG17" s="4" t="s">
        <v>421</v>
      </c>
      <c r="AI17" t="s">
        <v>206</v>
      </c>
    </row>
    <row r="18" spans="1:35" x14ac:dyDescent="0.25">
      <c r="A18">
        <v>17</v>
      </c>
      <c r="B18" t="s">
        <v>306</v>
      </c>
      <c r="C18" t="s">
        <v>370</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0</v>
      </c>
      <c r="G18" s="116">
        <f>IF(ISNUMBER(SEARCH('Карта учёта'!$B$15,Расходка[[#This Row],[Наименование расходного материала]])),MAX($G$1:G17)+1,0)</f>
        <v>0</v>
      </c>
      <c r="H18" s="116">
        <f>IF(ISNUMBER(SEARCH('Карта учёта'!$B$16,Расходка[[#This Row],[Наименование расходного материала]])),MAX($H$1:H17)+1,0)</f>
        <v>0</v>
      </c>
      <c r="I18" s="116">
        <f>IF(ISNUMBER(SEARCH('Карта учёта'!$B$17,Расходка[[#This Row],[Наименование расходного материала]])),MAX($I$1:I17)+1,0)</f>
        <v>0</v>
      </c>
      <c r="J18" s="116">
        <f>IF(ISNUMBER(SEARCH('Карта учёта'!$B$18,Расходка[[#This Row],[Наименование расходного материала]])),MAX($J$1:J17)+1,0)</f>
        <v>0</v>
      </c>
      <c r="K18" s="116">
        <f>IF(ISNUMBER(SEARCH('Карта учёта'!$B$19,Расходка[[#This Row],[Наименование расходного материала]])),MAX($K$1:K17)+1,0)</f>
        <v>0</v>
      </c>
      <c r="L18" s="116">
        <f>IF(ISNUMBER(SEARCH('Карта учёта'!$B$20,Расходка[[#This Row],[Наименование расходного материала]])),MAX($L$1:L17)+1,0)</f>
        <v>0</v>
      </c>
      <c r="M18" s="116">
        <f>IF(ISNUMBER(SEARCH('Карта учёта'!$B$21,Расходка[[#This Row],[Наименование расходного материала]])),MAX($M$1:M17)+1,0)</f>
        <v>17</v>
      </c>
      <c r="N18" s="116">
        <f>IF(ISNUMBER(SEARCH('Карта учёта'!$B$22,Расходка[[#This Row],[Наименование расходного материала]])),MAX($N$1:N17)+1,0)</f>
        <v>17</v>
      </c>
      <c r="O18" s="116">
        <f>IF(ISNUMBER(SEARCH('Карта учёта'!$B$23,Расходка[[#This Row],[Наименование расходного материала]])),MAX($O$1:O17)+1,0)</f>
        <v>17</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
      </c>
      <c r="T18" s="115" t="str">
        <f>IFERROR(INDEX(Расходка[Наименование расходного материала],MATCH(Расходка[[#This Row],[№]],Поиск_расходки[Индекс3],0)),"")</f>
        <v/>
      </c>
      <c r="U18" s="115" t="str">
        <f>IFERROR(INDEX(Расходка[Наименование расходного материала],MATCH(Расходка[[#This Row],[№]],Поиск_расходки[Индекс4],0)),"")</f>
        <v/>
      </c>
      <c r="V18" s="115" t="str">
        <f>IFERROR(INDEX(Расходка[Наименование расходного материала],MATCH(Расходка[[#This Row],[№]],Поиск_расходки[Индекс5],0)),"")</f>
        <v/>
      </c>
      <c r="W18" s="115" t="str">
        <f>IFERROR(INDEX(Расходка[Наименование расходного материала],MATCH(Расходка[[#This Row],[№]],Поиск_расходки[Индекс6],0)),"")</f>
        <v/>
      </c>
      <c r="X18" s="115" t="str">
        <f>IFERROR(INDEX(Расходка[Наименование расходного материала],MATCH(Расходка[[#This Row],[№]],Поиск_расходки[Индекс7],0)),"")</f>
        <v/>
      </c>
      <c r="Y18" s="115" t="str">
        <f>IFERROR(INDEX(Расходка[Наименование расходного материала],MATCH(Расходка[[#This Row],[№]],Поиск_расходки[Индекс8],0)),"")</f>
        <v/>
      </c>
      <c r="Z18" s="115" t="str">
        <f>IFERROR(INDEX(Расходка[Наименование расходного материала],MATCH(Расходка[[#This Row],[№]],Поиск_расходки[Индекс9],0)),"")</f>
        <v>Perouse Medical FLAMINGO</v>
      </c>
      <c r="AA18" s="115" t="str">
        <f>IFERROR(INDEX(Расходка[Наименование расходного материала],MATCH(Расходка[[#This Row],[№]],Поиск_расходки[Индекс10],0)),"")</f>
        <v>Perouse Medical FLAMINGO</v>
      </c>
      <c r="AB18" s="115" t="str">
        <f>IFERROR(INDEX(Расходка[Наименование расходного материала],MATCH(Расходка[[#This Row],[№]],Поиск_расходки[Индекс11],0)),"")</f>
        <v>Perouse Medical FLAMINGO</v>
      </c>
      <c r="AC18" s="115" t="str">
        <f>IFERROR(INDEX(Расходка[Наименование расходного материала],MATCH(Расходка[[#This Row],[№]],Поиск_расходки[Индекс12],0)),"")</f>
        <v>Perouse Medical FLAMINGO</v>
      </c>
      <c r="AD18" s="115" t="str">
        <f>IFERROR(INDEX(Расходка[Наименование расходного материала],MATCH(Расходка[[#This Row],[№]],Поиск_расходки[Индекс13],0)),"")</f>
        <v>Perouse Medical FLAMINGO</v>
      </c>
      <c r="AF18" s="4" t="s">
        <v>5</v>
      </c>
      <c r="AG18" s="4" t="s">
        <v>422</v>
      </c>
      <c r="AI18" t="s">
        <v>95</v>
      </c>
    </row>
    <row r="19" spans="1:35" x14ac:dyDescent="0.25">
      <c r="A19">
        <v>18</v>
      </c>
      <c r="B19" t="s">
        <v>306</v>
      </c>
      <c r="C19" t="s">
        <v>510</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0</v>
      </c>
      <c r="G19" s="116">
        <f>IF(ISNUMBER(SEARCH('Карта учёта'!$B$15,Расходка[[#This Row],[Наименование расходного материала]])),MAX($G$1:G18)+1,0)</f>
        <v>0</v>
      </c>
      <c r="H19" s="116">
        <f>IF(ISNUMBER(SEARCH('Карта учёта'!$B$16,Расходка[[#This Row],[Наименование расходного материала]])),MAX($H$1:H18)+1,0)</f>
        <v>0</v>
      </c>
      <c r="I19" s="116">
        <f>IF(ISNUMBER(SEARCH('Карта учёта'!$B$17,Расходка[[#This Row],[Наименование расходного материала]])),MAX($I$1:I18)+1,0)</f>
        <v>0</v>
      </c>
      <c r="J19" s="116">
        <f>IF(ISNUMBER(SEARCH('Карта учёта'!$B$18,Расходка[[#This Row],[Наименование расходного материала]])),MAX($J$1:J18)+1,0)</f>
        <v>0</v>
      </c>
      <c r="K19" s="116">
        <f>IF(ISNUMBER(SEARCH('Карта учёта'!$B$19,Расходка[[#This Row],[Наименование расходного материала]])),MAX($K$1:K18)+1,0)</f>
        <v>0</v>
      </c>
      <c r="L19" s="116">
        <f>IF(ISNUMBER(SEARCH('Карта учёта'!$B$20,Расходка[[#This Row],[Наименование расходного материала]])),MAX($L$1:L18)+1,0)</f>
        <v>0</v>
      </c>
      <c r="M19" s="116">
        <f>IF(ISNUMBER(SEARCH('Карта учёта'!$B$21,Расходка[[#This Row],[Наименование расходного материала]])),MAX($M$1:M18)+1,0)</f>
        <v>18</v>
      </c>
      <c r="N19" s="116">
        <f>IF(ISNUMBER(SEARCH('Карта учёта'!$B$22,Расходка[[#This Row],[Наименование расходного материала]])),MAX($N$1:N18)+1,0)</f>
        <v>18</v>
      </c>
      <c r="O19" s="116">
        <f>IF(ISNUMBER(SEARCH('Карта учёта'!$B$23,Расходка[[#This Row],[Наименование расходного материала]])),MAX($O$1:O18)+1,0)</f>
        <v>18</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
      </c>
      <c r="T19" s="115" t="str">
        <f>IFERROR(INDEX(Расходка[Наименование расходного материала],MATCH(Расходка[[#This Row],[№]],Поиск_расходки[Индекс3],0)),"")</f>
        <v/>
      </c>
      <c r="U19" s="115" t="str">
        <f>IFERROR(INDEX(Расходка[Наименование расходного материала],MATCH(Расходка[[#This Row],[№]],Поиск_расходки[Индекс4],0)),"")</f>
        <v/>
      </c>
      <c r="V19" s="115" t="str">
        <f>IFERROR(INDEX(Расходка[Наименование расходного материала],MATCH(Расходка[[#This Row],[№]],Поиск_расходки[Индекс5],0)),"")</f>
        <v/>
      </c>
      <c r="W19" s="115" t="str">
        <f>IFERROR(INDEX(Расходка[Наименование расходного материала],MATCH(Расходка[[#This Row],[№]],Поиск_расходки[Индекс6],0)),"")</f>
        <v/>
      </c>
      <c r="X19" s="115" t="str">
        <f>IFERROR(INDEX(Расходка[Наименование расходного материала],MATCH(Расходка[[#This Row],[№]],Поиск_расходки[Индекс7],0)),"")</f>
        <v/>
      </c>
      <c r="Y19" s="115" t="str">
        <f>IFERROR(INDEX(Расходка[Наименование расходного материала],MATCH(Расходка[[#This Row],[№]],Поиск_расходки[Индекс8],0)),"")</f>
        <v/>
      </c>
      <c r="Z19" s="115" t="str">
        <f>IFERROR(INDEX(Расходка[Наименование расходного материала],MATCH(Расходка[[#This Row],[№]],Поиск_расходки[Индекс9],0)),"")</f>
        <v>Demax</v>
      </c>
      <c r="AA19" s="115" t="str">
        <f>IFERROR(INDEX(Расходка[Наименование расходного материала],MATCH(Расходка[[#This Row],[№]],Поиск_расходки[Индекс10],0)),"")</f>
        <v>Demax</v>
      </c>
      <c r="AB19" s="115" t="str">
        <f>IFERROR(INDEX(Расходка[Наименование расходного материала],MATCH(Расходка[[#This Row],[№]],Поиск_расходки[Индекс11],0)),"")</f>
        <v>Demax</v>
      </c>
      <c r="AC19" s="115" t="str">
        <f>IFERROR(INDEX(Расходка[Наименование расходного материала],MATCH(Расходка[[#This Row],[№]],Поиск_расходки[Индекс12],0)),"")</f>
        <v>Demax</v>
      </c>
      <c r="AD19" s="115" t="str">
        <f>IFERROR(INDEX(Расходка[Наименование расходного материала],MATCH(Расходка[[#This Row],[№]],Поиск_расходки[Индекс13],0)),"")</f>
        <v>Demax</v>
      </c>
      <c r="AF19" s="4" t="s">
        <v>5</v>
      </c>
      <c r="AG19" s="4" t="s">
        <v>423</v>
      </c>
      <c r="AI19" t="s">
        <v>301</v>
      </c>
    </row>
    <row r="20" spans="1:35" x14ac:dyDescent="0.25">
      <c r="A20">
        <v>19</v>
      </c>
      <c r="B20" t="s">
        <v>206</v>
      </c>
      <c r="C20" s="1" t="s">
        <v>339</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0</v>
      </c>
      <c r="G20" s="116">
        <f>IF(ISNUMBER(SEARCH('Карта учёта'!$B$15,Расходка[[#This Row],[Наименование расходного материала]])),MAX($G$1:G19)+1,0)</f>
        <v>0</v>
      </c>
      <c r="H20" s="116">
        <f>IF(ISNUMBER(SEARCH('Карта учёта'!$B$16,Расходка[[#This Row],[Наименование расходного материала]])),MAX($H$1:H19)+1,0)</f>
        <v>0</v>
      </c>
      <c r="I20" s="116">
        <f>IF(ISNUMBER(SEARCH('Карта учёта'!$B$17,Расходка[[#This Row],[Наименование расходного материала]])),MAX($I$1:I19)+1,0)</f>
        <v>0</v>
      </c>
      <c r="J20" s="116">
        <f>IF(ISNUMBER(SEARCH('Карта учёта'!$B$18,Расходка[[#This Row],[Наименование расходного материала]])),MAX($J$1:J19)+1,0)</f>
        <v>0</v>
      </c>
      <c r="K20" s="116">
        <f>IF(ISNUMBER(SEARCH('Карта учёта'!$B$19,Расходка[[#This Row],[Наименование расходного материала]])),MAX($K$1:K19)+1,0)</f>
        <v>0</v>
      </c>
      <c r="L20" s="116">
        <f>IF(ISNUMBER(SEARCH('Карта учёта'!$B$20,Расходка[[#This Row],[Наименование расходного материала]])),MAX($L$1:L19)+1,0)</f>
        <v>0</v>
      </c>
      <c r="M20" s="116">
        <f>IF(ISNUMBER(SEARCH('Карта учёта'!$B$21,Расходка[[#This Row],[Наименование расходного материала]])),MAX($M$1:M19)+1,0)</f>
        <v>19</v>
      </c>
      <c r="N20" s="116">
        <f>IF(ISNUMBER(SEARCH('Карта учёта'!$B$22,Расходка[[#This Row],[Наименование расходного материала]])),MAX($N$1:N19)+1,0)</f>
        <v>19</v>
      </c>
      <c r="O20" s="116">
        <f>IF(ISNUMBER(SEARCH('Карта учёта'!$B$23,Расходка[[#This Row],[Наименование расходного материала]])),MAX($O$1:O19)+1,0)</f>
        <v>19</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
      </c>
      <c r="T20" s="115" t="str">
        <f>IFERROR(INDEX(Расходка[Наименование расходного материала],MATCH(Расходка[[#This Row],[№]],Поиск_расходки[Индекс3],0)),"")</f>
        <v/>
      </c>
      <c r="U20" s="115" t="str">
        <f>IFERROR(INDEX(Расходка[Наименование расходного материала],MATCH(Расходка[[#This Row],[№]],Поиск_расходки[Индекс4],0)),"")</f>
        <v/>
      </c>
      <c r="V20" s="115" t="str">
        <f>IFERROR(INDEX(Расходка[Наименование расходного материала],MATCH(Расходка[[#This Row],[№]],Поиск_расходки[Индекс5],0)),"")</f>
        <v/>
      </c>
      <c r="W20" s="115" t="str">
        <f>IFERROR(INDEX(Расходка[Наименование расходного материала],MATCH(Расходка[[#This Row],[№]],Поиск_расходки[Индекс6],0)),"")</f>
        <v/>
      </c>
      <c r="X20" s="115" t="str">
        <f>IFERROR(INDEX(Расходка[Наименование расходного материала],MATCH(Расходка[[#This Row],[№]],Поиск_расходки[Индекс7],0)),"")</f>
        <v/>
      </c>
      <c r="Y20" s="115" t="str">
        <f>IFERROR(INDEX(Расходка[Наименование расходного материала],MATCH(Расходка[[#This Row],[№]],Поиск_расходки[Индекс8],0)),"")</f>
        <v/>
      </c>
      <c r="Z20" s="115" t="str">
        <f>IFERROR(INDEX(Расходка[Наименование расходного материала],MATCH(Расходка[[#This Row],[№]],Поиск_расходки[Индекс9],0)),"")</f>
        <v>Oscor 7F</v>
      </c>
      <c r="AA20" s="115" t="str">
        <f>IFERROR(INDEX(Расходка[Наименование расходного материала],MATCH(Расходка[[#This Row],[№]],Поиск_расходки[Индекс10],0)),"")</f>
        <v>Oscor 7F</v>
      </c>
      <c r="AB20" s="115" t="str">
        <f>IFERROR(INDEX(Расходка[Наименование расходного материала],MATCH(Расходка[[#This Row],[№]],Поиск_расходки[Индекс11],0)),"")</f>
        <v>Oscor 7F</v>
      </c>
      <c r="AC20" s="115" t="str">
        <f>IFERROR(INDEX(Расходка[Наименование расходного материала],MATCH(Расходка[[#This Row],[№]],Поиск_расходки[Индекс12],0)),"")</f>
        <v>Oscor 7F</v>
      </c>
      <c r="AD20" s="115" t="str">
        <f>IFERROR(INDEX(Расходка[Наименование расходного материала],MATCH(Расходка[[#This Row],[№]],Поиск_расходки[Индекс13],0)),"")</f>
        <v>Oscor 7F</v>
      </c>
      <c r="AF20" s="4" t="s">
        <v>5</v>
      </c>
      <c r="AG20" s="4" t="s">
        <v>424</v>
      </c>
      <c r="AI20" t="s">
        <v>308</v>
      </c>
    </row>
    <row r="21" spans="1:35" x14ac:dyDescent="0.25">
      <c r="A21">
        <v>20</v>
      </c>
      <c r="B21" t="s">
        <v>306</v>
      </c>
      <c r="C21" s="1" t="s">
        <v>513</v>
      </c>
      <c r="E21" s="116">
        <f>IF(ISNUMBER(SEARCH('Карта учёта'!$B$13,Расходка[[#This Row],[Наименование расходного материала]])),MAX($E$1:E20)+1,0)</f>
        <v>1</v>
      </c>
      <c r="F21" s="116">
        <f>IF(ISNUMBER(SEARCH('Карта учёта'!$B$14,Расходка[[#This Row],[Наименование расходного материала]])),MAX($F$1:F20)+1,0)</f>
        <v>0</v>
      </c>
      <c r="G21" s="116">
        <f>IF(ISNUMBER(SEARCH('Карта учёта'!$B$15,Расходка[[#This Row],[Наименование расходного материала]])),MAX($G$1:G20)+1,0)</f>
        <v>0</v>
      </c>
      <c r="H21" s="116">
        <f>IF(ISNUMBER(SEARCH('Карта учёта'!$B$16,Расходка[[#This Row],[Наименование расходного материала]])),MAX($H$1:H20)+1,0)</f>
        <v>0</v>
      </c>
      <c r="I21" s="116">
        <f>IF(ISNUMBER(SEARCH('Карта учёта'!$B$17,Расходка[[#This Row],[Наименование расходного материала]])),MAX($I$1:I20)+1,0)</f>
        <v>0</v>
      </c>
      <c r="J21" s="116">
        <f>IF(ISNUMBER(SEARCH('Карта учёта'!$B$18,Расходка[[#This Row],[Наименование расходного материала]])),MAX($J$1:J20)+1,0)</f>
        <v>0</v>
      </c>
      <c r="K21" s="116">
        <f>IF(ISNUMBER(SEARCH('Карта учёта'!$B$19,Расходка[[#This Row],[Наименование расходного материала]])),MAX($K$1:K20)+1,0)</f>
        <v>0</v>
      </c>
      <c r="L21" s="116">
        <f>IF(ISNUMBER(SEARCH('Карта учёта'!$B$20,Расходка[[#This Row],[Наименование расходного материала]])),MAX($L$1:L20)+1,0)</f>
        <v>0</v>
      </c>
      <c r="M21" s="116">
        <f>IF(ISNUMBER(SEARCH('Карта учёта'!$B$21,Расходка[[#This Row],[Наименование расходного материала]])),MAX($M$1:M20)+1,0)</f>
        <v>20</v>
      </c>
      <c r="N21" s="116">
        <f>IF(ISNUMBER(SEARCH('Карта учёта'!$B$22,Расходка[[#This Row],[Наименование расходного материала]])),MAX($N$1:N20)+1,0)</f>
        <v>20</v>
      </c>
      <c r="O21" s="116">
        <f>IF(ISNUMBER(SEARCH('Карта учёта'!$B$23,Расходка[[#This Row],[Наименование расходного материала]])),MAX($O$1:O20)+1,0)</f>
        <v>20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
      </c>
      <c r="T21" s="115" t="str">
        <f>IFERROR(INDEX(Расходка[Наименование расходного материала],MATCH(Расходка[[#This Row],[№]],Поиск_расходки[Индекс3],0)),"")</f>
        <v/>
      </c>
      <c r="U21" s="115" t="str">
        <f>IFERROR(INDEX(Расходка[Наименование расходного материала],MATCH(Расходка[[#This Row],[№]],Поиск_расходки[Индекс4],0)),"")</f>
        <v/>
      </c>
      <c r="V21" s="115" t="str">
        <f>IFERROR(INDEX(Расходка[Наименование расходного материала],MATCH(Расходка[[#This Row],[№]],Поиск_расходки[Индекс5],0)),"")</f>
        <v/>
      </c>
      <c r="W21" s="115" t="str">
        <f>IFERROR(INDEX(Расходка[Наименование расходного материала],MATCH(Расходка[[#This Row],[№]],Поиск_расходки[Индекс6],0)),"")</f>
        <v/>
      </c>
      <c r="X21" s="115" t="str">
        <f>IFERROR(INDEX(Расходка[Наименование расходного материала],MATCH(Расходка[[#This Row],[№]],Поиск_расходки[Индекс7],0)),"")</f>
        <v/>
      </c>
      <c r="Y21" s="115" t="str">
        <f>IFERROR(INDEX(Расходка[Наименование расходного материала],MATCH(Расходка[[#This Row],[№]],Поиск_расходки[Индекс8],0)),"")</f>
        <v/>
      </c>
      <c r="Z21" s="115" t="str">
        <f>IFERROR(INDEX(Расходка[Наименование расходного материала],MATCH(Расходка[[#This Row],[№]],Поиск_расходки[Индекс9],0)),"")</f>
        <v>"МИМ". Тюмень</v>
      </c>
      <c r="AA21" s="115" t="str">
        <f>IFERROR(INDEX(Расходка[Наименование расходного материала],MATCH(Расходка[[#This Row],[№]],Поиск_расходки[Индекс10],0)),"")</f>
        <v>"МИМ". Тюмень</v>
      </c>
      <c r="AB21" s="115" t="str">
        <f>IFERROR(INDEX(Расходка[Наименование расходного материала],MATCH(Расходка[[#This Row],[№]],Поиск_расходки[Индекс11],0)),"")</f>
        <v>"МИМ". Тюмень</v>
      </c>
      <c r="AC21" s="115" t="str">
        <f>IFERROR(INDEX(Расходка[Наименование расходного материала],MATCH(Расходка[[#This Row],[№]],Поиск_расходки[Индекс12],0)),"")</f>
        <v>"МИМ". Тюмень</v>
      </c>
      <c r="AD21" s="115" t="str">
        <f>IFERROR(INDEX(Расходка[Наименование расходного материала],MATCH(Расходка[[#This Row],[№]],Поиск_расходки[Индекс13],0)),"")</f>
        <v>"МИМ". Тюмень</v>
      </c>
      <c r="AF21" s="4" t="s">
        <v>5</v>
      </c>
      <c r="AG21" s="4" t="s">
        <v>425</v>
      </c>
    </row>
    <row r="22" spans="1:35" x14ac:dyDescent="0.25">
      <c r="A22">
        <v>21</v>
      </c>
      <c r="B22" t="s">
        <v>3</v>
      </c>
      <c r="C22" t="s">
        <v>322</v>
      </c>
      <c r="E22" s="116">
        <f>IF(ISNUMBER(SEARCH('Карта учёта'!$B$13,Расходка[[#This Row],[Наименование расходного материала]])),MAX($E$1:E21)+1,0)</f>
        <v>0</v>
      </c>
      <c r="F22" s="116">
        <f>IF(ISNUMBER(SEARCH('Карта учёта'!$B$14,Расходка[[#This Row],[Наименование расходного материала]])),MAX($F$1:F21)+1,0)</f>
        <v>0</v>
      </c>
      <c r="G22" s="116">
        <f>IF(ISNUMBER(SEARCH('Карта учёта'!$B$15,Расходка[[#This Row],[Наименование расходного материала]])),MAX($G$1:G21)+1,0)</f>
        <v>0</v>
      </c>
      <c r="H22" s="116">
        <f>IF(ISNUMBER(SEARCH('Карта учёта'!$B$16,Расходка[[#This Row],[Наименование расходного материала]])),MAX($H$1:H21)+1,0)</f>
        <v>0</v>
      </c>
      <c r="I22" s="116">
        <f>IF(ISNUMBER(SEARCH('Карта учёта'!$B$17,Расходка[[#This Row],[Наименование расходного материала]])),MAX($I$1:I21)+1,0)</f>
        <v>0</v>
      </c>
      <c r="J22" s="116">
        <f>IF(ISNUMBER(SEARCH('Карта учёта'!$B$18,Расходка[[#This Row],[Наименование расходного материала]])),MAX($J$1:J21)+1,0)</f>
        <v>0</v>
      </c>
      <c r="K22" s="116">
        <f>IF(ISNUMBER(SEARCH('Карта учёта'!$B$19,Расходка[[#This Row],[Наименование расходного материала]])),MAX($K$1:K21)+1,0)</f>
        <v>0</v>
      </c>
      <c r="L22" s="116">
        <f>IF(ISNUMBER(SEARCH('Карта учёта'!$B$20,Расходка[[#This Row],[Наименование расходного материала]])),MAX($L$1:L21)+1,0)</f>
        <v>0</v>
      </c>
      <c r="M22" s="116">
        <f>IF(ISNUMBER(SEARCH('Карта учёта'!$B$21,Расходка[[#This Row],[Наименование расходного материала]])),MAX($M$1:M21)+1,0)</f>
        <v>21</v>
      </c>
      <c r="N22" s="116">
        <f>IF(ISNUMBER(SEARCH('Карта учёта'!$B$22,Расходка[[#This Row],[Наименование расходного материала]])),MAX($N$1:N21)+1,0)</f>
        <v>21</v>
      </c>
      <c r="O22" s="116">
        <f>IF(ISNUMBER(SEARCH('Карта учёта'!$B$23,Расходка[[#This Row],[Наименование расходного материала]])),MAX($O$1:O21)+1,0)</f>
        <v>21</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
      </c>
      <c r="T22" s="115" t="str">
        <f>IFERROR(INDEX(Расходка[Наименование расходного материала],MATCH(Расходка[[#This Row],[№]],Поиск_расходки[Индекс3],0)),"")</f>
        <v/>
      </c>
      <c r="U22" s="115" t="str">
        <f>IFERROR(INDEX(Расходка[Наименование расходного материала],MATCH(Расходка[[#This Row],[№]],Поиск_расходки[Индекс4],0)),"")</f>
        <v/>
      </c>
      <c r="V22" s="115" t="str">
        <f>IFERROR(INDEX(Расходка[Наименование расходного материала],MATCH(Расходка[[#This Row],[№]],Поиск_расходки[Индекс5],0)),"")</f>
        <v/>
      </c>
      <c r="W22" s="115" t="str">
        <f>IFERROR(INDEX(Расходка[Наименование расходного материала],MATCH(Расходка[[#This Row],[№]],Поиск_расходки[Индекс6],0)),"")</f>
        <v/>
      </c>
      <c r="X22" s="115" t="str">
        <f>IFERROR(INDEX(Расходка[Наименование расходного материала],MATCH(Расходка[[#This Row],[№]],Поиск_расходки[Индекс7],0)),"")</f>
        <v/>
      </c>
      <c r="Y22" s="115" t="str">
        <f>IFERROR(INDEX(Расходка[Наименование расходного материала],MATCH(Расходка[[#This Row],[№]],Поиск_расходки[Индекс8],0)),"")</f>
        <v/>
      </c>
      <c r="Z22" s="115" t="str">
        <f>IFERROR(INDEX(Расходка[Наименование расходного материала],MATCH(Расходка[[#This Row],[№]],Поиск_расходки[Индекс9],0)),"")</f>
        <v>Cougar LS Hydro-Track®</v>
      </c>
      <c r="AA22" s="115" t="str">
        <f>IFERROR(INDEX(Расходка[Наименование расходного материала],MATCH(Расходка[[#This Row],[№]],Поиск_расходки[Индекс10],0)),"")</f>
        <v>Cougar LS Hydro-Track®</v>
      </c>
      <c r="AB22" s="115" t="str">
        <f>IFERROR(INDEX(Расходка[Наименование расходного материала],MATCH(Расходка[[#This Row],[№]],Поиск_расходки[Индекс11],0)),"")</f>
        <v>Cougar LS Hydro-Track®</v>
      </c>
      <c r="AC22" s="115" t="str">
        <f>IFERROR(INDEX(Расходка[Наименование расходного материала],MATCH(Расходка[[#This Row],[№]],Поиск_расходки[Индекс12],0)),"")</f>
        <v>Cougar LS Hydro-Track®</v>
      </c>
      <c r="AD22" s="115" t="str">
        <f>IFERROR(INDEX(Расходка[Наименование расходного материала],MATCH(Расходка[[#This Row],[№]],Поиск_расходки[Индекс13],0)),"")</f>
        <v>Cougar LS Hydro-Track®</v>
      </c>
      <c r="AF22" s="4" t="s">
        <v>5</v>
      </c>
      <c r="AG22" s="4" t="s">
        <v>426</v>
      </c>
    </row>
    <row r="23" spans="1:35" x14ac:dyDescent="0.25">
      <c r="A23">
        <v>22</v>
      </c>
      <c r="B23" t="s">
        <v>3</v>
      </c>
      <c r="C23" t="s">
        <v>343</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0</v>
      </c>
      <c r="G23" s="116">
        <f>IF(ISNUMBER(SEARCH('Карта учёта'!$B$15,Расходка[[#This Row],[Наименование расходного материала]])),MAX($G$1:G22)+1,0)</f>
        <v>0</v>
      </c>
      <c r="H23" s="116">
        <f>IF(ISNUMBER(SEARCH('Карта учёта'!$B$16,Расходка[[#This Row],[Наименование расходного материала]])),MAX($H$1:H22)+1,0)</f>
        <v>0</v>
      </c>
      <c r="I23" s="116">
        <f>IF(ISNUMBER(SEARCH('Карта учёта'!$B$17,Расходка[[#This Row],[Наименование расходного материала]])),MAX($I$1:I22)+1,0)</f>
        <v>0</v>
      </c>
      <c r="J23" s="116">
        <f>IF(ISNUMBER(SEARCH('Карта учёта'!$B$18,Расходка[[#This Row],[Наименование расходного материала]])),MAX($J$1:J22)+1,0)</f>
        <v>0</v>
      </c>
      <c r="K23" s="116">
        <f>IF(ISNUMBER(SEARCH('Карта учёта'!$B$19,Расходка[[#This Row],[Наименование расходного материала]])),MAX($K$1:K22)+1,0)</f>
        <v>0</v>
      </c>
      <c r="L23" s="116">
        <f>IF(ISNUMBER(SEARCH('Карта учёта'!$B$20,Расходка[[#This Row],[Наименование расходного материала]])),MAX($L$1:L22)+1,0)</f>
        <v>0</v>
      </c>
      <c r="M23" s="116">
        <f>IF(ISNUMBER(SEARCH('Карта учёта'!$B$21,Расходка[[#This Row],[Наименование расходного материала]])),MAX($M$1:M22)+1,0)</f>
        <v>22</v>
      </c>
      <c r="N23" s="116">
        <f>IF(ISNUMBER(SEARCH('Карта учёта'!$B$22,Расходка[[#This Row],[Наименование расходного материала]])),MAX($N$1:N22)+1,0)</f>
        <v>22</v>
      </c>
      <c r="O23" s="116">
        <f>IF(ISNUMBER(SEARCH('Карта учёта'!$B$23,Расходка[[#This Row],[Наименование расходного материала]])),MAX($O$1:O22)+1,0)</f>
        <v>22</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
      </c>
      <c r="T23" s="115" t="str">
        <f>IFERROR(INDEX(Расходка[Наименование расходного материала],MATCH(Расходка[[#This Row],[№]],Поиск_расходки[Индекс3],0)),"")</f>
        <v/>
      </c>
      <c r="U23" s="115" t="str">
        <f>IFERROR(INDEX(Расходка[Наименование расходного материала],MATCH(Расходка[[#This Row],[№]],Поиск_расходки[Индекс4],0)),"")</f>
        <v/>
      </c>
      <c r="V23" s="115" t="str">
        <f>IFERROR(INDEX(Расходка[Наименование расходного материала],MATCH(Расходка[[#This Row],[№]],Поиск_расходки[Индекс5],0)),"")</f>
        <v/>
      </c>
      <c r="W23" s="115" t="str">
        <f>IFERROR(INDEX(Расходка[Наименование расходного материала],MATCH(Расходка[[#This Row],[№]],Поиск_расходки[Индекс6],0)),"")</f>
        <v/>
      </c>
      <c r="X23" s="115" t="str">
        <f>IFERROR(INDEX(Расходка[Наименование расходного материала],MATCH(Расходка[[#This Row],[№]],Поиск_расходки[Индекс7],0)),"")</f>
        <v/>
      </c>
      <c r="Y23" s="115" t="str">
        <f>IFERROR(INDEX(Расходка[Наименование расходного материала],MATCH(Расходка[[#This Row],[№]],Поиск_расходки[Индекс8],0)),"")</f>
        <v/>
      </c>
      <c r="Z23" s="115" t="str">
        <f>IFERROR(INDEX(Расходка[Наименование расходного материала],MATCH(Расходка[[#This Row],[№]],Поиск_расходки[Индекс9],0)),"")</f>
        <v>Cougar XT Hydro-Track®</v>
      </c>
      <c r="AA23" s="115" t="str">
        <f>IFERROR(INDEX(Расходка[Наименование расходного материала],MATCH(Расходка[[#This Row],[№]],Поиск_расходки[Индекс10],0)),"")</f>
        <v>Cougar XT Hydro-Track®</v>
      </c>
      <c r="AB23" s="115" t="str">
        <f>IFERROR(INDEX(Расходка[Наименование расходного материала],MATCH(Расходка[[#This Row],[№]],Поиск_расходки[Индекс11],0)),"")</f>
        <v>Cougar XT Hydro-Track®</v>
      </c>
      <c r="AC23" s="115" t="str">
        <f>IFERROR(INDEX(Расходка[Наименование расходного материала],MATCH(Расходка[[#This Row],[№]],Поиск_расходки[Индекс12],0)),"")</f>
        <v>Cougar XT Hydro-Track®</v>
      </c>
      <c r="AD23" s="115" t="str">
        <f>IFERROR(INDEX(Расходка[Наименование расходного материала],MATCH(Расходка[[#This Row],[№]],Поиск_расходки[Индекс13],0)),"")</f>
        <v>Cougar XT Hydro-Track®</v>
      </c>
      <c r="AF23" s="4" t="s">
        <v>5</v>
      </c>
      <c r="AG23" s="4" t="s">
        <v>427</v>
      </c>
    </row>
    <row r="24" spans="1:35" x14ac:dyDescent="0.25">
      <c r="A24">
        <v>23</v>
      </c>
      <c r="B24" t="s">
        <v>3</v>
      </c>
      <c r="C24" t="s">
        <v>315</v>
      </c>
      <c r="E24" s="116">
        <f>IF(ISNUMBER(SEARCH('Карта учёта'!$B$13,Расходка[[#This Row],[Наименование расходного материала]])),MAX($E$1:E23)+1,0)</f>
        <v>0</v>
      </c>
      <c r="F24" s="116">
        <f>IF(ISNUMBER(SEARCH('Карта учёта'!$B$14,Расходка[[#This Row],[Наименование расходного материала]])),MAX($F$1:F23)+1,0)</f>
        <v>0</v>
      </c>
      <c r="G24" s="116">
        <f>IF(ISNUMBER(SEARCH('Карта учёта'!$B$15,Расходка[[#This Row],[Наименование расходного материала]])),MAX($G$1:G23)+1,0)</f>
        <v>1</v>
      </c>
      <c r="H24" s="116">
        <f>IF(ISNUMBER(SEARCH('Карта учёта'!$B$16,Расходка[[#This Row],[Наименование расходного материала]])),MAX($H$1:H23)+1,0)</f>
        <v>0</v>
      </c>
      <c r="I24" s="116">
        <f>IF(ISNUMBER(SEARCH('Карта учёта'!$B$17,Расходка[[#This Row],[Наименование расходного материала]])),MAX($I$1:I23)+1,0)</f>
        <v>0</v>
      </c>
      <c r="J24" s="116">
        <f>IF(ISNUMBER(SEARCH('Карта учёта'!$B$18,Расходка[[#This Row],[Наименование расходного материала]])),MAX($J$1:J23)+1,0)</f>
        <v>0</v>
      </c>
      <c r="K24" s="116">
        <f>IF(ISNUMBER(SEARCH('Карта учёта'!$B$19,Расходка[[#This Row],[Наименование расходного материала]])),MAX($K$1:K23)+1,0)</f>
        <v>0</v>
      </c>
      <c r="L24" s="116">
        <f>IF(ISNUMBER(SEARCH('Карта учёта'!$B$20,Расходка[[#This Row],[Наименование расходного материала]])),MAX($L$1:L23)+1,0)</f>
        <v>0</v>
      </c>
      <c r="M24" s="116">
        <f>IF(ISNUMBER(SEARCH('Карта учёта'!$B$21,Расходка[[#This Row],[Наименование расходного материала]])),MAX($M$1:M23)+1,0)</f>
        <v>23</v>
      </c>
      <c r="N24" s="116">
        <f>IF(ISNUMBER(SEARCH('Карта учёта'!$B$22,Расходка[[#This Row],[Наименование расходного материала]])),MAX($N$1:N23)+1,0)</f>
        <v>23</v>
      </c>
      <c r="O24" s="116">
        <f>IF(ISNUMBER(SEARCH('Карта учёта'!$B$23,Расходка[[#This Row],[Наименование расходного материала]])),MAX($O$1:O23)+1,0)</f>
        <v>23</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
      </c>
      <c r="T24" s="115" t="str">
        <f>IFERROR(INDEX(Расходка[Наименование расходного материала],MATCH(Расходка[[#This Row],[№]],Поиск_расходки[Индекс3],0)),"")</f>
        <v/>
      </c>
      <c r="U24" s="115" t="str">
        <f>IFERROR(INDEX(Расходка[Наименование расходного материала],MATCH(Расходка[[#This Row],[№]],Поиск_расходки[Индекс4],0)),"")</f>
        <v/>
      </c>
      <c r="V24" s="115" t="str">
        <f>IFERROR(INDEX(Расходка[Наименование расходного материала],MATCH(Расходка[[#This Row],[№]],Поиск_расходки[Индекс5],0)),"")</f>
        <v/>
      </c>
      <c r="W24" s="115" t="str">
        <f>IFERROR(INDEX(Расходка[Наименование расходного материала],MATCH(Расходка[[#This Row],[№]],Поиск_расходки[Индекс6],0)),"")</f>
        <v/>
      </c>
      <c r="X24" s="115" t="str">
        <f>IFERROR(INDEX(Расходка[Наименование расходного материала],MATCH(Расходка[[#This Row],[№]],Поиск_расходки[Индекс7],0)),"")</f>
        <v/>
      </c>
      <c r="Y24" s="115" t="str">
        <f>IFERROR(INDEX(Расходка[Наименование расходного материала],MATCH(Расходка[[#This Row],[№]],Поиск_расходки[Индекс8],0)),"")</f>
        <v/>
      </c>
      <c r="Z24" s="115" t="str">
        <f>IFERROR(INDEX(Расходка[Наименование расходного материала],MATCH(Расходка[[#This Row],[№]],Поиск_расходки[Индекс9],0)),"")</f>
        <v>Fielder</v>
      </c>
      <c r="AA24" s="115" t="str">
        <f>IFERROR(INDEX(Расходка[Наименование расходного материала],MATCH(Расходка[[#This Row],[№]],Поиск_расходки[Индекс10],0)),"")</f>
        <v>Fielder</v>
      </c>
      <c r="AB24" s="115" t="str">
        <f>IFERROR(INDEX(Расходка[Наименование расходного материала],MATCH(Расходка[[#This Row],[№]],Поиск_расходки[Индекс11],0)),"")</f>
        <v>Fielder</v>
      </c>
      <c r="AC24" s="115" t="str">
        <f>IFERROR(INDEX(Расходка[Наименование расходного материала],MATCH(Расходка[[#This Row],[№]],Поиск_расходки[Индекс12],0)),"")</f>
        <v>Fielder</v>
      </c>
      <c r="AD24" s="115" t="str">
        <f>IFERROR(INDEX(Расходка[Наименование расходного материала],MATCH(Расходка[[#This Row],[№]],Поиск_расходки[Индекс13],0)),"")</f>
        <v>Fielder</v>
      </c>
      <c r="AF24" s="4" t="s">
        <v>5</v>
      </c>
      <c r="AG24" s="4" t="s">
        <v>428</v>
      </c>
    </row>
    <row r="25" spans="1:35" x14ac:dyDescent="0.25">
      <c r="A25">
        <v>24</v>
      </c>
      <c r="B25" t="s">
        <v>3</v>
      </c>
      <c r="C25" t="s">
        <v>377</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0</v>
      </c>
      <c r="G25" s="116">
        <f>IF(ISNUMBER(SEARCH('Карта учёта'!$B$15,Расходка[[#This Row],[Наименование расходного материала]])),MAX($G$1:G24)+1,0)</f>
        <v>2</v>
      </c>
      <c r="H25" s="116">
        <f>IF(ISNUMBER(SEARCH('Карта учёта'!$B$16,Расходка[[#This Row],[Наименование расходного материала]])),MAX($H$1:H24)+1,0)</f>
        <v>0</v>
      </c>
      <c r="I25" s="116">
        <f>IF(ISNUMBER(SEARCH('Карта учёта'!$B$17,Расходка[[#This Row],[Наименование расходного материала]])),MAX($I$1:I24)+1,0)</f>
        <v>0</v>
      </c>
      <c r="J25" s="116">
        <f>IF(ISNUMBER(SEARCH('Карта учёта'!$B$18,Расходка[[#This Row],[Наименование расходного материала]])),MAX($J$1:J24)+1,0)</f>
        <v>0</v>
      </c>
      <c r="K25" s="116">
        <f>IF(ISNUMBER(SEARCH('Карта учёта'!$B$19,Расходка[[#This Row],[Наименование расходного материала]])),MAX($K$1:K24)+1,0)</f>
        <v>0</v>
      </c>
      <c r="L25" s="116">
        <f>IF(ISNUMBER(SEARCH('Карта учёта'!$B$20,Расходка[[#This Row],[Наименование расходного материала]])),MAX($L$1:L24)+1,0)</f>
        <v>0</v>
      </c>
      <c r="M25" s="116">
        <f>IF(ISNUMBER(SEARCH('Карта учёта'!$B$21,Расходка[[#This Row],[Наименование расходного материала]])),MAX($M$1:M24)+1,0)</f>
        <v>24</v>
      </c>
      <c r="N25" s="116">
        <f>IF(ISNUMBER(SEARCH('Карта учёта'!$B$22,Расходка[[#This Row],[Наименование расходного материала]])),MAX($N$1:N24)+1,0)</f>
        <v>24</v>
      </c>
      <c r="O25" s="116">
        <f>IF(ISNUMBER(SEARCH('Карта учёта'!$B$23,Расходка[[#This Row],[Наименование расходного материала]])),MAX($O$1:O24)+1,0)</f>
        <v>24</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
      </c>
      <c r="T25" s="115" t="str">
        <f>IFERROR(INDEX(Расходка[Наименование расходного материала],MATCH(Расходка[[#This Row],[№]],Поиск_расходки[Индекс3],0)),"")</f>
        <v/>
      </c>
      <c r="U25" s="115" t="str">
        <f>IFERROR(INDEX(Расходка[Наименование расходного материала],MATCH(Расходка[[#This Row],[№]],Поиск_расходки[Индекс4],0)),"")</f>
        <v/>
      </c>
      <c r="V25" s="115" t="str">
        <f>IFERROR(INDEX(Расходка[Наименование расходного материала],MATCH(Расходка[[#This Row],[№]],Поиск_расходки[Индекс5],0)),"")</f>
        <v/>
      </c>
      <c r="W25" s="115" t="str">
        <f>IFERROR(INDEX(Расходка[Наименование расходного материала],MATCH(Расходка[[#This Row],[№]],Поиск_расходки[Индекс6],0)),"")</f>
        <v/>
      </c>
      <c r="X25" s="115" t="str">
        <f>IFERROR(INDEX(Расходка[Наименование расходного материала],MATCH(Расходка[[#This Row],[№]],Поиск_расходки[Индекс7],0)),"")</f>
        <v/>
      </c>
      <c r="Y25" s="115" t="str">
        <f>IFERROR(INDEX(Расходка[Наименование расходного материала],MATCH(Расходка[[#This Row],[№]],Поиск_расходки[Индекс8],0)),"")</f>
        <v/>
      </c>
      <c r="Z25" s="115" t="str">
        <f>IFERROR(INDEX(Расходка[Наименование расходного материала],MATCH(Расходка[[#This Row],[№]],Поиск_расходки[Индекс9],0)),"")</f>
        <v>Fielder XT-A</v>
      </c>
      <c r="AA25" s="115" t="str">
        <f>IFERROR(INDEX(Расходка[Наименование расходного материала],MATCH(Расходка[[#This Row],[№]],Поиск_расходки[Индекс10],0)),"")</f>
        <v>Fielder XT-A</v>
      </c>
      <c r="AB25" s="115" t="str">
        <f>IFERROR(INDEX(Расходка[Наименование расходного материала],MATCH(Расходка[[#This Row],[№]],Поиск_расходки[Индекс11],0)),"")</f>
        <v>Fielder XT-A</v>
      </c>
      <c r="AC25" s="115" t="str">
        <f>IFERROR(INDEX(Расходка[Наименование расходного материала],MATCH(Расходка[[#This Row],[№]],Поиск_расходки[Индекс12],0)),"")</f>
        <v>Fielder XT-A</v>
      </c>
      <c r="AD25" s="115" t="str">
        <f>IFERROR(INDEX(Расходка[Наименование расходного материала],MATCH(Расходка[[#This Row],[№]],Поиск_расходки[Индекс13],0)),"")</f>
        <v>Fielder XT-A</v>
      </c>
      <c r="AF25" s="4" t="s">
        <v>5</v>
      </c>
      <c r="AG25" s="4" t="s">
        <v>429</v>
      </c>
    </row>
    <row r="26" spans="1:35" x14ac:dyDescent="0.25">
      <c r="A26">
        <v>25</v>
      </c>
      <c r="B26" t="s">
        <v>3</v>
      </c>
      <c r="C26" t="s">
        <v>378</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0</v>
      </c>
      <c r="G26" s="116">
        <f>IF(ISNUMBER(SEARCH('Карта учёта'!$B$15,Расходка[[#This Row],[Наименование расходного материала]])),MAX($G$1:G25)+1,0)</f>
        <v>3</v>
      </c>
      <c r="H26" s="116">
        <f>IF(ISNUMBER(SEARCH('Карта учёта'!$B$16,Расходка[[#This Row],[Наименование расходного материала]])),MAX($H$1:H25)+1,0)</f>
        <v>0</v>
      </c>
      <c r="I26" s="116">
        <f>IF(ISNUMBER(SEARCH('Карта учёта'!$B$17,Расходка[[#This Row],[Наименование расходного материала]])),MAX($I$1:I25)+1,0)</f>
        <v>0</v>
      </c>
      <c r="J26" s="116">
        <f>IF(ISNUMBER(SEARCH('Карта учёта'!$B$18,Расходка[[#This Row],[Наименование расходного материала]])),MAX($J$1:J25)+1,0)</f>
        <v>0</v>
      </c>
      <c r="K26" s="116">
        <f>IF(ISNUMBER(SEARCH('Карта учёта'!$B$19,Расходка[[#This Row],[Наименование расходного материала]])),MAX($K$1:K25)+1,0)</f>
        <v>0</v>
      </c>
      <c r="L26" s="116">
        <f>IF(ISNUMBER(SEARCH('Карта учёта'!$B$20,Расходка[[#This Row],[Наименование расходного материала]])),MAX($L$1:L25)+1,0)</f>
        <v>0</v>
      </c>
      <c r="M26" s="116">
        <f>IF(ISNUMBER(SEARCH('Карта учёта'!$B$21,Расходка[[#This Row],[Наименование расходного материала]])),MAX($M$1:M25)+1,0)</f>
        <v>25</v>
      </c>
      <c r="N26" s="116">
        <f>IF(ISNUMBER(SEARCH('Карта учёта'!$B$22,Расходка[[#This Row],[Наименование расходного материала]])),MAX($N$1:N25)+1,0)</f>
        <v>25</v>
      </c>
      <c r="O26" s="116">
        <f>IF(ISNUMBER(SEARCH('Карта учёта'!$B$23,Расходка[[#This Row],[Наименование расходного материала]])),MAX($O$1:O25)+1,0)</f>
        <v>25</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
      </c>
      <c r="T26" s="115" t="str">
        <f>IFERROR(INDEX(Расходка[Наименование расходного материала],MATCH(Расходка[[#This Row],[№]],Поиск_расходки[Индекс3],0)),"")</f>
        <v/>
      </c>
      <c r="U26" s="115" t="str">
        <f>IFERROR(INDEX(Расходка[Наименование расходного материала],MATCH(Расходка[[#This Row],[№]],Поиск_расходки[Индекс4],0)),"")</f>
        <v/>
      </c>
      <c r="V26" s="115" t="str">
        <f>IFERROR(INDEX(Расходка[Наименование расходного материала],MATCH(Расходка[[#This Row],[№]],Поиск_расходки[Индекс5],0)),"")</f>
        <v/>
      </c>
      <c r="W26" s="115" t="str">
        <f>IFERROR(INDEX(Расходка[Наименование расходного материала],MATCH(Расходка[[#This Row],[№]],Поиск_расходки[Индекс6],0)),"")</f>
        <v/>
      </c>
      <c r="X26" s="115" t="str">
        <f>IFERROR(INDEX(Расходка[Наименование расходного материала],MATCH(Расходка[[#This Row],[№]],Поиск_расходки[Индекс7],0)),"")</f>
        <v/>
      </c>
      <c r="Y26" s="115" t="str">
        <f>IFERROR(INDEX(Расходка[Наименование расходного материала],MATCH(Расходка[[#This Row],[№]],Поиск_расходки[Индекс8],0)),"")</f>
        <v/>
      </c>
      <c r="Z26" s="115" t="str">
        <f>IFERROR(INDEX(Расходка[Наименование расходного материала],MATCH(Расходка[[#This Row],[№]],Поиск_расходки[Индекс9],0)),"")</f>
        <v>Fielder XT-R</v>
      </c>
      <c r="AA26" s="115" t="str">
        <f>IFERROR(INDEX(Расходка[Наименование расходного материала],MATCH(Расходка[[#This Row],[№]],Поиск_расходки[Индекс10],0)),"")</f>
        <v>Fielder XT-R</v>
      </c>
      <c r="AB26" s="115" t="str">
        <f>IFERROR(INDEX(Расходка[Наименование расходного материала],MATCH(Расходка[[#This Row],[№]],Поиск_расходки[Индекс11],0)),"")</f>
        <v>Fielder XT-R</v>
      </c>
      <c r="AC26" s="115" t="str">
        <f>IFERROR(INDEX(Расходка[Наименование расходного материала],MATCH(Расходка[[#This Row],[№]],Поиск_расходки[Индекс12],0)),"")</f>
        <v>Fielder XT-R</v>
      </c>
      <c r="AD26" s="115" t="str">
        <f>IFERROR(INDEX(Расходка[Наименование расходного материала],MATCH(Расходка[[#This Row],[№]],Поиск_расходки[Индекс13],0)),"")</f>
        <v>Fielder XT-R</v>
      </c>
      <c r="AF26" s="4" t="s">
        <v>5</v>
      </c>
      <c r="AG26" s="4" t="s">
        <v>430</v>
      </c>
    </row>
    <row r="27" spans="1:35" x14ac:dyDescent="0.25">
      <c r="A27">
        <v>26</v>
      </c>
      <c r="B27" t="s">
        <v>3</v>
      </c>
      <c r="C27" s="1" t="s">
        <v>360</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0</v>
      </c>
      <c r="G27" s="116">
        <f>IF(ISNUMBER(SEARCH('Карта учёта'!$B$15,Расходка[[#This Row],[Наименование расходного материала]])),MAX($G$1:G26)+1,0)</f>
        <v>0</v>
      </c>
      <c r="H27" s="116">
        <f>IF(ISNUMBER(SEARCH('Карта учёта'!$B$16,Расходка[[#This Row],[Наименование расходного материала]])),MAX($H$1:H26)+1,0)</f>
        <v>0</v>
      </c>
      <c r="I27" s="116">
        <f>IF(ISNUMBER(SEARCH('Карта учёта'!$B$17,Расходка[[#This Row],[Наименование расходного материала]])),MAX($I$1:I26)+1,0)</f>
        <v>0</v>
      </c>
      <c r="J27" s="116">
        <f>IF(ISNUMBER(SEARCH('Карта учёта'!$B$18,Расходка[[#This Row],[Наименование расходного материала]])),MAX($J$1:J26)+1,0)</f>
        <v>0</v>
      </c>
      <c r="K27" s="116">
        <f>IF(ISNUMBER(SEARCH('Карта учёта'!$B$19,Расходка[[#This Row],[Наименование расходного материала]])),MAX($K$1:K26)+1,0)</f>
        <v>0</v>
      </c>
      <c r="L27" s="116">
        <f>IF(ISNUMBER(SEARCH('Карта учёта'!$B$20,Расходка[[#This Row],[Наименование расходного материала]])),MAX($L$1:L26)+1,0)</f>
        <v>0</v>
      </c>
      <c r="M27" s="116">
        <f>IF(ISNUMBER(SEARCH('Карта учёта'!$B$21,Расходка[[#This Row],[Наименование расходного материала]])),MAX($M$1:M26)+1,0)</f>
        <v>26</v>
      </c>
      <c r="N27" s="116">
        <f>IF(ISNUMBER(SEARCH('Карта учёта'!$B$22,Расходка[[#This Row],[Наименование расходного материала]])),MAX($N$1:N26)+1,0)</f>
        <v>26</v>
      </c>
      <c r="O27" s="116">
        <f>IF(ISNUMBER(SEARCH('Карта учёта'!$B$23,Расходка[[#This Row],[Наименование расходного материала]])),MAX($O$1:O26)+1,0)</f>
        <v>26</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
      </c>
      <c r="T27" s="115" t="str">
        <f>IFERROR(INDEX(Расходка[Наименование расходного материала],MATCH(Расходка[[#This Row],[№]],Поиск_расходки[Индекс3],0)),"")</f>
        <v/>
      </c>
      <c r="U27" s="115" t="str">
        <f>IFERROR(INDEX(Расходка[Наименование расходного материала],MATCH(Расходка[[#This Row],[№]],Поиск_расходки[Индекс4],0)),"")</f>
        <v/>
      </c>
      <c r="V27" s="115" t="str">
        <f>IFERROR(INDEX(Расходка[Наименование расходного материала],MATCH(Расходка[[#This Row],[№]],Поиск_расходки[Индекс5],0)),"")</f>
        <v/>
      </c>
      <c r="W27" s="115" t="str">
        <f>IFERROR(INDEX(Расходка[Наименование расходного материала],MATCH(Расходка[[#This Row],[№]],Поиск_расходки[Индекс6],0)),"")</f>
        <v/>
      </c>
      <c r="X27" s="115" t="str">
        <f>IFERROR(INDEX(Расходка[Наименование расходного материала],MATCH(Расходка[[#This Row],[№]],Поиск_расходки[Индекс7],0)),"")</f>
        <v/>
      </c>
      <c r="Y27" s="115" t="str">
        <f>IFERROR(INDEX(Расходка[Наименование расходного материала],MATCH(Расходка[[#This Row],[№]],Поиск_расходки[Индекс8],0)),"")</f>
        <v/>
      </c>
      <c r="Z27" s="115" t="str">
        <f>IFERROR(INDEX(Расходка[Наименование расходного материала],MATCH(Расходка[[#This Row],[№]],Поиск_расходки[Индекс9],0)),"")</f>
        <v>Gaia Second</v>
      </c>
      <c r="AA27" s="115" t="str">
        <f>IFERROR(INDEX(Расходка[Наименование расходного материала],MATCH(Расходка[[#This Row],[№]],Поиск_расходки[Индекс10],0)),"")</f>
        <v>Gaia Second</v>
      </c>
      <c r="AB27" s="115" t="str">
        <f>IFERROR(INDEX(Расходка[Наименование расходного материала],MATCH(Расходка[[#This Row],[№]],Поиск_расходки[Индекс11],0)),"")</f>
        <v>Gaia Second</v>
      </c>
      <c r="AC27" s="115" t="str">
        <f>IFERROR(INDEX(Расходка[Наименование расходного материала],MATCH(Расходка[[#This Row],[№]],Поиск_расходки[Индекс12],0)),"")</f>
        <v>Gaia Second</v>
      </c>
      <c r="AD27" s="115" t="str">
        <f>IFERROR(INDEX(Расходка[Наименование расходного материала],MATCH(Расходка[[#This Row],[№]],Поиск_расходки[Индекс13],0)),"")</f>
        <v>Gaia Second</v>
      </c>
      <c r="AF27" s="4" t="s">
        <v>5</v>
      </c>
      <c r="AG27" s="4" t="s">
        <v>431</v>
      </c>
    </row>
    <row r="28" spans="1:35" x14ac:dyDescent="0.25">
      <c r="A28">
        <v>27</v>
      </c>
      <c r="B28" t="s">
        <v>3</v>
      </c>
      <c r="C28" s="1" t="s">
        <v>373</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0</v>
      </c>
      <c r="G28" s="116">
        <f>IF(ISNUMBER(SEARCH('Карта учёта'!$B$15,Расходка[[#This Row],[Наименование расходного материала]])),MAX($G$1:G27)+1,0)</f>
        <v>0</v>
      </c>
      <c r="H28" s="116">
        <f>IF(ISNUMBER(SEARCH('Карта учёта'!$B$16,Расходка[[#This Row],[Наименование расходного материала]])),MAX($H$1:H27)+1,0)</f>
        <v>0</v>
      </c>
      <c r="I28" s="116">
        <f>IF(ISNUMBER(SEARCH('Карта учёта'!$B$17,Расходка[[#This Row],[Наименование расходного материала]])),MAX($I$1:I27)+1,0)</f>
        <v>0</v>
      </c>
      <c r="J28" s="116">
        <f>IF(ISNUMBER(SEARCH('Карта учёта'!$B$18,Расходка[[#This Row],[Наименование расходного материала]])),MAX($J$1:J27)+1,0)</f>
        <v>0</v>
      </c>
      <c r="K28" s="116">
        <f>IF(ISNUMBER(SEARCH('Карта учёта'!$B$19,Расходка[[#This Row],[Наименование расходного материала]])),MAX($K$1:K27)+1,0)</f>
        <v>0</v>
      </c>
      <c r="L28" s="116">
        <f>IF(ISNUMBER(SEARCH('Карта учёта'!$B$20,Расходка[[#This Row],[Наименование расходного материала]])),MAX($L$1:L27)+1,0)</f>
        <v>0</v>
      </c>
      <c r="M28" s="116">
        <f>IF(ISNUMBER(SEARCH('Карта учёта'!$B$21,Расходка[[#This Row],[Наименование расходного материала]])),MAX($M$1:M27)+1,0)</f>
        <v>27</v>
      </c>
      <c r="N28" s="116">
        <f>IF(ISNUMBER(SEARCH('Карта учёта'!$B$22,Расходка[[#This Row],[Наименование расходного материала]])),MAX($N$1:N27)+1,0)</f>
        <v>27</v>
      </c>
      <c r="O28" s="116">
        <f>IF(ISNUMBER(SEARCH('Карта учёта'!$B$23,Расходка[[#This Row],[Наименование расходного материала]])),MAX($O$1:O27)+1,0)</f>
        <v>27</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
      </c>
      <c r="T28" s="115" t="str">
        <f>IFERROR(INDEX(Расходка[Наименование расходного материала],MATCH(Расходка[[#This Row],[№]],Поиск_расходки[Индекс3],0)),"")</f>
        <v/>
      </c>
      <c r="U28" s="115" t="str">
        <f>IFERROR(INDEX(Расходка[Наименование расходного материала],MATCH(Расходка[[#This Row],[№]],Поиск_расходки[Индекс4],0)),"")</f>
        <v/>
      </c>
      <c r="V28" s="115" t="str">
        <f>IFERROR(INDEX(Расходка[Наименование расходного материала],MATCH(Расходка[[#This Row],[№]],Поиск_расходки[Индекс5],0)),"")</f>
        <v/>
      </c>
      <c r="W28" s="115" t="str">
        <f>IFERROR(INDEX(Расходка[Наименование расходного материала],MATCH(Расходка[[#This Row],[№]],Поиск_расходки[Индекс6],0)),"")</f>
        <v/>
      </c>
      <c r="X28" s="115" t="str">
        <f>IFERROR(INDEX(Расходка[Наименование расходного материала],MATCH(Расходка[[#This Row],[№]],Поиск_расходки[Индекс7],0)),"")</f>
        <v/>
      </c>
      <c r="Y28" s="115" t="str">
        <f>IFERROR(INDEX(Расходка[Наименование расходного материала],MATCH(Расходка[[#This Row],[№]],Поиск_расходки[Индекс8],0)),"")</f>
        <v/>
      </c>
      <c r="Z28" s="115" t="str">
        <f>IFERROR(INDEX(Расходка[Наименование расходного материала],MATCH(Расходка[[#This Row],[№]],Поиск_расходки[Индекс9],0)),"")</f>
        <v>Gaia Third</v>
      </c>
      <c r="AA28" s="115" t="str">
        <f>IFERROR(INDEX(Расходка[Наименование расходного материала],MATCH(Расходка[[#This Row],[№]],Поиск_расходки[Индекс10],0)),"")</f>
        <v>Gaia Third</v>
      </c>
      <c r="AB28" s="115" t="str">
        <f>IFERROR(INDEX(Расходка[Наименование расходного материала],MATCH(Расходка[[#This Row],[№]],Поиск_расходки[Индекс11],0)),"")</f>
        <v>Gaia Third</v>
      </c>
      <c r="AC28" s="115" t="str">
        <f>IFERROR(INDEX(Расходка[Наименование расходного материала],MATCH(Расходка[[#This Row],[№]],Поиск_расходки[Индекс12],0)),"")</f>
        <v>Gaia Third</v>
      </c>
      <c r="AD28" s="115" t="str">
        <f>IFERROR(INDEX(Расходка[Наименование расходного материала],MATCH(Расходка[[#This Row],[№]],Поиск_расходки[Индекс13],0)),"")</f>
        <v>Gaia Third</v>
      </c>
      <c r="AF28" s="4" t="s">
        <v>5</v>
      </c>
      <c r="AG28" s="4" t="s">
        <v>432</v>
      </c>
    </row>
    <row r="29" spans="1:35" x14ac:dyDescent="0.25">
      <c r="A29">
        <v>28</v>
      </c>
      <c r="B29" t="s">
        <v>3</v>
      </c>
      <c r="C29" s="1" t="s">
        <v>323</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0</v>
      </c>
      <c r="G29" s="116">
        <f>IF(ISNUMBER(SEARCH('Карта учёта'!$B$15,Расходка[[#This Row],[Наименование расходного материала]])),MAX($G$1:G28)+1,0)</f>
        <v>0</v>
      </c>
      <c r="H29" s="116">
        <f>IF(ISNUMBER(SEARCH('Карта учёта'!$B$16,Расходка[[#This Row],[Наименование расходного материала]])),MAX($H$1:H28)+1,0)</f>
        <v>0</v>
      </c>
      <c r="I29" s="116">
        <f>IF(ISNUMBER(SEARCH('Карта учёта'!$B$17,Расходка[[#This Row],[Наименование расходного материала]])),MAX($I$1:I28)+1,0)</f>
        <v>0</v>
      </c>
      <c r="J29" s="116">
        <f>IF(ISNUMBER(SEARCH('Карта учёта'!$B$18,Расходка[[#This Row],[Наименование расходного материала]])),MAX($J$1:J28)+1,0)</f>
        <v>0</v>
      </c>
      <c r="K29" s="116">
        <f>IF(ISNUMBER(SEARCH('Карта учёта'!$B$19,Расходка[[#This Row],[Наименование расходного материала]])),MAX($K$1:K28)+1,0)</f>
        <v>0</v>
      </c>
      <c r="L29" s="116">
        <f>IF(ISNUMBER(SEARCH('Карта учёта'!$B$20,Расходка[[#This Row],[Наименование расходного материала]])),MAX($L$1:L28)+1,0)</f>
        <v>0</v>
      </c>
      <c r="M29" s="116">
        <f>IF(ISNUMBER(SEARCH('Карта учёта'!$B$21,Расходка[[#This Row],[Наименование расходного материала]])),MAX($M$1:M28)+1,0)</f>
        <v>28</v>
      </c>
      <c r="N29" s="116">
        <f>IF(ISNUMBER(SEARCH('Карта учёта'!$B$22,Расходка[[#This Row],[Наименование расходного материала]])),MAX($N$1:N28)+1,0)</f>
        <v>28</v>
      </c>
      <c r="O29" s="116">
        <f>IF(ISNUMBER(SEARCH('Карта учёта'!$B$23,Расходка[[#This Row],[Наименование расходного материала]])),MAX($O$1:O28)+1,0)</f>
        <v>28</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
      </c>
      <c r="T29" s="115" t="str">
        <f>IFERROR(INDEX(Расходка[Наименование расходного материала],MATCH(Расходка[[#This Row],[№]],Поиск_расходки[Индекс3],0)),"")</f>
        <v/>
      </c>
      <c r="U29" s="115" t="str">
        <f>IFERROR(INDEX(Расходка[Наименование расходного материала],MATCH(Расходка[[#This Row],[№]],Поиск_расходки[Индекс4],0)),"")</f>
        <v/>
      </c>
      <c r="V29" s="115" t="str">
        <f>IFERROR(INDEX(Расходка[Наименование расходного материала],MATCH(Расходка[[#This Row],[№]],Поиск_расходки[Индекс5],0)),"")</f>
        <v/>
      </c>
      <c r="W29" s="115" t="str">
        <f>IFERROR(INDEX(Расходка[Наименование расходного материала],MATCH(Расходка[[#This Row],[№]],Поиск_расходки[Индекс6],0)),"")</f>
        <v/>
      </c>
      <c r="X29" s="115" t="str">
        <f>IFERROR(INDEX(Расходка[Наименование расходного материала],MATCH(Расходка[[#This Row],[№]],Поиск_расходки[Индекс7],0)),"")</f>
        <v/>
      </c>
      <c r="Y29" s="115" t="str">
        <f>IFERROR(INDEX(Расходка[Наименование расходного материала],MATCH(Расходка[[#This Row],[№]],Поиск_расходки[Индекс8],0)),"")</f>
        <v/>
      </c>
      <c r="Z29" s="115" t="str">
        <f>IFERROR(INDEX(Расходка[Наименование расходного материала],MATCH(Расходка[[#This Row],[№]],Поиск_расходки[Индекс9],0)),"")</f>
        <v>Intuition</v>
      </c>
      <c r="AA29" s="115" t="str">
        <f>IFERROR(INDEX(Расходка[Наименование расходного материала],MATCH(Расходка[[#This Row],[№]],Поиск_расходки[Индекс10],0)),"")</f>
        <v>Intuition</v>
      </c>
      <c r="AB29" s="115" t="str">
        <f>IFERROR(INDEX(Расходка[Наименование расходного материала],MATCH(Расходка[[#This Row],[№]],Поиск_расходки[Индекс11],0)),"")</f>
        <v>Intuition</v>
      </c>
      <c r="AC29" s="115" t="str">
        <f>IFERROR(INDEX(Расходка[Наименование расходного материала],MATCH(Расходка[[#This Row],[№]],Поиск_расходки[Индекс12],0)),"")</f>
        <v>Intuition</v>
      </c>
      <c r="AD29" s="115" t="str">
        <f>IFERROR(INDEX(Расходка[Наименование расходного материала],MATCH(Расходка[[#This Row],[№]],Поиск_расходки[Индекс13],0)),"")</f>
        <v>Intuition</v>
      </c>
      <c r="AF29" s="4" t="s">
        <v>5</v>
      </c>
      <c r="AG29" s="4" t="s">
        <v>433</v>
      </c>
    </row>
    <row r="30" spans="1:35" x14ac:dyDescent="0.25">
      <c r="A30">
        <v>29</v>
      </c>
      <c r="B30" t="s">
        <v>3</v>
      </c>
      <c r="C30" t="s">
        <v>319</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0</v>
      </c>
      <c r="G30" s="116">
        <f>IF(ISNUMBER(SEARCH('Карта учёта'!$B$15,Расходка[[#This Row],[Наименование расходного материала]])),MAX($G$1:G29)+1,0)</f>
        <v>0</v>
      </c>
      <c r="H30" s="116">
        <f>IF(ISNUMBER(SEARCH('Карта учёта'!$B$16,Расходка[[#This Row],[Наименование расходного материала]])),MAX($H$1:H29)+1,0)</f>
        <v>0</v>
      </c>
      <c r="I30" s="116">
        <f>IF(ISNUMBER(SEARCH('Карта учёта'!$B$17,Расходка[[#This Row],[Наименование расходного материала]])),MAX($I$1:I29)+1,0)</f>
        <v>0</v>
      </c>
      <c r="J30" s="116">
        <f>IF(ISNUMBER(SEARCH('Карта учёта'!$B$18,Расходка[[#This Row],[Наименование расходного материала]])),MAX($J$1:J29)+1,0)</f>
        <v>0</v>
      </c>
      <c r="K30" s="116">
        <f>IF(ISNUMBER(SEARCH('Карта учёта'!$B$19,Расходка[[#This Row],[Наименование расходного материала]])),MAX($K$1:K29)+1,0)</f>
        <v>0</v>
      </c>
      <c r="L30" s="116">
        <f>IF(ISNUMBER(SEARCH('Карта учёта'!$B$20,Расходка[[#This Row],[Наименование расходного материала]])),MAX($L$1:L29)+1,0)</f>
        <v>0</v>
      </c>
      <c r="M30" s="116">
        <f>IF(ISNUMBER(SEARCH('Карта учёта'!$B$21,Расходка[[#This Row],[Наименование расходного материала]])),MAX($M$1:M29)+1,0)</f>
        <v>29</v>
      </c>
      <c r="N30" s="116">
        <f>IF(ISNUMBER(SEARCH('Карта учёта'!$B$22,Расходка[[#This Row],[Наименование расходного материала]])),MAX($N$1:N29)+1,0)</f>
        <v>29</v>
      </c>
      <c r="O30" s="116">
        <f>IF(ISNUMBER(SEARCH('Карта учёта'!$B$23,Расходка[[#This Row],[Наименование расходного материала]])),MAX($O$1:O29)+1,0)</f>
        <v>29</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
      </c>
      <c r="T30" s="115" t="str">
        <f>IFERROR(INDEX(Расходка[Наименование расходного материала],MATCH(Расходка[[#This Row],[№]],Поиск_расходки[Индекс3],0)),"")</f>
        <v/>
      </c>
      <c r="U30" s="115" t="str">
        <f>IFERROR(INDEX(Расходка[Наименование расходного материала],MATCH(Расходка[[#This Row],[№]],Поиск_расходки[Индекс4],0)),"")</f>
        <v/>
      </c>
      <c r="V30" s="115" t="str">
        <f>IFERROR(INDEX(Расходка[Наименование расходного материала],MATCH(Расходка[[#This Row],[№]],Поиск_расходки[Индекс5],0)),"")</f>
        <v/>
      </c>
      <c r="W30" s="115" t="str">
        <f>IFERROR(INDEX(Расходка[Наименование расходного материала],MATCH(Расходка[[#This Row],[№]],Поиск_расходки[Индекс6],0)),"")</f>
        <v/>
      </c>
      <c r="X30" s="115" t="str">
        <f>IFERROR(INDEX(Расходка[Наименование расходного материала],MATCH(Расходка[[#This Row],[№]],Поиск_расходки[Индекс7],0)),"")</f>
        <v/>
      </c>
      <c r="Y30" s="115" t="str">
        <f>IFERROR(INDEX(Расходка[Наименование расходного материала],MATCH(Расходка[[#This Row],[№]],Поиск_расходки[Индекс8],0)),"")</f>
        <v/>
      </c>
      <c r="Z30" s="115" t="str">
        <f>IFERROR(INDEX(Расходка[Наименование расходного материала],MATCH(Расходка[[#This Row],[№]],Поиск_расходки[Индекс9],0)),"")</f>
        <v>ProVia 3 Hydro-Track®</v>
      </c>
      <c r="AA30" s="115" t="str">
        <f>IFERROR(INDEX(Расходка[Наименование расходного материала],MATCH(Расходка[[#This Row],[№]],Поиск_расходки[Индекс10],0)),"")</f>
        <v>ProVia 3 Hydro-Track®</v>
      </c>
      <c r="AB30" s="115" t="str">
        <f>IFERROR(INDEX(Расходка[Наименование расходного материала],MATCH(Расходка[[#This Row],[№]],Поиск_расходки[Индекс11],0)),"")</f>
        <v>ProVia 3 Hydro-Track®</v>
      </c>
      <c r="AC30" s="115" t="str">
        <f>IFERROR(INDEX(Расходка[Наименование расходного материала],MATCH(Расходка[[#This Row],[№]],Поиск_расходки[Индекс12],0)),"")</f>
        <v>ProVia 3 Hydro-Track®</v>
      </c>
      <c r="AD30" s="115" t="str">
        <f>IFERROR(INDEX(Расходка[Наименование расходного материала],MATCH(Расходка[[#This Row],[№]],Поиск_расходки[Индекс13],0)),"")</f>
        <v>ProVia 3 Hydro-Track®</v>
      </c>
      <c r="AF30" s="4" t="s">
        <v>5</v>
      </c>
      <c r="AG30" s="4" t="s">
        <v>495</v>
      </c>
    </row>
    <row r="31" spans="1:35" x14ac:dyDescent="0.25">
      <c r="A31">
        <v>30</v>
      </c>
      <c r="B31" t="s">
        <v>3</v>
      </c>
      <c r="C31" t="s">
        <v>320</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0</v>
      </c>
      <c r="G31" s="116">
        <f>IF(ISNUMBER(SEARCH('Карта учёта'!$B$15,Расходка[[#This Row],[Наименование расходного материала]])),MAX($G$1:G30)+1,0)</f>
        <v>0</v>
      </c>
      <c r="H31" s="116">
        <f>IF(ISNUMBER(SEARCH('Карта учёта'!$B$16,Расходка[[#This Row],[Наименование расходного материала]])),MAX($H$1:H30)+1,0)</f>
        <v>0</v>
      </c>
      <c r="I31" s="116">
        <f>IF(ISNUMBER(SEARCH('Карта учёта'!$B$17,Расходка[[#This Row],[Наименование расходного материала]])),MAX($I$1:I30)+1,0)</f>
        <v>0</v>
      </c>
      <c r="J31" s="116">
        <f>IF(ISNUMBER(SEARCH('Карта учёта'!$B$18,Расходка[[#This Row],[Наименование расходного материала]])),MAX($J$1:J30)+1,0)</f>
        <v>0</v>
      </c>
      <c r="K31" s="116">
        <f>IF(ISNUMBER(SEARCH('Карта учёта'!$B$19,Расходка[[#This Row],[Наименование расходного материала]])),MAX($K$1:K30)+1,0)</f>
        <v>0</v>
      </c>
      <c r="L31" s="116">
        <f>IF(ISNUMBER(SEARCH('Карта учёта'!$B$20,Расходка[[#This Row],[Наименование расходного материала]])),MAX($L$1:L30)+1,0)</f>
        <v>0</v>
      </c>
      <c r="M31" s="116">
        <f>IF(ISNUMBER(SEARCH('Карта учёта'!$B$21,Расходка[[#This Row],[Наименование расходного материала]])),MAX($M$1:M30)+1,0)</f>
        <v>30</v>
      </c>
      <c r="N31" s="116">
        <f>IF(ISNUMBER(SEARCH('Карта учёта'!$B$22,Расходка[[#This Row],[Наименование расходного материала]])),MAX($N$1:N30)+1,0)</f>
        <v>30</v>
      </c>
      <c r="O31" s="116">
        <f>IF(ISNUMBER(SEARCH('Карта учёта'!$B$23,Расходка[[#This Row],[Наименование расходного материала]])),MAX($O$1:O30)+1,0)</f>
        <v>30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
      </c>
      <c r="T31" s="115" t="str">
        <f>IFERROR(INDEX(Расходка[Наименование расходного материала],MATCH(Расходка[[#This Row],[№]],Поиск_расходки[Индекс3],0)),"")</f>
        <v/>
      </c>
      <c r="U31" s="115" t="str">
        <f>IFERROR(INDEX(Расходка[Наименование расходного материала],MATCH(Расходка[[#This Row],[№]],Поиск_расходки[Индекс4],0)),"")</f>
        <v/>
      </c>
      <c r="V31" s="115" t="str">
        <f>IFERROR(INDEX(Расходка[Наименование расходного материала],MATCH(Расходка[[#This Row],[№]],Поиск_расходки[Индекс5],0)),"")</f>
        <v/>
      </c>
      <c r="W31" s="115" t="str">
        <f>IFERROR(INDEX(Расходка[Наименование расходного материала],MATCH(Расходка[[#This Row],[№]],Поиск_расходки[Индекс6],0)),"")</f>
        <v/>
      </c>
      <c r="X31" s="115" t="str">
        <f>IFERROR(INDEX(Расходка[Наименование расходного материала],MATCH(Расходка[[#This Row],[№]],Поиск_расходки[Индекс7],0)),"")</f>
        <v/>
      </c>
      <c r="Y31" s="115" t="str">
        <f>IFERROR(INDEX(Расходка[Наименование расходного материала],MATCH(Расходка[[#This Row],[№]],Поиск_расходки[Индекс8],0)),"")</f>
        <v/>
      </c>
      <c r="Z31" s="115" t="str">
        <f>IFERROR(INDEX(Расходка[Наименование расходного материала],MATCH(Расходка[[#This Row],[№]],Поиск_расходки[Индекс9],0)),"")</f>
        <v>ProVia 6 Hydro-Track®</v>
      </c>
      <c r="AA31" s="115" t="str">
        <f>IFERROR(INDEX(Расходка[Наименование расходного материала],MATCH(Расходка[[#This Row],[№]],Поиск_расходки[Индекс10],0)),"")</f>
        <v>ProVia 6 Hydro-Track®</v>
      </c>
      <c r="AB31" s="115" t="str">
        <f>IFERROR(INDEX(Расходка[Наименование расходного материала],MATCH(Расходка[[#This Row],[№]],Поиск_расходки[Индекс11],0)),"")</f>
        <v>ProVia 6 Hydro-Track®</v>
      </c>
      <c r="AC31" s="115" t="str">
        <f>IFERROR(INDEX(Расходка[Наименование расходного материала],MATCH(Расходка[[#This Row],[№]],Поиск_расходки[Индекс12],0)),"")</f>
        <v>ProVia 6 Hydro-Track®</v>
      </c>
      <c r="AD31" s="115" t="str">
        <f>IFERROR(INDEX(Расходка[Наименование расходного материала],MATCH(Расходка[[#This Row],[№]],Поиск_расходки[Индекс13],0)),"")</f>
        <v>ProVia 6 Hydro-Track®</v>
      </c>
      <c r="AF31" s="4" t="s">
        <v>5</v>
      </c>
      <c r="AG31" s="4" t="s">
        <v>434</v>
      </c>
    </row>
    <row r="32" spans="1:35" x14ac:dyDescent="0.25">
      <c r="A32">
        <v>31</v>
      </c>
      <c r="B32" t="s">
        <v>3</v>
      </c>
      <c r="C32" t="s">
        <v>321</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0</v>
      </c>
      <c r="G32" s="116">
        <f>IF(ISNUMBER(SEARCH('Карта учёта'!$B$15,Расходка[[#This Row],[Наименование расходного материала]])),MAX($G$1:G31)+1,0)</f>
        <v>0</v>
      </c>
      <c r="H32" s="116">
        <f>IF(ISNUMBER(SEARCH('Карта учёта'!$B$16,Расходка[[#This Row],[Наименование расходного материала]])),MAX($H$1:H31)+1,0)</f>
        <v>0</v>
      </c>
      <c r="I32" s="116">
        <f>IF(ISNUMBER(SEARCH('Карта учёта'!$B$17,Расходка[[#This Row],[Наименование расходного материала]])),MAX($I$1:I31)+1,0)</f>
        <v>0</v>
      </c>
      <c r="J32" s="116">
        <f>IF(ISNUMBER(SEARCH('Карта учёта'!$B$18,Расходка[[#This Row],[Наименование расходного материала]])),MAX($J$1:J31)+1,0)</f>
        <v>0</v>
      </c>
      <c r="K32" s="116">
        <f>IF(ISNUMBER(SEARCH('Карта учёта'!$B$19,Расходка[[#This Row],[Наименование расходного материала]])),MAX($K$1:K31)+1,0)</f>
        <v>0</v>
      </c>
      <c r="L32" s="116">
        <f>IF(ISNUMBER(SEARCH('Карта учёта'!$B$20,Расходка[[#This Row],[Наименование расходного материала]])),MAX($L$1:L31)+1,0)</f>
        <v>0</v>
      </c>
      <c r="M32" s="116">
        <f>IF(ISNUMBER(SEARCH('Карта учёта'!$B$21,Расходка[[#This Row],[Наименование расходного материала]])),MAX($M$1:M31)+1,0)</f>
        <v>31</v>
      </c>
      <c r="N32" s="116">
        <f>IF(ISNUMBER(SEARCH('Карта учёта'!$B$22,Расходка[[#This Row],[Наименование расходного материала]])),MAX($N$1:N31)+1,0)</f>
        <v>31</v>
      </c>
      <c r="O32" s="116">
        <f>IF(ISNUMBER(SEARCH('Карта учёта'!$B$23,Расходка[[#This Row],[Наименование расходного материала]])),MAX($O$1:O31)+1,0)</f>
        <v>31</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
      </c>
      <c r="T32" s="115" t="str">
        <f>IFERROR(INDEX(Расходка[Наименование расходного материала],MATCH(Расходка[[#This Row],[№]],Поиск_расходки[Индекс3],0)),"")</f>
        <v/>
      </c>
      <c r="U32" s="115" t="str">
        <f>IFERROR(INDEX(Расходка[Наименование расходного материала],MATCH(Расходка[[#This Row],[№]],Поиск_расходки[Индекс4],0)),"")</f>
        <v/>
      </c>
      <c r="V32" s="115" t="str">
        <f>IFERROR(INDEX(Расходка[Наименование расходного материала],MATCH(Расходка[[#This Row],[№]],Поиск_расходки[Индекс5],0)),"")</f>
        <v/>
      </c>
      <c r="W32" s="115" t="str">
        <f>IFERROR(INDEX(Расходка[Наименование расходного материала],MATCH(Расходка[[#This Row],[№]],Поиск_расходки[Индекс6],0)),"")</f>
        <v/>
      </c>
      <c r="X32" s="115" t="str">
        <f>IFERROR(INDEX(Расходка[Наименование расходного материала],MATCH(Расходка[[#This Row],[№]],Поиск_расходки[Индекс7],0)),"")</f>
        <v/>
      </c>
      <c r="Y32" s="115" t="str">
        <f>IFERROR(INDEX(Расходка[Наименование расходного материала],MATCH(Расходка[[#This Row],[№]],Поиск_расходки[Индекс8],0)),"")</f>
        <v/>
      </c>
      <c r="Z32" s="115" t="str">
        <f>IFERROR(INDEX(Расходка[Наименование расходного материала],MATCH(Расходка[[#This Row],[№]],Поиск_расходки[Индекс9],0)),"")</f>
        <v>ProVia 9 Hydro-Track®</v>
      </c>
      <c r="AA32" s="115" t="str">
        <f>IFERROR(INDEX(Расходка[Наименование расходного материала],MATCH(Расходка[[#This Row],[№]],Поиск_расходки[Индекс10],0)),"")</f>
        <v>ProVia 9 Hydro-Track®</v>
      </c>
      <c r="AB32" s="115" t="str">
        <f>IFERROR(INDEX(Расходка[Наименование расходного материала],MATCH(Расходка[[#This Row],[№]],Поиск_расходки[Индекс11],0)),"")</f>
        <v>ProVia 9 Hydro-Track®</v>
      </c>
      <c r="AC32" s="115" t="str">
        <f>IFERROR(INDEX(Расходка[Наименование расходного материала],MATCH(Расходка[[#This Row],[№]],Поиск_расходки[Индекс12],0)),"")</f>
        <v>ProVia 9 Hydro-Track®</v>
      </c>
      <c r="AD32" s="115" t="str">
        <f>IFERROR(INDEX(Расходка[Наименование расходного материала],MATCH(Расходка[[#This Row],[№]],Поиск_расходки[Индекс13],0)),"")</f>
        <v>ProVia 9 Hydro-Track®</v>
      </c>
      <c r="AF32" s="4" t="s">
        <v>5</v>
      </c>
      <c r="AG32" s="4" t="s">
        <v>435</v>
      </c>
    </row>
    <row r="33" spans="1:33" x14ac:dyDescent="0.25">
      <c r="A33">
        <v>32</v>
      </c>
      <c r="B33" t="s">
        <v>3</v>
      </c>
      <c r="C33" t="s">
        <v>317</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0</v>
      </c>
      <c r="G33" s="116">
        <f>IF(ISNUMBER(SEARCH('Карта учёта'!$B$15,Расходка[[#This Row],[Наименование расходного материала]])),MAX($G$1:G32)+1,0)</f>
        <v>0</v>
      </c>
      <c r="H33" s="116">
        <f>IF(ISNUMBER(SEARCH('Карта учёта'!$B$16,Расходка[[#This Row],[Наименование расходного материала]])),MAX($H$1:H32)+1,0)</f>
        <v>0</v>
      </c>
      <c r="I33" s="116">
        <f>IF(ISNUMBER(SEARCH('Карта учёта'!$B$17,Расходка[[#This Row],[Наименование расходного материала]])),MAX($I$1:I32)+1,0)</f>
        <v>0</v>
      </c>
      <c r="J33" s="116">
        <f>IF(ISNUMBER(SEARCH('Карта учёта'!$B$18,Расходка[[#This Row],[Наименование расходного материала]])),MAX($J$1:J32)+1,0)</f>
        <v>0</v>
      </c>
      <c r="K33" s="116">
        <f>IF(ISNUMBER(SEARCH('Карта учёта'!$B$19,Расходка[[#This Row],[Наименование расходного материала]])),MAX($K$1:K32)+1,0)</f>
        <v>0</v>
      </c>
      <c r="L33" s="116">
        <f>IF(ISNUMBER(SEARCH('Карта учёта'!$B$20,Расходка[[#This Row],[Наименование расходного материала]])),MAX($L$1:L32)+1,0)</f>
        <v>0</v>
      </c>
      <c r="M33" s="116">
        <f>IF(ISNUMBER(SEARCH('Карта учёта'!$B$21,Расходка[[#This Row],[Наименование расходного материала]])),MAX($M$1:M32)+1,0)</f>
        <v>32</v>
      </c>
      <c r="N33" s="116">
        <f>IF(ISNUMBER(SEARCH('Карта учёта'!$B$22,Расходка[[#This Row],[Наименование расходного материала]])),MAX($N$1:N32)+1,0)</f>
        <v>32</v>
      </c>
      <c r="O33" s="116">
        <f>IF(ISNUMBER(SEARCH('Карта учёта'!$B$23,Расходка[[#This Row],[Наименование расходного материала]])),MAX($O$1:O32)+1,0)</f>
        <v>32</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
      </c>
      <c r="T33" s="115" t="str">
        <f>IFERROR(INDEX(Расходка[Наименование расходного материала],MATCH(Расходка[[#This Row],[№]],Поиск_расходки[Индекс3],0)),"")</f>
        <v/>
      </c>
      <c r="U33" s="115" t="str">
        <f>IFERROR(INDEX(Расходка[Наименование расходного материала],MATCH(Расходка[[#This Row],[№]],Поиск_расходки[Индекс4],0)),"")</f>
        <v/>
      </c>
      <c r="V33" s="115" t="str">
        <f>IFERROR(INDEX(Расходка[Наименование расходного материала],MATCH(Расходка[[#This Row],[№]],Поиск_расходки[Индекс5],0)),"")</f>
        <v/>
      </c>
      <c r="W33" s="115" t="str">
        <f>IFERROR(INDEX(Расходка[Наименование расходного материала],MATCH(Расходка[[#This Row],[№]],Поиск_расходки[Индекс6],0)),"")</f>
        <v/>
      </c>
      <c r="X33" s="115" t="str">
        <f>IFERROR(INDEX(Расходка[Наименование расходного материала],MATCH(Расходка[[#This Row],[№]],Поиск_расходки[Индекс7],0)),"")</f>
        <v/>
      </c>
      <c r="Y33" s="115" t="str">
        <f>IFERROR(INDEX(Расходка[Наименование расходного материала],MATCH(Расходка[[#This Row],[№]],Поиск_расходки[Индекс8],0)),"")</f>
        <v/>
      </c>
      <c r="Z33" s="115" t="str">
        <f>IFERROR(INDEX(Расходка[Наименование расходного материала],MATCH(Расходка[[#This Row],[№]],Поиск_расходки[Индекс9],0)),"")</f>
        <v>Rinato</v>
      </c>
      <c r="AA33" s="115" t="str">
        <f>IFERROR(INDEX(Расходка[Наименование расходного материала],MATCH(Расходка[[#This Row],[№]],Поиск_расходки[Индекс10],0)),"")</f>
        <v>Rinato</v>
      </c>
      <c r="AB33" s="115" t="str">
        <f>IFERROR(INDEX(Расходка[Наименование расходного материала],MATCH(Расходка[[#This Row],[№]],Поиск_расходки[Индекс11],0)),"")</f>
        <v>Rinato</v>
      </c>
      <c r="AC33" s="115" t="str">
        <f>IFERROR(INDEX(Расходка[Наименование расходного материала],MATCH(Расходка[[#This Row],[№]],Поиск_расходки[Индекс12],0)),"")</f>
        <v>Rinato</v>
      </c>
      <c r="AD33" s="115" t="str">
        <f>IFERROR(INDEX(Расходка[Наименование расходного материала],MATCH(Расходка[[#This Row],[№]],Поиск_расходки[Индекс13],0)),"")</f>
        <v>Rinato</v>
      </c>
      <c r="AF33" s="4" t="s">
        <v>5</v>
      </c>
      <c r="AG33" s="4" t="s">
        <v>436</v>
      </c>
    </row>
    <row r="34" spans="1:33" x14ac:dyDescent="0.25">
      <c r="A34">
        <v>33</v>
      </c>
      <c r="B34" t="s">
        <v>3</v>
      </c>
      <c r="C34" s="1" t="s">
        <v>354</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0</v>
      </c>
      <c r="G34" s="116">
        <f>IF(ISNUMBER(SEARCH('Карта учёта'!$B$15,Расходка[[#This Row],[Наименование расходного материала]])),MAX($G$1:G33)+1,0)</f>
        <v>0</v>
      </c>
      <c r="H34" s="116">
        <f>IF(ISNUMBER(SEARCH('Карта учёта'!$B$16,Расходка[[#This Row],[Наименование расходного материала]])),MAX($H$1:H33)+1,0)</f>
        <v>0</v>
      </c>
      <c r="I34" s="116">
        <f>IF(ISNUMBER(SEARCH('Карта учёта'!$B$17,Расходка[[#This Row],[Наименование расходного материала]])),MAX($I$1:I33)+1,0)</f>
        <v>0</v>
      </c>
      <c r="J34" s="116">
        <f>IF(ISNUMBER(SEARCH('Карта учёта'!$B$18,Расходка[[#This Row],[Наименование расходного материала]])),MAX($J$1:J33)+1,0)</f>
        <v>0</v>
      </c>
      <c r="K34" s="116">
        <f>IF(ISNUMBER(SEARCH('Карта учёта'!$B$19,Расходка[[#This Row],[Наименование расходного материала]])),MAX($K$1:K33)+1,0)</f>
        <v>0</v>
      </c>
      <c r="L34" s="116">
        <f>IF(ISNUMBER(SEARCH('Карта учёта'!$B$20,Расходка[[#This Row],[Наименование расходного материала]])),MAX($L$1:L33)+1,0)</f>
        <v>0</v>
      </c>
      <c r="M34" s="116">
        <f>IF(ISNUMBER(SEARCH('Карта учёта'!$B$21,Расходка[[#This Row],[Наименование расходного материала]])),MAX($M$1:M33)+1,0)</f>
        <v>33</v>
      </c>
      <c r="N34" s="116">
        <f>IF(ISNUMBER(SEARCH('Карта учёта'!$B$22,Расходка[[#This Row],[Наименование расходного материала]])),MAX($N$1:N33)+1,0)</f>
        <v>33</v>
      </c>
      <c r="O34" s="116">
        <f>IF(ISNUMBER(SEARCH('Карта учёта'!$B$23,Расходка[[#This Row],[Наименование расходного материала]])),MAX($O$1:O33)+1,0)</f>
        <v>33</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
      </c>
      <c r="T34" s="115" t="str">
        <f>IFERROR(INDEX(Расходка[Наименование расходного материала],MATCH(Расходка[[#This Row],[№]],Поиск_расходки[Индекс3],0)),"")</f>
        <v/>
      </c>
      <c r="U34" s="115" t="str">
        <f>IFERROR(INDEX(Расходка[Наименование расходного материала],MATCH(Расходка[[#This Row],[№]],Поиск_расходки[Индекс4],0)),"")</f>
        <v/>
      </c>
      <c r="V34" s="115" t="str">
        <f>IFERROR(INDEX(Расходка[Наименование расходного материала],MATCH(Расходка[[#This Row],[№]],Поиск_расходки[Индекс5],0)),"")</f>
        <v/>
      </c>
      <c r="W34" s="115" t="str">
        <f>IFERROR(INDEX(Расходка[Наименование расходного материала],MATCH(Расходка[[#This Row],[№]],Поиск_расходки[Индекс6],0)),"")</f>
        <v/>
      </c>
      <c r="X34" s="115" t="str">
        <f>IFERROR(INDEX(Расходка[Наименование расходного материала],MATCH(Расходка[[#This Row],[№]],Поиск_расходки[Индекс7],0)),"")</f>
        <v/>
      </c>
      <c r="Y34" s="115" t="str">
        <f>IFERROR(INDEX(Расходка[Наименование расходного материала],MATCH(Расходка[[#This Row],[№]],Поиск_расходки[Индекс8],0)),"")</f>
        <v/>
      </c>
      <c r="Z34" s="115" t="str">
        <f>IFERROR(INDEX(Расходка[Наименование расходного материала],MATCH(Расходка[[#This Row],[№]],Поиск_расходки[Индекс9],0)),"")</f>
        <v>Runthrough NS (Floppy)</v>
      </c>
      <c r="AA34" s="115" t="str">
        <f>IFERROR(INDEX(Расходка[Наименование расходного материала],MATCH(Расходка[[#This Row],[№]],Поиск_расходки[Индекс10],0)),"")</f>
        <v>Runthrough NS (Floppy)</v>
      </c>
      <c r="AB34" s="115" t="str">
        <f>IFERROR(INDEX(Расходка[Наименование расходного материала],MATCH(Расходка[[#This Row],[№]],Поиск_расходки[Индекс11],0)),"")</f>
        <v>Runthrough NS (Floppy)</v>
      </c>
      <c r="AC34" s="115" t="str">
        <f>IFERROR(INDEX(Расходка[Наименование расходного материала],MATCH(Расходка[[#This Row],[№]],Поиск_расходки[Индекс12],0)),"")</f>
        <v>Runthrough NS (Floppy)</v>
      </c>
      <c r="AD34" s="115" t="str">
        <f>IFERROR(INDEX(Расходка[Наименование расходного материала],MATCH(Расходка[[#This Row],[№]],Поиск_расходки[Индекс13],0)),"")</f>
        <v>Runthrough NS (Floppy)</v>
      </c>
      <c r="AF34" s="4" t="s">
        <v>5</v>
      </c>
      <c r="AG34" s="4" t="s">
        <v>437</v>
      </c>
    </row>
    <row r="35" spans="1:33" x14ac:dyDescent="0.25">
      <c r="A35">
        <v>34</v>
      </c>
      <c r="B35" t="s">
        <v>3</v>
      </c>
      <c r="C35" s="1" t="s">
        <v>362</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0</v>
      </c>
      <c r="G35" s="116">
        <f>IF(ISNUMBER(SEARCH('Карта учёта'!$B$15,Расходка[[#This Row],[Наименование расходного материала]])),MAX($G$1:G34)+1,0)</f>
        <v>0</v>
      </c>
      <c r="H35" s="116">
        <f>IF(ISNUMBER(SEARCH('Карта учёта'!$B$16,Расходка[[#This Row],[Наименование расходного материала]])),MAX($H$1:H34)+1,0)</f>
        <v>0</v>
      </c>
      <c r="I35" s="116">
        <f>IF(ISNUMBER(SEARCH('Карта учёта'!$B$17,Расходка[[#This Row],[Наименование расходного материала]])),MAX($I$1:I34)+1,0)</f>
        <v>0</v>
      </c>
      <c r="J35" s="116">
        <f>IF(ISNUMBER(SEARCH('Карта учёта'!$B$18,Расходка[[#This Row],[Наименование расходного материала]])),MAX($J$1:J34)+1,0)</f>
        <v>0</v>
      </c>
      <c r="K35" s="116">
        <f>IF(ISNUMBER(SEARCH('Карта учёта'!$B$19,Расходка[[#This Row],[Наименование расходного материала]])),MAX($K$1:K34)+1,0)</f>
        <v>0</v>
      </c>
      <c r="L35" s="116">
        <f>IF(ISNUMBER(SEARCH('Карта учёта'!$B$20,Расходка[[#This Row],[Наименование расходного материала]])),MAX($L$1:L34)+1,0)</f>
        <v>0</v>
      </c>
      <c r="M35" s="116">
        <f>IF(ISNUMBER(SEARCH('Карта учёта'!$B$21,Расходка[[#This Row],[Наименование расходного материала]])),MAX($M$1:M34)+1,0)</f>
        <v>34</v>
      </c>
      <c r="N35" s="116">
        <f>IF(ISNUMBER(SEARCH('Карта учёта'!$B$22,Расходка[[#This Row],[Наименование расходного материала]])),MAX($N$1:N34)+1,0)</f>
        <v>34</v>
      </c>
      <c r="O35" s="116">
        <f>IF(ISNUMBER(SEARCH('Карта учёта'!$B$23,Расходка[[#This Row],[Наименование расходного материала]])),MAX($O$1:O34)+1,0)</f>
        <v>34</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
      </c>
      <c r="T35" s="115" t="str">
        <f>IFERROR(INDEX(Расходка[Наименование расходного материала],MATCH(Расходка[[#This Row],[№]],Поиск_расходки[Индекс3],0)),"")</f>
        <v/>
      </c>
      <c r="U35" s="115" t="str">
        <f>IFERROR(INDEX(Расходка[Наименование расходного материала],MATCH(Расходка[[#This Row],[№]],Поиск_расходки[Индекс4],0)),"")</f>
        <v/>
      </c>
      <c r="V35" s="115" t="str">
        <f>IFERROR(INDEX(Расходка[Наименование расходного материала],MATCH(Расходка[[#This Row],[№]],Поиск_расходки[Индекс5],0)),"")</f>
        <v/>
      </c>
      <c r="W35" s="115" t="str">
        <f>IFERROR(INDEX(Расходка[Наименование расходного материала],MATCH(Расходка[[#This Row],[№]],Поиск_расходки[Индекс6],0)),"")</f>
        <v/>
      </c>
      <c r="X35" s="115" t="str">
        <f>IFERROR(INDEX(Расходка[Наименование расходного материала],MATCH(Расходка[[#This Row],[№]],Поиск_расходки[Индекс7],0)),"")</f>
        <v/>
      </c>
      <c r="Y35" s="115" t="str">
        <f>IFERROR(INDEX(Расходка[Наименование расходного материала],MATCH(Расходка[[#This Row],[№]],Поиск_расходки[Индекс8],0)),"")</f>
        <v/>
      </c>
      <c r="Z35" s="115" t="str">
        <f>IFERROR(INDEX(Расходка[Наименование расходного материала],MATCH(Расходка[[#This Row],[№]],Поиск_расходки[Индекс9],0)),"")</f>
        <v>Runthrough NS Hypercoat</v>
      </c>
      <c r="AA35" s="115" t="str">
        <f>IFERROR(INDEX(Расходка[Наименование расходного материала],MATCH(Расходка[[#This Row],[№]],Поиск_расходки[Индекс10],0)),"")</f>
        <v>Runthrough NS Hypercoat</v>
      </c>
      <c r="AB35" s="115" t="str">
        <f>IFERROR(INDEX(Расходка[Наименование расходного материала],MATCH(Расходка[[#This Row],[№]],Поиск_расходки[Индекс11],0)),"")</f>
        <v>Runthrough NS Hypercoat</v>
      </c>
      <c r="AC35" s="115" t="str">
        <f>IFERROR(INDEX(Расходка[Наименование расходного материала],MATCH(Расходка[[#This Row],[№]],Поиск_расходки[Индекс12],0)),"")</f>
        <v>Runthrough NS Hypercoat</v>
      </c>
      <c r="AD35" s="115" t="str">
        <f>IFERROR(INDEX(Расходка[Наименование расходного материала],MATCH(Расходка[[#This Row],[№]],Поиск_расходки[Индекс13],0)),"")</f>
        <v>Runthrough NS Hypercoat</v>
      </c>
      <c r="AF35" s="4" t="s">
        <v>5</v>
      </c>
      <c r="AG35" s="4" t="s">
        <v>496</v>
      </c>
    </row>
    <row r="36" spans="1:33" x14ac:dyDescent="0.25">
      <c r="A36">
        <v>35</v>
      </c>
      <c r="B36" t="s">
        <v>3</v>
      </c>
      <c r="C36" s="1" t="s">
        <v>361</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0</v>
      </c>
      <c r="G36" s="116">
        <f>IF(ISNUMBER(SEARCH('Карта учёта'!$B$15,Расходка[[#This Row],[Наименование расходного материала]])),MAX($G$1:G35)+1,0)</f>
        <v>0</v>
      </c>
      <c r="H36" s="116">
        <f>IF(ISNUMBER(SEARCH('Карта учёта'!$B$16,Расходка[[#This Row],[Наименование расходного материала]])),MAX($H$1:H35)+1,0)</f>
        <v>0</v>
      </c>
      <c r="I36" s="116">
        <f>IF(ISNUMBER(SEARCH('Карта учёта'!$B$17,Расходка[[#This Row],[Наименование расходного материала]])),MAX($I$1:I35)+1,0)</f>
        <v>0</v>
      </c>
      <c r="J36" s="116">
        <f>IF(ISNUMBER(SEARCH('Карта учёта'!$B$18,Расходка[[#This Row],[Наименование расходного материала]])),MAX($J$1:J35)+1,0)</f>
        <v>0</v>
      </c>
      <c r="K36" s="116">
        <f>IF(ISNUMBER(SEARCH('Карта учёта'!$B$19,Расходка[[#This Row],[Наименование расходного материала]])),MAX($K$1:K35)+1,0)</f>
        <v>0</v>
      </c>
      <c r="L36" s="116">
        <f>IF(ISNUMBER(SEARCH('Карта учёта'!$B$20,Расходка[[#This Row],[Наименование расходного материала]])),MAX($L$1:L35)+1,0)</f>
        <v>0</v>
      </c>
      <c r="M36" s="116">
        <f>IF(ISNUMBER(SEARCH('Карта учёта'!$B$21,Расходка[[#This Row],[Наименование расходного материала]])),MAX($M$1:M35)+1,0)</f>
        <v>35</v>
      </c>
      <c r="N36" s="116">
        <f>IF(ISNUMBER(SEARCH('Карта учёта'!$B$22,Расходка[[#This Row],[Наименование расходного материала]])),MAX($N$1:N35)+1,0)</f>
        <v>35</v>
      </c>
      <c r="O36" s="116">
        <f>IF(ISNUMBER(SEARCH('Карта учёта'!$B$23,Расходка[[#This Row],[Наименование расходного материала]])),MAX($O$1:O35)+1,0)</f>
        <v>35</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
      </c>
      <c r="T36" s="115" t="str">
        <f>IFERROR(INDEX(Расходка[Наименование расходного материала],MATCH(Расходка[[#This Row],[№]],Поиск_расходки[Индекс3],0)),"")</f>
        <v/>
      </c>
      <c r="U36" s="115" t="str">
        <f>IFERROR(INDEX(Расходка[Наименование расходного материала],MATCH(Расходка[[#This Row],[№]],Поиск_расходки[Индекс4],0)),"")</f>
        <v/>
      </c>
      <c r="V36" s="115" t="str">
        <f>IFERROR(INDEX(Расходка[Наименование расходного материала],MATCH(Расходка[[#This Row],[№]],Поиск_расходки[Индекс5],0)),"")</f>
        <v/>
      </c>
      <c r="W36" s="115" t="str">
        <f>IFERROR(INDEX(Расходка[Наименование расходного материала],MATCH(Расходка[[#This Row],[№]],Поиск_расходки[Индекс6],0)),"")</f>
        <v/>
      </c>
      <c r="X36" s="115" t="str">
        <f>IFERROR(INDEX(Расходка[Наименование расходного материала],MATCH(Расходка[[#This Row],[№]],Поиск_расходки[Индекс7],0)),"")</f>
        <v/>
      </c>
      <c r="Y36" s="115" t="str">
        <f>IFERROR(INDEX(Расходка[Наименование расходного материала],MATCH(Расходка[[#This Row],[№]],Поиск_расходки[Индекс8],0)),"")</f>
        <v/>
      </c>
      <c r="Z36" s="115" t="str">
        <f>IFERROR(INDEX(Расходка[Наименование расходного материала],MATCH(Расходка[[#This Row],[№]],Поиск_расходки[Индекс9],0)),"")</f>
        <v>Runthrough NS Intermediate</v>
      </c>
      <c r="AA36" s="115" t="str">
        <f>IFERROR(INDEX(Расходка[Наименование расходного материала],MATCH(Расходка[[#This Row],[№]],Поиск_расходки[Индекс10],0)),"")</f>
        <v>Runthrough NS Intermediate</v>
      </c>
      <c r="AB36" s="115" t="str">
        <f>IFERROR(INDEX(Расходка[Наименование расходного материала],MATCH(Расходка[[#This Row],[№]],Поиск_расходки[Индекс11],0)),"")</f>
        <v>Runthrough NS Intermediate</v>
      </c>
      <c r="AC36" s="115" t="str">
        <f>IFERROR(INDEX(Расходка[Наименование расходного материала],MATCH(Расходка[[#This Row],[№]],Поиск_расходки[Индекс12],0)),"")</f>
        <v>Runthrough NS Intermediate</v>
      </c>
      <c r="AD36" s="115" t="str">
        <f>IFERROR(INDEX(Расходка[Наименование расходного материала],MATCH(Расходка[[#This Row],[№]],Поиск_расходки[Индекс13],0)),"")</f>
        <v>Runthrough NS Intermediate</v>
      </c>
      <c r="AF36" s="4" t="s">
        <v>5</v>
      </c>
      <c r="AG36" s="4" t="s">
        <v>438</v>
      </c>
    </row>
    <row r="37" spans="1:33" x14ac:dyDescent="0.25">
      <c r="A37">
        <v>36</v>
      </c>
      <c r="B37" t="s">
        <v>3</v>
      </c>
      <c r="C37" t="s">
        <v>316</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0</v>
      </c>
      <c r="G37" s="116">
        <f>IF(ISNUMBER(SEARCH('Карта учёта'!$B$15,Расходка[[#This Row],[Наименование расходного материала]])),MAX($G$1:G36)+1,0)</f>
        <v>0</v>
      </c>
      <c r="H37" s="116">
        <f>IF(ISNUMBER(SEARCH('Карта учёта'!$B$16,Расходка[[#This Row],[Наименование расходного материала]])),MAX($H$1:H36)+1,0)</f>
        <v>0</v>
      </c>
      <c r="I37" s="116">
        <f>IF(ISNUMBER(SEARCH('Карта учёта'!$B$17,Расходка[[#This Row],[Наименование расходного материала]])),MAX($I$1:I36)+1,0)</f>
        <v>0</v>
      </c>
      <c r="J37" s="116">
        <f>IF(ISNUMBER(SEARCH('Карта учёта'!$B$18,Расходка[[#This Row],[Наименование расходного материала]])),MAX($J$1:J36)+1,0)</f>
        <v>0</v>
      </c>
      <c r="K37" s="116">
        <f>IF(ISNUMBER(SEARCH('Карта учёта'!$B$19,Расходка[[#This Row],[Наименование расходного материала]])),MAX($K$1:K36)+1,0)</f>
        <v>0</v>
      </c>
      <c r="L37" s="116">
        <f>IF(ISNUMBER(SEARCH('Карта учёта'!$B$20,Расходка[[#This Row],[Наименование расходного материала]])),MAX($L$1:L36)+1,0)</f>
        <v>0</v>
      </c>
      <c r="M37" s="116">
        <f>IF(ISNUMBER(SEARCH('Карта учёта'!$B$21,Расходка[[#This Row],[Наименование расходного материала]])),MAX($M$1:M36)+1,0)</f>
        <v>36</v>
      </c>
      <c r="N37" s="116">
        <f>IF(ISNUMBER(SEARCH('Карта учёта'!$B$22,Расходка[[#This Row],[Наименование расходного материала]])),MAX($N$1:N36)+1,0)</f>
        <v>36</v>
      </c>
      <c r="O37" s="116">
        <f>IF(ISNUMBER(SEARCH('Карта учёта'!$B$23,Расходка[[#This Row],[Наименование расходного материала]])),MAX($O$1:O36)+1,0)</f>
        <v>36</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
      </c>
      <c r="T37" s="115" t="str">
        <f>IFERROR(INDEX(Расходка[Наименование расходного материала],MATCH(Расходка[[#This Row],[№]],Поиск_расходки[Индекс3],0)),"")</f>
        <v/>
      </c>
      <c r="U37" s="115" t="str">
        <f>IFERROR(INDEX(Расходка[Наименование расходного материала],MATCH(Расходка[[#This Row],[№]],Поиск_расходки[Индекс4],0)),"")</f>
        <v/>
      </c>
      <c r="V37" s="115" t="str">
        <f>IFERROR(INDEX(Расходка[Наименование расходного материала],MATCH(Расходка[[#This Row],[№]],Поиск_расходки[Индекс5],0)),"")</f>
        <v/>
      </c>
      <c r="W37" s="115" t="str">
        <f>IFERROR(INDEX(Расходка[Наименование расходного материала],MATCH(Расходка[[#This Row],[№]],Поиск_расходки[Индекс6],0)),"")</f>
        <v/>
      </c>
      <c r="X37" s="115" t="str">
        <f>IFERROR(INDEX(Расходка[Наименование расходного материала],MATCH(Расходка[[#This Row],[№]],Поиск_расходки[Индекс7],0)),"")</f>
        <v/>
      </c>
      <c r="Y37" s="115" t="str">
        <f>IFERROR(INDEX(Расходка[Наименование расходного материала],MATCH(Расходка[[#This Row],[№]],Поиск_расходки[Индекс8],0)),"")</f>
        <v/>
      </c>
      <c r="Z37" s="115" t="str">
        <f>IFERROR(INDEX(Расходка[Наименование расходного материала],MATCH(Расходка[[#This Row],[№]],Поиск_расходки[Индекс9],0)),"")</f>
        <v>Sion</v>
      </c>
      <c r="AA37" s="115" t="str">
        <f>IFERROR(INDEX(Расходка[Наименование расходного материала],MATCH(Расходка[[#This Row],[№]],Поиск_расходки[Индекс10],0)),"")</f>
        <v>Sion</v>
      </c>
      <c r="AB37" s="115" t="str">
        <f>IFERROR(INDEX(Расходка[Наименование расходного материала],MATCH(Расходка[[#This Row],[№]],Поиск_расходки[Индекс11],0)),"")</f>
        <v>Sion</v>
      </c>
      <c r="AC37" s="115" t="str">
        <f>IFERROR(INDEX(Расходка[Наименование расходного материала],MATCH(Расходка[[#This Row],[№]],Поиск_расходки[Индекс12],0)),"")</f>
        <v>Sion</v>
      </c>
      <c r="AD37" s="115" t="str">
        <f>IFERROR(INDEX(Расходка[Наименование расходного материала],MATCH(Расходка[[#This Row],[№]],Поиск_расходки[Индекс13],0)),"")</f>
        <v>Sion</v>
      </c>
      <c r="AF37" s="4" t="s">
        <v>6</v>
      </c>
      <c r="AG37" s="4" t="s">
        <v>411</v>
      </c>
    </row>
    <row r="38" spans="1:33" x14ac:dyDescent="0.25">
      <c r="A38">
        <v>37</v>
      </c>
      <c r="B38" t="s">
        <v>3</v>
      </c>
      <c r="C38" t="s">
        <v>382</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0</v>
      </c>
      <c r="G38" s="116">
        <f>IF(ISNUMBER(SEARCH('Карта учёта'!$B$15,Расходка[[#This Row],[Наименование расходного материала]])),MAX($G$1:G37)+1,0)</f>
        <v>0</v>
      </c>
      <c r="H38" s="116">
        <f>IF(ISNUMBER(SEARCH('Карта учёта'!$B$16,Расходка[[#This Row],[Наименование расходного материала]])),MAX($H$1:H37)+1,0)</f>
        <v>0</v>
      </c>
      <c r="I38" s="116">
        <f>IF(ISNUMBER(SEARCH('Карта учёта'!$B$17,Расходка[[#This Row],[Наименование расходного материала]])),MAX($I$1:I37)+1,0)</f>
        <v>0</v>
      </c>
      <c r="J38" s="116">
        <f>IF(ISNUMBER(SEARCH('Карта учёта'!$B$18,Расходка[[#This Row],[Наименование расходного материала]])),MAX($J$1:J37)+1,0)</f>
        <v>0</v>
      </c>
      <c r="K38" s="116">
        <f>IF(ISNUMBER(SEARCH('Карта учёта'!$B$19,Расходка[[#This Row],[Наименование расходного материала]])),MAX($K$1:K37)+1,0)</f>
        <v>0</v>
      </c>
      <c r="L38" s="116">
        <f>IF(ISNUMBER(SEARCH('Карта учёта'!$B$20,Расходка[[#This Row],[Наименование расходного материала]])),MAX($L$1:L37)+1,0)</f>
        <v>0</v>
      </c>
      <c r="M38" s="116">
        <f>IF(ISNUMBER(SEARCH('Карта учёта'!$B$21,Расходка[[#This Row],[Наименование расходного материала]])),MAX($M$1:M37)+1,0)</f>
        <v>37</v>
      </c>
      <c r="N38" s="116">
        <f>IF(ISNUMBER(SEARCH('Карта учёта'!$B$22,Расходка[[#This Row],[Наименование расходного материала]])),MAX($N$1:N37)+1,0)</f>
        <v>37</v>
      </c>
      <c r="O38" s="116">
        <f>IF(ISNUMBER(SEARCH('Карта учёта'!$B$23,Расходка[[#This Row],[Наименование расходного материала]])),MAX($O$1:O37)+1,0)</f>
        <v>37</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
      </c>
      <c r="T38" s="115" t="str">
        <f>IFERROR(INDEX(Расходка[Наименование расходного материала],MATCH(Расходка[[#This Row],[№]],Поиск_расходки[Индекс3],0)),"")</f>
        <v/>
      </c>
      <c r="U38" s="115" t="str">
        <f>IFERROR(INDEX(Расходка[Наименование расходного материала],MATCH(Расходка[[#This Row],[№]],Поиск_расходки[Индекс4],0)),"")</f>
        <v/>
      </c>
      <c r="V38" s="115" t="str">
        <f>IFERROR(INDEX(Расходка[Наименование расходного материала],MATCH(Расходка[[#This Row],[№]],Поиск_расходки[Индекс5],0)),"")</f>
        <v/>
      </c>
      <c r="W38" s="115" t="str">
        <f>IFERROR(INDEX(Расходка[Наименование расходного материала],MATCH(Расходка[[#This Row],[№]],Поиск_расходки[Индекс6],0)),"")</f>
        <v/>
      </c>
      <c r="X38" s="115" t="str">
        <f>IFERROR(INDEX(Расходка[Наименование расходного материала],MATCH(Расходка[[#This Row],[№]],Поиск_расходки[Индекс7],0)),"")</f>
        <v/>
      </c>
      <c r="Y38" s="115" t="str">
        <f>IFERROR(INDEX(Расходка[Наименование расходного материала],MATCH(Расходка[[#This Row],[№]],Поиск_расходки[Индекс8],0)),"")</f>
        <v/>
      </c>
      <c r="Z38" s="115" t="str">
        <f>IFERROR(INDEX(Расходка[Наименование расходного материала],MATCH(Расходка[[#This Row],[№]],Поиск_расходки[Индекс9],0)),"")</f>
        <v>Sion Black</v>
      </c>
      <c r="AA38" s="115" t="str">
        <f>IFERROR(INDEX(Расходка[Наименование расходного материала],MATCH(Расходка[[#This Row],[№]],Поиск_расходки[Индекс10],0)),"")</f>
        <v>Sion Black</v>
      </c>
      <c r="AB38" s="115" t="str">
        <f>IFERROR(INDEX(Расходка[Наименование расходного материала],MATCH(Расходка[[#This Row],[№]],Поиск_расходки[Индекс11],0)),"")</f>
        <v>Sion Black</v>
      </c>
      <c r="AC38" s="115" t="str">
        <f>IFERROR(INDEX(Расходка[Наименование расходного материала],MATCH(Расходка[[#This Row],[№]],Поиск_расходки[Индекс12],0)),"")</f>
        <v>Sion Black</v>
      </c>
      <c r="AD38" s="115" t="str">
        <f>IFERROR(INDEX(Расходка[Наименование расходного материала],MATCH(Расходка[[#This Row],[№]],Поиск_расходки[Индекс13],0)),"")</f>
        <v>Sion Black</v>
      </c>
      <c r="AF38" s="4" t="s">
        <v>6</v>
      </c>
      <c r="AG38" s="4" t="s">
        <v>498</v>
      </c>
    </row>
    <row r="39" spans="1:33" x14ac:dyDescent="0.25">
      <c r="A39">
        <v>38</v>
      </c>
      <c r="B39" t="s">
        <v>3</v>
      </c>
      <c r="C39" s="1" t="s">
        <v>376</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0</v>
      </c>
      <c r="G39" s="116">
        <f>IF(ISNUMBER(SEARCH('Карта учёта'!$B$15,Расходка[[#This Row],[Наименование расходного материала]])),MAX($G$1:G38)+1,0)</f>
        <v>0</v>
      </c>
      <c r="H39" s="116">
        <f>IF(ISNUMBER(SEARCH('Карта учёта'!$B$16,Расходка[[#This Row],[Наименование расходного материала]])),MAX($H$1:H38)+1,0)</f>
        <v>0</v>
      </c>
      <c r="I39" s="116">
        <f>IF(ISNUMBER(SEARCH('Карта учёта'!$B$17,Расходка[[#This Row],[Наименование расходного материала]])),MAX($I$1:I38)+1,0)</f>
        <v>0</v>
      </c>
      <c r="J39" s="116">
        <f>IF(ISNUMBER(SEARCH('Карта учёта'!$B$18,Расходка[[#This Row],[Наименование расходного материала]])),MAX($J$1:J38)+1,0)</f>
        <v>0</v>
      </c>
      <c r="K39" s="116">
        <f>IF(ISNUMBER(SEARCH('Карта учёта'!$B$19,Расходка[[#This Row],[Наименование расходного материала]])),MAX($K$1:K38)+1,0)</f>
        <v>0</v>
      </c>
      <c r="L39" s="116">
        <f>IF(ISNUMBER(SEARCH('Карта учёта'!$B$20,Расходка[[#This Row],[Наименование расходного материала]])),MAX($L$1:L38)+1,0)</f>
        <v>0</v>
      </c>
      <c r="M39" s="116">
        <f>IF(ISNUMBER(SEARCH('Карта учёта'!$B$21,Расходка[[#This Row],[Наименование расходного материала]])),MAX($M$1:M38)+1,0)</f>
        <v>38</v>
      </c>
      <c r="N39" s="116">
        <f>IF(ISNUMBER(SEARCH('Карта учёта'!$B$22,Расходка[[#This Row],[Наименование расходного материала]])),MAX($N$1:N38)+1,0)</f>
        <v>38</v>
      </c>
      <c r="O39" s="116">
        <f>IF(ISNUMBER(SEARCH('Карта учёта'!$B$23,Расходка[[#This Row],[Наименование расходного материала]])),MAX($O$1:O38)+1,0)</f>
        <v>38</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
      </c>
      <c r="T39" s="115" t="str">
        <f>IFERROR(INDEX(Расходка[Наименование расходного материала],MATCH(Расходка[[#This Row],[№]],Поиск_расходки[Индекс3],0)),"")</f>
        <v/>
      </c>
      <c r="U39" s="115" t="str">
        <f>IFERROR(INDEX(Расходка[Наименование расходного материала],MATCH(Расходка[[#This Row],[№]],Поиск_расходки[Индекс4],0)),"")</f>
        <v/>
      </c>
      <c r="V39" s="115" t="str">
        <f>IFERROR(INDEX(Расходка[Наименование расходного материала],MATCH(Расходка[[#This Row],[№]],Поиск_расходки[Индекс5],0)),"")</f>
        <v/>
      </c>
      <c r="W39" s="115" t="str">
        <f>IFERROR(INDEX(Расходка[Наименование расходного материала],MATCH(Расходка[[#This Row],[№]],Поиск_расходки[Индекс6],0)),"")</f>
        <v/>
      </c>
      <c r="X39" s="115" t="str">
        <f>IFERROR(INDEX(Расходка[Наименование расходного материала],MATCH(Расходка[[#This Row],[№]],Поиск_расходки[Индекс7],0)),"")</f>
        <v/>
      </c>
      <c r="Y39" s="115" t="str">
        <f>IFERROR(INDEX(Расходка[Наименование расходного материала],MATCH(Расходка[[#This Row],[№]],Поиск_расходки[Индекс8],0)),"")</f>
        <v/>
      </c>
      <c r="Z39" s="115" t="str">
        <f>IFERROR(INDEX(Расходка[Наименование расходного материала],MATCH(Расходка[[#This Row],[№]],Поиск_расходки[Индекс9],0)),"")</f>
        <v>Sion Blue</v>
      </c>
      <c r="AA39" s="115" t="str">
        <f>IFERROR(INDEX(Расходка[Наименование расходного материала],MATCH(Расходка[[#This Row],[№]],Поиск_расходки[Индекс10],0)),"")</f>
        <v>Sion Blue</v>
      </c>
      <c r="AB39" s="115" t="str">
        <f>IFERROR(INDEX(Расходка[Наименование расходного материала],MATCH(Расходка[[#This Row],[№]],Поиск_расходки[Индекс11],0)),"")</f>
        <v>Sion Blue</v>
      </c>
      <c r="AC39" s="115" t="str">
        <f>IFERROR(INDEX(Расходка[Наименование расходного материала],MATCH(Расходка[[#This Row],[№]],Поиск_расходки[Индекс12],0)),"")</f>
        <v>Sion Blue</v>
      </c>
      <c r="AD39" s="115" t="str">
        <f>IFERROR(INDEX(Расходка[Наименование расходного материала],MATCH(Расходка[[#This Row],[№]],Поиск_расходки[Индекс13],0)),"")</f>
        <v>Sion Blue</v>
      </c>
      <c r="AF39" s="4" t="s">
        <v>6</v>
      </c>
      <c r="AG39" s="4" t="s">
        <v>439</v>
      </c>
    </row>
    <row r="40" spans="1:33" x14ac:dyDescent="0.25">
      <c r="A40">
        <v>39</v>
      </c>
      <c r="B40" t="s">
        <v>3</v>
      </c>
      <c r="C40" t="s">
        <v>318</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0</v>
      </c>
      <c r="G40" s="116">
        <f>IF(ISNUMBER(SEARCH('Карта учёта'!$B$15,Расходка[[#This Row],[Наименование расходного материала]])),MAX($G$1:G39)+1,0)</f>
        <v>0</v>
      </c>
      <c r="H40" s="116">
        <f>IF(ISNUMBER(SEARCH('Карта учёта'!$B$16,Расходка[[#This Row],[Наименование расходного материала]])),MAX($H$1:H39)+1,0)</f>
        <v>0</v>
      </c>
      <c r="I40" s="116">
        <f>IF(ISNUMBER(SEARCH('Карта учёта'!$B$17,Расходка[[#This Row],[Наименование расходного материала]])),MAX($I$1:I39)+1,0)</f>
        <v>0</v>
      </c>
      <c r="J40" s="116">
        <f>IF(ISNUMBER(SEARCH('Карта учёта'!$B$18,Расходка[[#This Row],[Наименование расходного материала]])),MAX($J$1:J39)+1,0)</f>
        <v>0</v>
      </c>
      <c r="K40" s="116">
        <f>IF(ISNUMBER(SEARCH('Карта учёта'!$B$19,Расходка[[#This Row],[Наименование расходного материала]])),MAX($K$1:K39)+1,0)</f>
        <v>0</v>
      </c>
      <c r="L40" s="116">
        <f>IF(ISNUMBER(SEARCH('Карта учёта'!$B$20,Расходка[[#This Row],[Наименование расходного материала]])),MAX($L$1:L39)+1,0)</f>
        <v>0</v>
      </c>
      <c r="M40" s="116">
        <f>IF(ISNUMBER(SEARCH('Карта учёта'!$B$21,Расходка[[#This Row],[Наименование расходного материала]])),MAX($M$1:M39)+1,0)</f>
        <v>39</v>
      </c>
      <c r="N40" s="116">
        <f>IF(ISNUMBER(SEARCH('Карта учёта'!$B$22,Расходка[[#This Row],[Наименование расходного материала]])),MAX($N$1:N39)+1,0)</f>
        <v>39</v>
      </c>
      <c r="O40" s="116">
        <f>IF(ISNUMBER(SEARCH('Карта учёта'!$B$23,Расходка[[#This Row],[Наименование расходного материала]])),MAX($O$1:O39)+1,0)</f>
        <v>39</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
      </c>
      <c r="T40" s="115" t="str">
        <f>IFERROR(INDEX(Расходка[Наименование расходного материала],MATCH(Расходка[[#This Row],[№]],Поиск_расходки[Индекс3],0)),"")</f>
        <v/>
      </c>
      <c r="U40" s="115" t="str">
        <f>IFERROR(INDEX(Расходка[Наименование расходного материала],MATCH(Расходка[[#This Row],[№]],Поиск_расходки[Индекс4],0)),"")</f>
        <v/>
      </c>
      <c r="V40" s="115" t="str">
        <f>IFERROR(INDEX(Расходка[Наименование расходного материала],MATCH(Расходка[[#This Row],[№]],Поиск_расходки[Индекс5],0)),"")</f>
        <v/>
      </c>
      <c r="W40" s="115" t="str">
        <f>IFERROR(INDEX(Расходка[Наименование расходного материала],MATCH(Расходка[[#This Row],[№]],Поиск_расходки[Индекс6],0)),"")</f>
        <v/>
      </c>
      <c r="X40" s="115" t="str">
        <f>IFERROR(INDEX(Расходка[Наименование расходного материала],MATCH(Расходка[[#This Row],[№]],Поиск_расходки[Индекс7],0)),"")</f>
        <v/>
      </c>
      <c r="Y40" s="115" t="str">
        <f>IFERROR(INDEX(Расходка[Наименование расходного материала],MATCH(Расходка[[#This Row],[№]],Поиск_расходки[Индекс8],0)),"")</f>
        <v/>
      </c>
      <c r="Z40" s="115" t="str">
        <f>IFERROR(INDEX(Расходка[Наименование расходного материала],MATCH(Расходка[[#This Row],[№]],Поиск_расходки[Индекс9],0)),"")</f>
        <v>Thunder</v>
      </c>
      <c r="AA40" s="115" t="str">
        <f>IFERROR(INDEX(Расходка[Наименование расходного материала],MATCH(Расходка[[#This Row],[№]],Поиск_расходки[Индекс10],0)),"")</f>
        <v>Thunder</v>
      </c>
      <c r="AB40" s="115" t="str">
        <f>IFERROR(INDEX(Расходка[Наименование расходного материала],MATCH(Расходка[[#This Row],[№]],Поиск_расходки[Индекс11],0)),"")</f>
        <v>Thunder</v>
      </c>
      <c r="AC40" s="115" t="str">
        <f>IFERROR(INDEX(Расходка[Наименование расходного материала],MATCH(Расходка[[#This Row],[№]],Поиск_расходки[Индекс12],0)),"")</f>
        <v>Thunder</v>
      </c>
      <c r="AD40" s="115" t="str">
        <f>IFERROR(INDEX(Расходка[Наименование расходного материала],MATCH(Расходка[[#This Row],[№]],Поиск_расходки[Индекс13],0)),"")</f>
        <v>Thunder</v>
      </c>
      <c r="AF40" s="4" t="s">
        <v>6</v>
      </c>
      <c r="AG40" s="4" t="s">
        <v>440</v>
      </c>
    </row>
    <row r="41" spans="1:33" x14ac:dyDescent="0.25">
      <c r="A41">
        <v>40</v>
      </c>
      <c r="B41" t="s">
        <v>3</v>
      </c>
      <c r="C41" t="s">
        <v>363</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0</v>
      </c>
      <c r="G41" s="116">
        <f>IF(ISNUMBER(SEARCH('Карта учёта'!$B$15,Расходка[[#This Row],[Наименование расходного материала]])),MAX($G$1:G40)+1,0)</f>
        <v>0</v>
      </c>
      <c r="H41" s="116">
        <f>IF(ISNUMBER(SEARCH('Карта учёта'!$B$16,Расходка[[#This Row],[Наименование расходного материала]])),MAX($H$1:H40)+1,0)</f>
        <v>0</v>
      </c>
      <c r="I41" s="116">
        <f>IF(ISNUMBER(SEARCH('Карта учёта'!$B$17,Расходка[[#This Row],[Наименование расходного материала]])),MAX($I$1:I40)+1,0)</f>
        <v>0</v>
      </c>
      <c r="J41" s="116">
        <f>IF(ISNUMBER(SEARCH('Карта учёта'!$B$18,Расходка[[#This Row],[Наименование расходного материала]])),MAX($J$1:J40)+1,0)</f>
        <v>0</v>
      </c>
      <c r="K41" s="116">
        <f>IF(ISNUMBER(SEARCH('Карта учёта'!$B$19,Расходка[[#This Row],[Наименование расходного материала]])),MAX($K$1:K40)+1,0)</f>
        <v>0</v>
      </c>
      <c r="L41" s="116">
        <f>IF(ISNUMBER(SEARCH('Карта учёта'!$B$20,Расходка[[#This Row],[Наименование расходного материала]])),MAX($L$1:L40)+1,0)</f>
        <v>0</v>
      </c>
      <c r="M41" s="116">
        <f>IF(ISNUMBER(SEARCH('Карта учёта'!$B$21,Расходка[[#This Row],[Наименование расходного материала]])),MAX($M$1:M40)+1,0)</f>
        <v>40</v>
      </c>
      <c r="N41" s="116">
        <f>IF(ISNUMBER(SEARCH('Карта учёта'!$B$22,Расходка[[#This Row],[Наименование расходного материала]])),MAX($N$1:N40)+1,0)</f>
        <v>40</v>
      </c>
      <c r="O41" s="116">
        <f>IF(ISNUMBER(SEARCH('Карта учёта'!$B$23,Расходка[[#This Row],[Наименование расходного материала]])),MAX($O$1:O40)+1,0)</f>
        <v>40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
      </c>
      <c r="T41" s="115" t="str">
        <f>IFERROR(INDEX(Расходка[Наименование расходного материала],MATCH(Расходка[[#This Row],[№]],Поиск_расходки[Индекс3],0)),"")</f>
        <v/>
      </c>
      <c r="U41" s="115" t="str">
        <f>IFERROR(INDEX(Расходка[Наименование расходного материала],MATCH(Расходка[[#This Row],[№]],Поиск_расходки[Индекс4],0)),"")</f>
        <v/>
      </c>
      <c r="V41" s="115" t="str">
        <f>IFERROR(INDEX(Расходка[Наименование расходного материала],MATCH(Расходка[[#This Row],[№]],Поиск_расходки[Индекс5],0)),"")</f>
        <v/>
      </c>
      <c r="W41" s="115" t="str">
        <f>IFERROR(INDEX(Расходка[Наименование расходного материала],MATCH(Расходка[[#This Row],[№]],Поиск_расходки[Индекс6],0)),"")</f>
        <v/>
      </c>
      <c r="X41" s="115" t="str">
        <f>IFERROR(INDEX(Расходка[Наименование расходного материала],MATCH(Расходка[[#This Row],[№]],Поиск_расходки[Индекс7],0)),"")</f>
        <v/>
      </c>
      <c r="Y41" s="115" t="str">
        <f>IFERROR(INDEX(Расходка[Наименование расходного материала],MATCH(Расходка[[#This Row],[№]],Поиск_расходки[Индекс8],0)),"")</f>
        <v/>
      </c>
      <c r="Z41" s="115" t="str">
        <f>IFERROR(INDEX(Расходка[Наименование расходного материала],MATCH(Расходка[[#This Row],[№]],Поиск_расходки[Индекс9],0)),"")</f>
        <v>Whisper MS</v>
      </c>
      <c r="AA41" s="115" t="str">
        <f>IFERROR(INDEX(Расходка[Наименование расходного материала],MATCH(Расходка[[#This Row],[№]],Поиск_расходки[Индекс10],0)),"")</f>
        <v>Whisper MS</v>
      </c>
      <c r="AB41" s="115" t="str">
        <f>IFERROR(INDEX(Расходка[Наименование расходного материала],MATCH(Расходка[[#This Row],[№]],Поиск_расходки[Индекс11],0)),"")</f>
        <v>Whisper MS</v>
      </c>
      <c r="AC41" s="115" t="str">
        <f>IFERROR(INDEX(Расходка[Наименование расходного материала],MATCH(Расходка[[#This Row],[№]],Поиск_расходки[Индекс12],0)),"")</f>
        <v>Whisper MS</v>
      </c>
      <c r="AD41" s="115" t="str">
        <f>IFERROR(INDEX(Расходка[Наименование расходного материала],MATCH(Расходка[[#This Row],[№]],Поиск_расходки[Индекс13],0)),"")</f>
        <v>Whisper MS</v>
      </c>
      <c r="AF41" s="4" t="s">
        <v>6</v>
      </c>
      <c r="AG41" s="4" t="s">
        <v>441</v>
      </c>
    </row>
    <row r="42" spans="1:33" x14ac:dyDescent="0.25">
      <c r="A42">
        <v>41</v>
      </c>
      <c r="B42" t="s">
        <v>3</v>
      </c>
      <c r="C42" t="s">
        <v>364</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0</v>
      </c>
      <c r="G42" s="116">
        <f>IF(ISNUMBER(SEARCH('Карта учёта'!$B$15,Расходка[[#This Row],[Наименование расходного материала]])),MAX($G$1:G41)+1,0)</f>
        <v>0</v>
      </c>
      <c r="H42" s="116">
        <f>IF(ISNUMBER(SEARCH('Карта учёта'!$B$16,Расходка[[#This Row],[Наименование расходного материала]])),MAX($H$1:H41)+1,0)</f>
        <v>0</v>
      </c>
      <c r="I42" s="116">
        <f>IF(ISNUMBER(SEARCH('Карта учёта'!$B$17,Расходка[[#This Row],[Наименование расходного материала]])),MAX($I$1:I41)+1,0)</f>
        <v>0</v>
      </c>
      <c r="J42" s="116">
        <f>IF(ISNUMBER(SEARCH('Карта учёта'!$B$18,Расходка[[#This Row],[Наименование расходного материала]])),MAX($J$1:J41)+1,0)</f>
        <v>0</v>
      </c>
      <c r="K42" s="116">
        <f>IF(ISNUMBER(SEARCH('Карта учёта'!$B$19,Расходка[[#This Row],[Наименование расходного материала]])),MAX($K$1:K41)+1,0)</f>
        <v>0</v>
      </c>
      <c r="L42" s="116">
        <f>IF(ISNUMBER(SEARCH('Карта учёта'!$B$20,Расходка[[#This Row],[Наименование расходного материала]])),MAX($L$1:L41)+1,0)</f>
        <v>0</v>
      </c>
      <c r="M42" s="116">
        <f>IF(ISNUMBER(SEARCH('Карта учёта'!$B$21,Расходка[[#This Row],[Наименование расходного материала]])),MAX($M$1:M41)+1,0)</f>
        <v>41</v>
      </c>
      <c r="N42" s="116">
        <f>IF(ISNUMBER(SEARCH('Карта учёта'!$B$22,Расходка[[#This Row],[Наименование расходного материала]])),MAX($N$1:N41)+1,0)</f>
        <v>41</v>
      </c>
      <c r="O42" s="116">
        <f>IF(ISNUMBER(SEARCH('Карта учёта'!$B$23,Расходка[[#This Row],[Наименование расходного материала]])),MAX($O$1:O41)+1,0)</f>
        <v>41</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
      </c>
      <c r="T42" s="115" t="str">
        <f>IFERROR(INDEX(Расходка[Наименование расходного материала],MATCH(Расходка[[#This Row],[№]],Поиск_расходки[Индекс3],0)),"")</f>
        <v/>
      </c>
      <c r="U42" s="115" t="str">
        <f>IFERROR(INDEX(Расходка[Наименование расходного материала],MATCH(Расходка[[#This Row],[№]],Поиск_расходки[Индекс4],0)),"")</f>
        <v/>
      </c>
      <c r="V42" s="115" t="str">
        <f>IFERROR(INDEX(Расходка[Наименование расходного материала],MATCH(Расходка[[#This Row],[№]],Поиск_расходки[Индекс5],0)),"")</f>
        <v/>
      </c>
      <c r="W42" s="115" t="str">
        <f>IFERROR(INDEX(Расходка[Наименование расходного материала],MATCH(Расходка[[#This Row],[№]],Поиск_расходки[Индекс6],0)),"")</f>
        <v/>
      </c>
      <c r="X42" s="115" t="str">
        <f>IFERROR(INDEX(Расходка[Наименование расходного материала],MATCH(Расходка[[#This Row],[№]],Поиск_расходки[Индекс7],0)),"")</f>
        <v/>
      </c>
      <c r="Y42" s="115" t="str">
        <f>IFERROR(INDEX(Расходка[Наименование расходного материала],MATCH(Расходка[[#This Row],[№]],Поиск_расходки[Индекс8],0)),"")</f>
        <v/>
      </c>
      <c r="Z42" s="115" t="str">
        <f>IFERROR(INDEX(Расходка[Наименование расходного материала],MATCH(Расходка[[#This Row],[№]],Поиск_расходки[Индекс9],0)),"")</f>
        <v>Winn 200T</v>
      </c>
      <c r="AA42" s="115" t="str">
        <f>IFERROR(INDEX(Расходка[Наименование расходного материала],MATCH(Расходка[[#This Row],[№]],Поиск_расходки[Индекс10],0)),"")</f>
        <v>Winn 200T</v>
      </c>
      <c r="AB42" s="115" t="str">
        <f>IFERROR(INDEX(Расходка[Наименование расходного материала],MATCH(Расходка[[#This Row],[№]],Поиск_расходки[Индекс11],0)),"")</f>
        <v>Winn 200T</v>
      </c>
      <c r="AC42" s="115" t="str">
        <f>IFERROR(INDEX(Расходка[Наименование расходного материала],MATCH(Расходка[[#This Row],[№]],Поиск_расходки[Индекс12],0)),"")</f>
        <v>Winn 200T</v>
      </c>
      <c r="AD42" s="115" t="str">
        <f>IFERROR(INDEX(Расходка[Наименование расходного материала],MATCH(Расходка[[#This Row],[№]],Поиск_расходки[Индекс13],0)),"")</f>
        <v>Winn 200T</v>
      </c>
      <c r="AF42" s="4" t="s">
        <v>6</v>
      </c>
      <c r="AG42" s="4" t="s">
        <v>442</v>
      </c>
    </row>
    <row r="43" spans="1:33" x14ac:dyDescent="0.25">
      <c r="A43">
        <v>42</v>
      </c>
      <c r="B43" t="s">
        <v>3</v>
      </c>
      <c r="C43" t="s">
        <v>347</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0</v>
      </c>
      <c r="G43" s="116">
        <f>IF(ISNUMBER(SEARCH('Карта учёта'!$B$15,Расходка[[#This Row],[Наименование расходного материала]])),MAX($G$1:G42)+1,0)</f>
        <v>0</v>
      </c>
      <c r="H43" s="116">
        <f>IF(ISNUMBER(SEARCH('Карта учёта'!$B$16,Расходка[[#This Row],[Наименование расходного материала]])),MAX($H$1:H42)+1,0)</f>
        <v>0</v>
      </c>
      <c r="I43" s="116">
        <f>IF(ISNUMBER(SEARCH('Карта учёта'!$B$17,Расходка[[#This Row],[Наименование расходного материала]])),MAX($I$1:I42)+1,0)</f>
        <v>0</v>
      </c>
      <c r="J43" s="116">
        <f>IF(ISNUMBER(SEARCH('Карта учёта'!$B$18,Расходка[[#This Row],[Наименование расходного материала]])),MAX($J$1:J42)+1,0)</f>
        <v>0</v>
      </c>
      <c r="K43" s="116">
        <f>IF(ISNUMBER(SEARCH('Карта учёта'!$B$19,Расходка[[#This Row],[Наименование расходного материала]])),MAX($K$1:K42)+1,0)</f>
        <v>0</v>
      </c>
      <c r="L43" s="116">
        <f>IF(ISNUMBER(SEARCH('Карта учёта'!$B$20,Расходка[[#This Row],[Наименование расходного материала]])),MAX($L$1:L42)+1,0)</f>
        <v>0</v>
      </c>
      <c r="M43" s="116">
        <f>IF(ISNUMBER(SEARCH('Карта учёта'!$B$21,Расходка[[#This Row],[Наименование расходного материала]])),MAX($M$1:M42)+1,0)</f>
        <v>42</v>
      </c>
      <c r="N43" s="116">
        <f>IF(ISNUMBER(SEARCH('Карта учёта'!$B$22,Расходка[[#This Row],[Наименование расходного материала]])),MAX($N$1:N42)+1,0)</f>
        <v>42</v>
      </c>
      <c r="O43" s="116">
        <f>IF(ISNUMBER(SEARCH('Карта учёта'!$B$23,Расходка[[#This Row],[Наименование расходного материала]])),MAX($O$1:O42)+1,0)</f>
        <v>42</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
      </c>
      <c r="T43" s="115" t="str">
        <f>IFERROR(INDEX(Расходка[Наименование расходного материала],MATCH(Расходка[[#This Row],[№]],Поиск_расходки[Индекс3],0)),"")</f>
        <v/>
      </c>
      <c r="U43" s="115" t="str">
        <f>IFERROR(INDEX(Расходка[Наименование расходного материала],MATCH(Расходка[[#This Row],[№]],Поиск_расходки[Индекс4],0)),"")</f>
        <v/>
      </c>
      <c r="V43" s="115" t="str">
        <f>IFERROR(INDEX(Расходка[Наименование расходного материала],MATCH(Расходка[[#This Row],[№]],Поиск_расходки[Индекс5],0)),"")</f>
        <v/>
      </c>
      <c r="W43" s="115" t="str">
        <f>IFERROR(INDEX(Расходка[Наименование расходного материала],MATCH(Расходка[[#This Row],[№]],Поиск_расходки[Индекс6],0)),"")</f>
        <v/>
      </c>
      <c r="X43" s="115" t="str">
        <f>IFERROR(INDEX(Расходка[Наименование расходного материала],MATCH(Расходка[[#This Row],[№]],Поиск_расходки[Индекс7],0)),"")</f>
        <v/>
      </c>
      <c r="Y43" s="115" t="str">
        <f>IFERROR(INDEX(Расходка[Наименование расходного материала],MATCH(Расходка[[#This Row],[№]],Поиск_расходки[Индекс8],0)),"")</f>
        <v/>
      </c>
      <c r="Z43" s="115" t="str">
        <f>IFERROR(INDEX(Расходка[Наименование расходного материала],MATCH(Расходка[[#This Row],[№]],Поиск_расходки[Индекс9],0)),"")</f>
        <v>Проводник коронарный  1g, Angioline</v>
      </c>
      <c r="AA43" s="115" t="str">
        <f>IFERROR(INDEX(Расходка[Наименование расходного материала],MATCH(Расходка[[#This Row],[№]],Поиск_расходки[Индекс10],0)),"")</f>
        <v>Проводник коронарный  1g, Angioline</v>
      </c>
      <c r="AB43" s="115" t="str">
        <f>IFERROR(INDEX(Расходка[Наименование расходного материала],MATCH(Расходка[[#This Row],[№]],Поиск_расходки[Индекс11],0)),"")</f>
        <v>Проводник коронарный  1g, Angioline</v>
      </c>
      <c r="AC43" s="115" t="str">
        <f>IFERROR(INDEX(Расходка[Наименование расходного материала],MATCH(Расходка[[#This Row],[№]],Поиск_расходки[Индекс12],0)),"")</f>
        <v>Проводник коронарный  1g, Angioline</v>
      </c>
      <c r="AD43" s="115" t="str">
        <f>IFERROR(INDEX(Расходка[Наименование расходного материала],MATCH(Расходка[[#This Row],[№]],Поиск_расходки[Индекс13],0)),"")</f>
        <v>Проводник коронарный  1g, Angioline</v>
      </c>
      <c r="AF43" s="4" t="s">
        <v>6</v>
      </c>
      <c r="AG43" s="4" t="s">
        <v>415</v>
      </c>
    </row>
    <row r="44" spans="1:33" x14ac:dyDescent="0.25">
      <c r="A44">
        <v>43</v>
      </c>
      <c r="B44" t="s">
        <v>3</v>
      </c>
      <c r="C44" t="s">
        <v>96</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0</v>
      </c>
      <c r="G44" s="116">
        <f>IF(ISNUMBER(SEARCH('Карта учёта'!$B$15,Расходка[[#This Row],[Наименование расходного материала]])),MAX($G$1:G43)+1,0)</f>
        <v>0</v>
      </c>
      <c r="H44" s="116">
        <f>IF(ISNUMBER(SEARCH('Карта учёта'!$B$16,Расходка[[#This Row],[Наименование расходного материала]])),MAX($H$1:H43)+1,0)</f>
        <v>0</v>
      </c>
      <c r="I44" s="116">
        <f>IF(ISNUMBER(SEARCH('Карта учёта'!$B$17,Расходка[[#This Row],[Наименование расходного материала]])),MAX($I$1:I43)+1,0)</f>
        <v>0</v>
      </c>
      <c r="J44" s="116">
        <f>IF(ISNUMBER(SEARCH('Карта учёта'!$B$18,Расходка[[#This Row],[Наименование расходного материала]])),MAX($J$1:J43)+1,0)</f>
        <v>0</v>
      </c>
      <c r="K44" s="116">
        <f>IF(ISNUMBER(SEARCH('Карта учёта'!$B$19,Расходка[[#This Row],[Наименование расходного материала]])),MAX($K$1:K43)+1,0)</f>
        <v>0</v>
      </c>
      <c r="L44" s="116">
        <f>IF(ISNUMBER(SEARCH('Карта учёта'!$B$20,Расходка[[#This Row],[Наименование расходного материала]])),MAX($L$1:L43)+1,0)</f>
        <v>0</v>
      </c>
      <c r="M44" s="116">
        <f>IF(ISNUMBER(SEARCH('Карта учёта'!$B$21,Расходка[[#This Row],[Наименование расходного материала]])),MAX($M$1:M43)+1,0)</f>
        <v>43</v>
      </c>
      <c r="N44" s="116">
        <f>IF(ISNUMBER(SEARCH('Карта учёта'!$B$22,Расходка[[#This Row],[Наименование расходного материала]])),MAX($N$1:N43)+1,0)</f>
        <v>43</v>
      </c>
      <c r="O44" s="116">
        <f>IF(ISNUMBER(SEARCH('Карта учёта'!$B$23,Расходка[[#This Row],[Наименование расходного материала]])),MAX($O$1:O43)+1,0)</f>
        <v>43</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
      </c>
      <c r="T44" s="115" t="str">
        <f>IFERROR(INDEX(Расходка[Наименование расходного материала],MATCH(Расходка[[#This Row],[№]],Поиск_расходки[Индекс3],0)),"")</f>
        <v/>
      </c>
      <c r="U44" s="115" t="str">
        <f>IFERROR(INDEX(Расходка[Наименование расходного материала],MATCH(Расходка[[#This Row],[№]],Поиск_расходки[Индекс4],0)),"")</f>
        <v/>
      </c>
      <c r="V44" s="115" t="str">
        <f>IFERROR(INDEX(Расходка[Наименование расходного материала],MATCH(Расходка[[#This Row],[№]],Поиск_расходки[Индекс5],0)),"")</f>
        <v/>
      </c>
      <c r="W44" s="115" t="str">
        <f>IFERROR(INDEX(Расходка[Наименование расходного материала],MATCH(Расходка[[#This Row],[№]],Поиск_расходки[Индекс6],0)),"")</f>
        <v/>
      </c>
      <c r="X44" s="115" t="str">
        <f>IFERROR(INDEX(Расходка[Наименование расходного материала],MATCH(Расходка[[#This Row],[№]],Поиск_расходки[Индекс7],0)),"")</f>
        <v/>
      </c>
      <c r="Y44" s="115" t="str">
        <f>IFERROR(INDEX(Расходка[Наименование расходного материала],MATCH(Расходка[[#This Row],[№]],Поиск_расходки[Индекс8],0)),"")</f>
        <v/>
      </c>
      <c r="Z44" s="115" t="str">
        <f>IFERROR(INDEX(Расходка[Наименование расходного материала],MATCH(Расходка[[#This Row],[№]],Поиск_расходки[Индекс9],0)),"")</f>
        <v>Проводник коронарный  3g, Angioline</v>
      </c>
      <c r="AA44" s="115" t="str">
        <f>IFERROR(INDEX(Расходка[Наименование расходного материала],MATCH(Расходка[[#This Row],[№]],Поиск_расходки[Индекс10],0)),"")</f>
        <v>Проводник коронарный  3g, Angioline</v>
      </c>
      <c r="AB44" s="115" t="str">
        <f>IFERROR(INDEX(Расходка[Наименование расходного материала],MATCH(Расходка[[#This Row],[№]],Поиск_расходки[Индекс11],0)),"")</f>
        <v>Проводник коронарный  3g, Angioline</v>
      </c>
      <c r="AC44" s="115" t="str">
        <f>IFERROR(INDEX(Расходка[Наименование расходного материала],MATCH(Расходка[[#This Row],[№]],Поиск_расходки[Индекс12],0)),"")</f>
        <v>Проводник коронарный  3g, Angioline</v>
      </c>
      <c r="AD44" s="115" t="str">
        <f>IFERROR(INDEX(Расходка[Наименование расходного материала],MATCH(Расходка[[#This Row],[№]],Поиск_расходки[Индекс13],0)),"")</f>
        <v>Проводник коронарный  3g, Angioline</v>
      </c>
      <c r="AF44" s="4" t="s">
        <v>6</v>
      </c>
      <c r="AG44" s="4" t="s">
        <v>443</v>
      </c>
    </row>
    <row r="45" spans="1:33" x14ac:dyDescent="0.25">
      <c r="A45">
        <v>44</v>
      </c>
      <c r="B45" t="s">
        <v>6</v>
      </c>
      <c r="C45" s="1" t="s">
        <v>278</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0</v>
      </c>
      <c r="G45" s="116">
        <f>IF(ISNUMBER(SEARCH('Карта учёта'!$B$15,Расходка[[#This Row],[Наименование расходного материала]])),MAX($G$1:G44)+1,0)</f>
        <v>0</v>
      </c>
      <c r="H45" s="116">
        <f>IF(ISNUMBER(SEARCH('Карта учёта'!$B$16,Расходка[[#This Row],[Наименование расходного материала]])),MAX($H$1:H44)+1,0)</f>
        <v>0</v>
      </c>
      <c r="I45" s="116">
        <f>IF(ISNUMBER(SEARCH('Карта учёта'!$B$17,Расходка[[#This Row],[Наименование расходного материала]])),MAX($I$1:I44)+1,0)</f>
        <v>0</v>
      </c>
      <c r="J45" s="116">
        <f>IF(ISNUMBER(SEARCH('Карта учёта'!$B$18,Расходка[[#This Row],[Наименование расходного материала]])),MAX($J$1:J44)+1,0)</f>
        <v>0</v>
      </c>
      <c r="K45" s="116">
        <f>IF(ISNUMBER(SEARCH('Карта учёта'!$B$19,Расходка[[#This Row],[Наименование расходного материала]])),MAX($K$1:K44)+1,0)</f>
        <v>0</v>
      </c>
      <c r="L45" s="116">
        <f>IF(ISNUMBER(SEARCH('Карта учёта'!$B$20,Расходка[[#This Row],[Наименование расходного материала]])),MAX($L$1:L44)+1,0)</f>
        <v>0</v>
      </c>
      <c r="M45" s="116">
        <f>IF(ISNUMBER(SEARCH('Карта учёта'!$B$21,Расходка[[#This Row],[Наименование расходного материала]])),MAX($M$1:M44)+1,0)</f>
        <v>44</v>
      </c>
      <c r="N45" s="116">
        <f>IF(ISNUMBER(SEARCH('Карта учёта'!$B$22,Расходка[[#This Row],[Наименование расходного материала]])),MAX($N$1:N44)+1,0)</f>
        <v>44</v>
      </c>
      <c r="O45" s="116">
        <f>IF(ISNUMBER(SEARCH('Карта учёта'!$B$23,Расходка[[#This Row],[Наименование расходного материала]])),MAX($O$1:O44)+1,0)</f>
        <v>44</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
      </c>
      <c r="T45" s="115" t="str">
        <f>IFERROR(INDEX(Расходка[Наименование расходного материала],MATCH(Расходка[[#This Row],[№]],Поиск_расходки[Индекс3],0)),"")</f>
        <v/>
      </c>
      <c r="U45" s="115" t="str">
        <f>IFERROR(INDEX(Расходка[Наименование расходного материала],MATCH(Расходка[[#This Row],[№]],Поиск_расходки[Индекс4],0)),"")</f>
        <v/>
      </c>
      <c r="V45" s="115" t="str">
        <f>IFERROR(INDEX(Расходка[Наименование расходного материала],MATCH(Расходка[[#This Row],[№]],Поиск_расходки[Индекс5],0)),"")</f>
        <v/>
      </c>
      <c r="W45" s="115" t="str">
        <f>IFERROR(INDEX(Расходка[Наименование расходного материала],MATCH(Расходка[[#This Row],[№]],Поиск_расходки[Индекс6],0)),"")</f>
        <v/>
      </c>
      <c r="X45" s="115" t="str">
        <f>IFERROR(INDEX(Расходка[Наименование расходного материала],MATCH(Расходка[[#This Row],[№]],Поиск_расходки[Индекс7],0)),"")</f>
        <v/>
      </c>
      <c r="Y45" s="115" t="str">
        <f>IFERROR(INDEX(Расходка[Наименование расходного материала],MATCH(Расходка[[#This Row],[№]],Поиск_расходки[Индекс8],0)),"")</f>
        <v/>
      </c>
      <c r="Z45" s="115" t="str">
        <f>IFERROR(INDEX(Расходка[Наименование расходного материала],MATCH(Расходка[[#This Row],[№]],Поиск_расходки[Индекс9],0)),"")</f>
        <v>BMS, Integtity</v>
      </c>
      <c r="AA45" s="115" t="str">
        <f>IFERROR(INDEX(Расходка[Наименование расходного материала],MATCH(Расходка[[#This Row],[№]],Поиск_расходки[Индекс10],0)),"")</f>
        <v>BMS, Integtity</v>
      </c>
      <c r="AB45" s="115" t="str">
        <f>IFERROR(INDEX(Расходка[Наименование расходного материала],MATCH(Расходка[[#This Row],[№]],Поиск_расходки[Индекс11],0)),"")</f>
        <v>BMS, Integtity</v>
      </c>
      <c r="AC45" s="115" t="str">
        <f>IFERROR(INDEX(Расходка[Наименование расходного материала],MATCH(Расходка[[#This Row],[№]],Поиск_расходки[Индекс12],0)),"")</f>
        <v>BMS, Integtity</v>
      </c>
      <c r="AD45" s="115" t="str">
        <f>IFERROR(INDEX(Расходка[Наименование расходного материала],MATCH(Расходка[[#This Row],[№]],Поиск_расходки[Индекс13],0)),"")</f>
        <v>BMS, Integtity</v>
      </c>
      <c r="AF45" s="4" t="s">
        <v>6</v>
      </c>
      <c r="AG45" s="4" t="s">
        <v>444</v>
      </c>
    </row>
    <row r="46" spans="1:33" x14ac:dyDescent="0.25">
      <c r="A46">
        <v>45</v>
      </c>
      <c r="B46" t="s">
        <v>6</v>
      </c>
      <c r="C46" s="158" t="s">
        <v>346</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0</v>
      </c>
      <c r="G46" s="116">
        <f>IF(ISNUMBER(SEARCH('Карта учёта'!$B$15,Расходка[[#This Row],[Наименование расходного материала]])),MAX($G$1:G45)+1,0)</f>
        <v>0</v>
      </c>
      <c r="H46" s="116">
        <f>IF(ISNUMBER(SEARCH('Карта учёта'!$B$16,Расходка[[#This Row],[Наименование расходного материала]])),MAX($H$1:H45)+1,0)</f>
        <v>0</v>
      </c>
      <c r="I46" s="116">
        <f>IF(ISNUMBER(SEARCH('Карта учёта'!$B$17,Расходка[[#This Row],[Наименование расходного материала]])),MAX($I$1:I45)+1,0)</f>
        <v>0</v>
      </c>
      <c r="J46" s="116">
        <f>IF(ISNUMBER(SEARCH('Карта учёта'!$B$18,Расходка[[#This Row],[Наименование расходного материала]])),MAX($J$1:J45)+1,0)</f>
        <v>0</v>
      </c>
      <c r="K46" s="116">
        <f>IF(ISNUMBER(SEARCH('Карта учёта'!$B$19,Расходка[[#This Row],[Наименование расходного материала]])),MAX($K$1:K45)+1,0)</f>
        <v>0</v>
      </c>
      <c r="L46" s="116">
        <f>IF(ISNUMBER(SEARCH('Карта учёта'!$B$20,Расходка[[#This Row],[Наименование расходного материала]])),MAX($L$1:L45)+1,0)</f>
        <v>0</v>
      </c>
      <c r="M46" s="116">
        <f>IF(ISNUMBER(SEARCH('Карта учёта'!$B$21,Расходка[[#This Row],[Наименование расходного материала]])),MAX($M$1:M45)+1,0)</f>
        <v>45</v>
      </c>
      <c r="N46" s="116">
        <f>IF(ISNUMBER(SEARCH('Карта учёта'!$B$22,Расходка[[#This Row],[Наименование расходного материала]])),MAX($N$1:N45)+1,0)</f>
        <v>45</v>
      </c>
      <c r="O46" s="116">
        <f>IF(ISNUMBER(SEARCH('Карта учёта'!$B$23,Расходка[[#This Row],[Наименование расходного материала]])),MAX($O$1:O45)+1,0)</f>
        <v>45</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
      </c>
      <c r="T46" s="115" t="str">
        <f>IFERROR(INDEX(Расходка[Наименование расходного материала],MATCH(Расходка[[#This Row],[№]],Поиск_расходки[Индекс3],0)),"")</f>
        <v/>
      </c>
      <c r="U46" s="115" t="str">
        <f>IFERROR(INDEX(Расходка[Наименование расходного материала],MATCH(Расходка[[#This Row],[№]],Поиск_расходки[Индекс4],0)),"")</f>
        <v/>
      </c>
      <c r="V46" s="115" t="str">
        <f>IFERROR(INDEX(Расходка[Наименование расходного материала],MATCH(Расходка[[#This Row],[№]],Поиск_расходки[Индекс5],0)),"")</f>
        <v/>
      </c>
      <c r="W46" s="115" t="str">
        <f>IFERROR(INDEX(Расходка[Наименование расходного материала],MATCH(Расходка[[#This Row],[№]],Поиск_расходки[Индекс6],0)),"")</f>
        <v/>
      </c>
      <c r="X46" s="115" t="str">
        <f>IFERROR(INDEX(Расходка[Наименование расходного материала],MATCH(Расходка[[#This Row],[№]],Поиск_расходки[Индекс7],0)),"")</f>
        <v/>
      </c>
      <c r="Y46" s="115" t="str">
        <f>IFERROR(INDEX(Расходка[Наименование расходного материала],MATCH(Расходка[[#This Row],[№]],Поиск_расходки[Индекс8],0)),"")</f>
        <v/>
      </c>
      <c r="Z46" s="115" t="str">
        <f>IFERROR(INDEX(Расходка[Наименование расходного материала],MATCH(Расходка[[#This Row],[№]],Поиск_расходки[Индекс9],0)),"")</f>
        <v>DES, Calipso</v>
      </c>
      <c r="AA46" s="115" t="str">
        <f>IFERROR(INDEX(Расходка[Наименование расходного материала],MATCH(Расходка[[#This Row],[№]],Поиск_расходки[Индекс10],0)),"")</f>
        <v>DES, Calipso</v>
      </c>
      <c r="AB46" s="115" t="str">
        <f>IFERROR(INDEX(Расходка[Наименование расходного материала],MATCH(Расходка[[#This Row],[№]],Поиск_расходки[Индекс11],0)),"")</f>
        <v>DES, Calipso</v>
      </c>
      <c r="AC46" s="115" t="str">
        <f>IFERROR(INDEX(Расходка[Наименование расходного материала],MATCH(Расходка[[#This Row],[№]],Поиск_расходки[Индекс12],0)),"")</f>
        <v>DES, Calipso</v>
      </c>
      <c r="AD46" s="115" t="str">
        <f>IFERROR(INDEX(Расходка[Наименование расходного материала],MATCH(Расходка[[#This Row],[№]],Поиск_расходки[Индекс13],0)),"")</f>
        <v>DES, Calipso</v>
      </c>
      <c r="AF46" s="4" t="s">
        <v>6</v>
      </c>
      <c r="AG46" s="4" t="s">
        <v>445</v>
      </c>
    </row>
    <row r="47" spans="1:33" x14ac:dyDescent="0.25">
      <c r="A47">
        <v>46</v>
      </c>
      <c r="B47" t="s">
        <v>6</v>
      </c>
      <c r="C47" s="158" t="s">
        <v>345</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0</v>
      </c>
      <c r="G47" s="116">
        <f>IF(ISNUMBER(SEARCH('Карта учёта'!$B$15,Расходка[[#This Row],[Наименование расходного материала]])),MAX($G$1:G46)+1,0)</f>
        <v>0</v>
      </c>
      <c r="H47" s="116">
        <f>IF(ISNUMBER(SEARCH('Карта учёта'!$B$16,Расходка[[#This Row],[Наименование расходного материала]])),MAX($H$1:H46)+1,0)</f>
        <v>0</v>
      </c>
      <c r="I47" s="116">
        <f>IF(ISNUMBER(SEARCH('Карта учёта'!$B$17,Расходка[[#This Row],[Наименование расходного материала]])),MAX($I$1:I46)+1,0)</f>
        <v>0</v>
      </c>
      <c r="J47" s="116">
        <f>IF(ISNUMBER(SEARCH('Карта учёта'!$B$18,Расходка[[#This Row],[Наименование расходного материала]])),MAX($J$1:J46)+1,0)</f>
        <v>0</v>
      </c>
      <c r="K47" s="116">
        <f>IF(ISNUMBER(SEARCH('Карта учёта'!$B$19,Расходка[[#This Row],[Наименование расходного материала]])),MAX($K$1:K46)+1,0)</f>
        <v>0</v>
      </c>
      <c r="L47" s="116">
        <f>IF(ISNUMBER(SEARCH('Карта учёта'!$B$20,Расходка[[#This Row],[Наименование расходного материала]])),MAX($L$1:L46)+1,0)</f>
        <v>0</v>
      </c>
      <c r="M47" s="116">
        <f>IF(ISNUMBER(SEARCH('Карта учёта'!$B$21,Расходка[[#This Row],[Наименование расходного материала]])),MAX($M$1:M46)+1,0)</f>
        <v>46</v>
      </c>
      <c r="N47" s="116">
        <f>IF(ISNUMBER(SEARCH('Карта учёта'!$B$22,Расходка[[#This Row],[Наименование расходного материала]])),MAX($N$1:N46)+1,0)</f>
        <v>46</v>
      </c>
      <c r="O47" s="116">
        <f>IF(ISNUMBER(SEARCH('Карта учёта'!$B$23,Расходка[[#This Row],[Наименование расходного материала]])),MAX($O$1:O46)+1,0)</f>
        <v>46</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
      </c>
      <c r="T47" s="115" t="str">
        <f>IFERROR(INDEX(Расходка[Наименование расходного материала],MATCH(Расходка[[#This Row],[№]],Поиск_расходки[Индекс3],0)),"")</f>
        <v/>
      </c>
      <c r="U47" s="115" t="str">
        <f>IFERROR(INDEX(Расходка[Наименование расходного материала],MATCH(Расходка[[#This Row],[№]],Поиск_расходки[Индекс4],0)),"")</f>
        <v/>
      </c>
      <c r="V47" s="115" t="str">
        <f>IFERROR(INDEX(Расходка[Наименование расходного материала],MATCH(Расходка[[#This Row],[№]],Поиск_расходки[Индекс5],0)),"")</f>
        <v/>
      </c>
      <c r="W47" s="115" t="str">
        <f>IFERROR(INDEX(Расходка[Наименование расходного материала],MATCH(Расходка[[#This Row],[№]],Поиск_расходки[Индекс6],0)),"")</f>
        <v/>
      </c>
      <c r="X47" s="115" t="str">
        <f>IFERROR(INDEX(Расходка[Наименование расходного материала],MATCH(Расходка[[#This Row],[№]],Поиск_расходки[Индекс7],0)),"")</f>
        <v/>
      </c>
      <c r="Y47" s="115" t="str">
        <f>IFERROR(INDEX(Расходка[Наименование расходного материала],MATCH(Расходка[[#This Row],[№]],Поиск_расходки[Индекс8],0)),"")</f>
        <v/>
      </c>
      <c r="Z47" s="115" t="str">
        <f>IFERROR(INDEX(Расходка[Наименование расходного материала],MATCH(Расходка[[#This Row],[№]],Поиск_расходки[Индекс9],0)),"")</f>
        <v>DES, NanoMed</v>
      </c>
      <c r="AA47" s="115" t="str">
        <f>IFERROR(INDEX(Расходка[Наименование расходного материала],MATCH(Расходка[[#This Row],[№]],Поиск_расходки[Индекс10],0)),"")</f>
        <v>DES, NanoMed</v>
      </c>
      <c r="AB47" s="115" t="str">
        <f>IFERROR(INDEX(Расходка[Наименование расходного материала],MATCH(Расходка[[#This Row],[№]],Поиск_расходки[Индекс11],0)),"")</f>
        <v>DES, NanoMed</v>
      </c>
      <c r="AC47" s="115" t="str">
        <f>IFERROR(INDEX(Расходка[Наименование расходного материала],MATCH(Расходка[[#This Row],[№]],Поиск_расходки[Индекс12],0)),"")</f>
        <v>DES, NanoMed</v>
      </c>
      <c r="AD47" s="115" t="str">
        <f>IFERROR(INDEX(Расходка[Наименование расходного материала],MATCH(Расходка[[#This Row],[№]],Поиск_расходки[Индекс13],0)),"")</f>
        <v>DES, NanoMed</v>
      </c>
      <c r="AF47" s="4" t="s">
        <v>6</v>
      </c>
      <c r="AG47" s="4" t="s">
        <v>446</v>
      </c>
    </row>
    <row r="48" spans="1:33" x14ac:dyDescent="0.25">
      <c r="A48">
        <v>47</v>
      </c>
      <c r="B48" t="s">
        <v>6</v>
      </c>
      <c r="C48" s="131" t="s">
        <v>324</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0</v>
      </c>
      <c r="G48" s="116">
        <f>IF(ISNUMBER(SEARCH('Карта учёта'!$B$15,Расходка[[#This Row],[Наименование расходного материала]])),MAX($G$1:G47)+1,0)</f>
        <v>0</v>
      </c>
      <c r="H48" s="116">
        <f>IF(ISNUMBER(SEARCH('Карта учёта'!$B$16,Расходка[[#This Row],[Наименование расходного материала]])),MAX($H$1:H47)+1,0)</f>
        <v>0</v>
      </c>
      <c r="I48" s="116">
        <f>IF(ISNUMBER(SEARCH('Карта учёта'!$B$17,Расходка[[#This Row],[Наименование расходного материала]])),MAX($I$1:I47)+1,0)</f>
        <v>0</v>
      </c>
      <c r="J48" s="116">
        <f>IF(ISNUMBER(SEARCH('Карта учёта'!$B$18,Расходка[[#This Row],[Наименование расходного материала]])),MAX($J$1:J47)+1,0)</f>
        <v>0</v>
      </c>
      <c r="K48" s="116">
        <f>IF(ISNUMBER(SEARCH('Карта учёта'!$B$19,Расходка[[#This Row],[Наименование расходного материала]])),MAX($K$1:K47)+1,0)</f>
        <v>1</v>
      </c>
      <c r="L48" s="116">
        <f>IF(ISNUMBER(SEARCH('Карта учёта'!$B$20,Расходка[[#This Row],[Наименование расходного материала]])),MAX($L$1:L47)+1,0)</f>
        <v>1</v>
      </c>
      <c r="M48" s="116">
        <f>IF(ISNUMBER(SEARCH('Карта учёта'!$B$21,Расходка[[#This Row],[Наименование расходного материала]])),MAX($M$1:M47)+1,0)</f>
        <v>47</v>
      </c>
      <c r="N48" s="116">
        <f>IF(ISNUMBER(SEARCH('Карта учёта'!$B$22,Расходка[[#This Row],[Наименование расходного материала]])),MAX($N$1:N47)+1,0)</f>
        <v>47</v>
      </c>
      <c r="O48" s="116">
        <f>IF(ISNUMBER(SEARCH('Карта учёта'!$B$23,Расходка[[#This Row],[Наименование расходного материала]])),MAX($O$1:O47)+1,0)</f>
        <v>47</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
      </c>
      <c r="T48" s="115" t="str">
        <f>IFERROR(INDEX(Расходка[Наименование расходного материала],MATCH(Расходка[[#This Row],[№]],Поиск_расходки[Индекс3],0)),"")</f>
        <v/>
      </c>
      <c r="U48" s="115" t="str">
        <f>IFERROR(INDEX(Расходка[Наименование расходного материала],MATCH(Расходка[[#This Row],[№]],Поиск_расходки[Индекс4],0)),"")</f>
        <v/>
      </c>
      <c r="V48" s="115" t="str">
        <f>IFERROR(INDEX(Расходка[Наименование расходного материала],MATCH(Расходка[[#This Row],[№]],Поиск_расходки[Индекс5],0)),"")</f>
        <v/>
      </c>
      <c r="W48" s="115" t="str">
        <f>IFERROR(INDEX(Расходка[Наименование расходного материала],MATCH(Расходка[[#This Row],[№]],Поиск_расходки[Индекс6],0)),"")</f>
        <v/>
      </c>
      <c r="X48" s="115" t="str">
        <f>IFERROR(INDEX(Расходка[Наименование расходного материала],MATCH(Расходка[[#This Row],[№]],Поиск_расходки[Индекс7],0)),"")</f>
        <v/>
      </c>
      <c r="Y48" s="115" t="str">
        <f>IFERROR(INDEX(Расходка[Наименование расходного материала],MATCH(Расходка[[#This Row],[№]],Поиск_расходки[Индекс8],0)),"")</f>
        <v/>
      </c>
      <c r="Z48" s="115" t="str">
        <f>IFERROR(INDEX(Расходка[Наименование расходного материала],MATCH(Расходка[[#This Row],[№]],Поиск_расходки[Индекс9],0)),"")</f>
        <v>DES, Resolute Integtity</v>
      </c>
      <c r="AA48" s="115" t="str">
        <f>IFERROR(INDEX(Расходка[Наименование расходного материала],MATCH(Расходка[[#This Row],[№]],Поиск_расходки[Индекс10],0)),"")</f>
        <v>DES, Resolute Integtity</v>
      </c>
      <c r="AB48" s="115" t="str">
        <f>IFERROR(INDEX(Расходка[Наименование расходного материала],MATCH(Расходка[[#This Row],[№]],Поиск_расходки[Индекс11],0)),"")</f>
        <v>DES, Resolute Integtity</v>
      </c>
      <c r="AC48" s="115" t="str">
        <f>IFERROR(INDEX(Расходка[Наименование расходного материала],MATCH(Расходка[[#This Row],[№]],Поиск_расходки[Индекс12],0)),"")</f>
        <v>DES, Resolute Integtity</v>
      </c>
      <c r="AD48" s="115" t="str">
        <f>IFERROR(INDEX(Расходка[Наименование расходного материала],MATCH(Расходка[[#This Row],[№]],Поиск_расходки[Индекс13],0)),"")</f>
        <v>DES, Resolute Integtity</v>
      </c>
      <c r="AF48" s="4" t="s">
        <v>6</v>
      </c>
      <c r="AG48" s="4" t="s">
        <v>447</v>
      </c>
    </row>
    <row r="49" spans="1:33" x14ac:dyDescent="0.25">
      <c r="A49">
        <v>48</v>
      </c>
      <c r="B49" t="s">
        <v>6</v>
      </c>
      <c r="C49" t="s">
        <v>358</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0</v>
      </c>
      <c r="G49" s="116">
        <f>IF(ISNUMBER(SEARCH('Карта учёта'!$B$15,Расходка[[#This Row],[Наименование расходного материала]])),MAX($G$1:G48)+1,0)</f>
        <v>0</v>
      </c>
      <c r="H49" s="116">
        <f>IF(ISNUMBER(SEARCH('Карта учёта'!$B$16,Расходка[[#This Row],[Наименование расходного материала]])),MAX($H$1:H48)+1,0)</f>
        <v>0</v>
      </c>
      <c r="I49" s="116">
        <f>IF(ISNUMBER(SEARCH('Карта учёта'!$B$17,Расходка[[#This Row],[Наименование расходного материала]])),MAX($I$1:I48)+1,0)</f>
        <v>0</v>
      </c>
      <c r="J49" s="116">
        <f>IF(ISNUMBER(SEARCH('Карта учёта'!$B$18,Расходка[[#This Row],[Наименование расходного материала]])),MAX($J$1:J48)+1,0)</f>
        <v>0</v>
      </c>
      <c r="K49" s="116">
        <f>IF(ISNUMBER(SEARCH('Карта учёта'!$B$19,Расходка[[#This Row],[Наименование расходного материала]])),MAX($K$1:K48)+1,0)</f>
        <v>0</v>
      </c>
      <c r="L49" s="116">
        <f>IF(ISNUMBER(SEARCH('Карта учёта'!$B$20,Расходка[[#This Row],[Наименование расходного материала]])),MAX($L$1:L48)+1,0)</f>
        <v>0</v>
      </c>
      <c r="M49" s="116">
        <f>IF(ISNUMBER(SEARCH('Карта учёта'!$B$21,Расходка[[#This Row],[Наименование расходного материала]])),MAX($M$1:M48)+1,0)</f>
        <v>48</v>
      </c>
      <c r="N49" s="116">
        <f>IF(ISNUMBER(SEARCH('Карта учёта'!$B$22,Расходка[[#This Row],[Наименование расходного материала]])),MAX($N$1:N48)+1,0)</f>
        <v>48</v>
      </c>
      <c r="O49" s="116">
        <f>IF(ISNUMBER(SEARCH('Карта учёта'!$B$23,Расходка[[#This Row],[Наименование расходного материала]])),MAX($O$1:O48)+1,0)</f>
        <v>48</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
      </c>
      <c r="T49" s="115" t="str">
        <f>IFERROR(INDEX(Расходка[Наименование расходного материала],MATCH(Расходка[[#This Row],[№]],Поиск_расходки[Индекс3],0)),"")</f>
        <v/>
      </c>
      <c r="U49" s="115" t="str">
        <f>IFERROR(INDEX(Расходка[Наименование расходного материала],MATCH(Расходка[[#This Row],[№]],Поиск_расходки[Индекс4],0)),"")</f>
        <v/>
      </c>
      <c r="V49" s="115" t="str">
        <f>IFERROR(INDEX(Расходка[Наименование расходного материала],MATCH(Расходка[[#This Row],[№]],Поиск_расходки[Индекс5],0)),"")</f>
        <v/>
      </c>
      <c r="W49" s="115" t="str">
        <f>IFERROR(INDEX(Расходка[Наименование расходного материала],MATCH(Расходка[[#This Row],[№]],Поиск_расходки[Индекс6],0)),"")</f>
        <v/>
      </c>
      <c r="X49" s="115" t="str">
        <f>IFERROR(INDEX(Расходка[Наименование расходного материала],MATCH(Расходка[[#This Row],[№]],Поиск_расходки[Индекс7],0)),"")</f>
        <v/>
      </c>
      <c r="Y49" s="115" t="str">
        <f>IFERROR(INDEX(Расходка[Наименование расходного материала],MATCH(Расходка[[#This Row],[№]],Поиск_расходки[Индекс8],0)),"")</f>
        <v/>
      </c>
      <c r="Z49" s="115" t="str">
        <f>IFERROR(INDEX(Расходка[Наименование расходного материала],MATCH(Расходка[[#This Row],[№]],Поиск_расходки[Индекс9],0)),"")</f>
        <v>DES, Yukon Chrome PC</v>
      </c>
      <c r="AA49" s="115" t="str">
        <f>IFERROR(INDEX(Расходка[Наименование расходного материала],MATCH(Расходка[[#This Row],[№]],Поиск_расходки[Индекс10],0)),"")</f>
        <v>DES, Yukon Chrome PC</v>
      </c>
      <c r="AB49" s="115" t="str">
        <f>IFERROR(INDEX(Расходка[Наименование расходного материала],MATCH(Расходка[[#This Row],[№]],Поиск_расходки[Индекс11],0)),"")</f>
        <v>DES, Yukon Chrome PC</v>
      </c>
      <c r="AC49" s="115" t="str">
        <f>IFERROR(INDEX(Расходка[Наименование расходного материала],MATCH(Расходка[[#This Row],[№]],Поиск_расходки[Индекс12],0)),"")</f>
        <v>DES, Yukon Chrome PC</v>
      </c>
      <c r="AD49" s="115" t="str">
        <f>IFERROR(INDEX(Расходка[Наименование расходного материала],MATCH(Расходка[[#This Row],[№]],Поиск_расходки[Индекс13],0)),"")</f>
        <v>DES, Yukon Chrome PC</v>
      </c>
      <c r="AF49" s="4" t="s">
        <v>6</v>
      </c>
      <c r="AG49" s="4" t="s">
        <v>448</v>
      </c>
    </row>
    <row r="50" spans="1:33" x14ac:dyDescent="0.25">
      <c r="A50">
        <v>49</v>
      </c>
      <c r="B50" t="s">
        <v>6</v>
      </c>
      <c r="C50" s="162" t="s">
        <v>390</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0</v>
      </c>
      <c r="G50" s="116">
        <f>IF(ISNUMBER(SEARCH('Карта учёта'!$B$15,Расходка[[#This Row],[Наименование расходного материала]])),MAX($G$1:G49)+1,0)</f>
        <v>0</v>
      </c>
      <c r="H50" s="116">
        <f>IF(ISNUMBER(SEARCH('Карта учёта'!$B$16,Расходка[[#This Row],[Наименование расходного материала]])),MAX($H$1:H49)+1,0)</f>
        <v>0</v>
      </c>
      <c r="I50" s="116">
        <f>IF(ISNUMBER(SEARCH('Карта учёта'!$B$17,Расходка[[#This Row],[Наименование расходного материала]])),MAX($I$1:I49)+1,0)</f>
        <v>0</v>
      </c>
      <c r="J50" s="116">
        <f>IF(ISNUMBER(SEARCH('Карта учёта'!$B$18,Расходка[[#This Row],[Наименование расходного материала]])),MAX($J$1:J49)+1,0)</f>
        <v>0</v>
      </c>
      <c r="K50" s="116">
        <f>IF(ISNUMBER(SEARCH('Карта учёта'!$B$19,Расходка[[#This Row],[Наименование расходного материала]])),MAX($K$1:K49)+1,0)</f>
        <v>0</v>
      </c>
      <c r="L50" s="116">
        <f>IF(ISNUMBER(SEARCH('Карта учёта'!$B$20,Расходка[[#This Row],[Наименование расходного материала]])),MAX($L$1:L49)+1,0)</f>
        <v>0</v>
      </c>
      <c r="M50" s="116">
        <f>IF(ISNUMBER(SEARCH('Карта учёта'!$B$21,Расходка[[#This Row],[Наименование расходного материала]])),MAX($M$1:M49)+1,0)</f>
        <v>49</v>
      </c>
      <c r="N50" s="116">
        <f>IF(ISNUMBER(SEARCH('Карта учёта'!$B$22,Расходка[[#This Row],[Наименование расходного материала]])),MAX($N$1:N49)+1,0)</f>
        <v>49</v>
      </c>
      <c r="O50" s="116">
        <f>IF(ISNUMBER(SEARCH('Карта учёта'!$B$23,Расходка[[#This Row],[Наименование расходного материала]])),MAX($O$1:O49)+1,0)</f>
        <v>49</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
      </c>
      <c r="T50" s="115" t="str">
        <f>IFERROR(INDEX(Расходка[Наименование расходного материала],MATCH(Расходка[[#This Row],[№]],Поиск_расходки[Индекс3],0)),"")</f>
        <v/>
      </c>
      <c r="U50" s="115" t="str">
        <f>IFERROR(INDEX(Расходка[Наименование расходного материала],MATCH(Расходка[[#This Row],[№]],Поиск_расходки[Индекс4],0)),"")</f>
        <v/>
      </c>
      <c r="V50" s="115" t="str">
        <f>IFERROR(INDEX(Расходка[Наименование расходного материала],MATCH(Расходка[[#This Row],[№]],Поиск_расходки[Индекс5],0)),"")</f>
        <v/>
      </c>
      <c r="W50" s="115" t="str">
        <f>IFERROR(INDEX(Расходка[Наименование расходного материала],MATCH(Расходка[[#This Row],[№]],Поиск_расходки[Индекс6],0)),"")</f>
        <v/>
      </c>
      <c r="X50" s="115" t="str">
        <f>IFERROR(INDEX(Расходка[Наименование расходного материала],MATCH(Расходка[[#This Row],[№]],Поиск_расходки[Индекс7],0)),"")</f>
        <v/>
      </c>
      <c r="Y50" s="115" t="str">
        <f>IFERROR(INDEX(Расходка[Наименование расходного материала],MATCH(Расходка[[#This Row],[№]],Поиск_расходки[Индекс8],0)),"")</f>
        <v/>
      </c>
      <c r="Z50" s="115" t="str">
        <f>IFERROR(INDEX(Расходка[Наименование расходного материала],MATCH(Расходка[[#This Row],[№]],Поиск_расходки[Индекс9],0)),"")</f>
        <v>DES, Firehawk</v>
      </c>
      <c r="AA50" s="115" t="str">
        <f>IFERROR(INDEX(Расходка[Наименование расходного материала],MATCH(Расходка[[#This Row],[№]],Поиск_расходки[Индекс10],0)),"")</f>
        <v>DES, Firehawk</v>
      </c>
      <c r="AB50" s="115" t="str">
        <f>IFERROR(INDEX(Расходка[Наименование расходного материала],MATCH(Расходка[[#This Row],[№]],Поиск_расходки[Индекс11],0)),"")</f>
        <v>DES, Firehawk</v>
      </c>
      <c r="AC50" s="115" t="str">
        <f>IFERROR(INDEX(Расходка[Наименование расходного материала],MATCH(Расходка[[#This Row],[№]],Поиск_расходки[Индекс12],0)),"")</f>
        <v>DES, Firehawk</v>
      </c>
      <c r="AD50" s="115" t="str">
        <f>IFERROR(INDEX(Расходка[Наименование расходного материала],MATCH(Расходка[[#This Row],[№]],Поиск_расходки[Индекс13],0)),"")</f>
        <v>DES, Firehawk</v>
      </c>
      <c r="AF50" s="4" t="s">
        <v>6</v>
      </c>
      <c r="AG50" s="4" t="s">
        <v>449</v>
      </c>
    </row>
    <row r="51" spans="1:33" x14ac:dyDescent="0.25">
      <c r="A51">
        <v>50</v>
      </c>
      <c r="B51" t="s">
        <v>6</v>
      </c>
      <c r="C51" t="s">
        <v>389</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0</v>
      </c>
      <c r="G51" s="116">
        <f>IF(ISNUMBER(SEARCH('Карта учёта'!$B$15,Расходка[[#This Row],[Наименование расходного материала]])),MAX($G$1:G50)+1,0)</f>
        <v>0</v>
      </c>
      <c r="H51" s="116">
        <f>IF(ISNUMBER(SEARCH('Карта учёта'!$B$16,Расходка[[#This Row],[Наименование расходного материала]])),MAX($H$1:H50)+1,0)</f>
        <v>0</v>
      </c>
      <c r="I51" s="116">
        <f>IF(ISNUMBER(SEARCH('Карта учёта'!$B$17,Расходка[[#This Row],[Наименование расходного материала]])),MAX($I$1:I50)+1,0)</f>
        <v>0</v>
      </c>
      <c r="J51" s="116">
        <f>IF(ISNUMBER(SEARCH('Карта учёта'!$B$18,Расходка[[#This Row],[Наименование расходного материала]])),MAX($J$1:J50)+1,0)</f>
        <v>0</v>
      </c>
      <c r="K51" s="116">
        <f>IF(ISNUMBER(SEARCH('Карта учёта'!$B$19,Расходка[[#This Row],[Наименование расходного материала]])),MAX($K$1:K50)+1,0)</f>
        <v>0</v>
      </c>
      <c r="L51" s="116">
        <f>IF(ISNUMBER(SEARCH('Карта учёта'!$B$20,Расходка[[#This Row],[Наименование расходного материала]])),MAX($L$1:L50)+1,0)</f>
        <v>0</v>
      </c>
      <c r="M51" s="116">
        <f>IF(ISNUMBER(SEARCH('Карта учёта'!$B$21,Расходка[[#This Row],[Наименование расходного материала]])),MAX($M$1:M50)+1,0)</f>
        <v>50</v>
      </c>
      <c r="N51" s="116">
        <f>IF(ISNUMBER(SEARCH('Карта учёта'!$B$22,Расходка[[#This Row],[Наименование расходного материала]])),MAX($N$1:N50)+1,0)</f>
        <v>50</v>
      </c>
      <c r="O51" s="116">
        <f>IF(ISNUMBER(SEARCH('Карта учёта'!$B$23,Расходка[[#This Row],[Наименование расходного материала]])),MAX($O$1:O50)+1,0)</f>
        <v>50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
      </c>
      <c r="T51" s="115" t="str">
        <f>IFERROR(INDEX(Расходка[Наименование расходного материала],MATCH(Расходка[[#This Row],[№]],Поиск_расходки[Индекс3],0)),"")</f>
        <v/>
      </c>
      <c r="U51" s="115" t="str">
        <f>IFERROR(INDEX(Расходка[Наименование расходного материала],MATCH(Расходка[[#This Row],[№]],Поиск_расходки[Индекс4],0)),"")</f>
        <v/>
      </c>
      <c r="V51" s="115" t="str">
        <f>IFERROR(INDEX(Расходка[Наименование расходного материала],MATCH(Расходка[[#This Row],[№]],Поиск_расходки[Индекс5],0)),"")</f>
        <v/>
      </c>
      <c r="W51" s="115" t="str">
        <f>IFERROR(INDEX(Расходка[Наименование расходного материала],MATCH(Расходка[[#This Row],[№]],Поиск_расходки[Индекс6],0)),"")</f>
        <v/>
      </c>
      <c r="X51" s="115" t="str">
        <f>IFERROR(INDEX(Расходка[Наименование расходного материала],MATCH(Расходка[[#This Row],[№]],Поиск_расходки[Индекс7],0)),"")</f>
        <v/>
      </c>
      <c r="Y51" s="115" t="str">
        <f>IFERROR(INDEX(Расходка[Наименование расходного материала],MATCH(Расходка[[#This Row],[№]],Поиск_расходки[Индекс8],0)),"")</f>
        <v/>
      </c>
      <c r="Z51" s="115" t="str">
        <f>IFERROR(INDEX(Расходка[Наименование расходного материала],MATCH(Расходка[[#This Row],[№]],Поиск_расходки[Индекс9],0)),"")</f>
        <v>DES, Resolute Onyx</v>
      </c>
      <c r="AA51" s="115" t="str">
        <f>IFERROR(INDEX(Расходка[Наименование расходного материала],MATCH(Расходка[[#This Row],[№]],Поиск_расходки[Индекс10],0)),"")</f>
        <v>DES, Resolute Onyx</v>
      </c>
      <c r="AB51" s="115" t="str">
        <f>IFERROR(INDEX(Расходка[Наименование расходного материала],MATCH(Расходка[[#This Row],[№]],Поиск_расходки[Индекс11],0)),"")</f>
        <v>DES, Resolute Onyx</v>
      </c>
      <c r="AC51" s="115" t="str">
        <f>IFERROR(INDEX(Расходка[Наименование расходного материала],MATCH(Расходка[[#This Row],[№]],Поиск_расходки[Индекс12],0)),"")</f>
        <v>DES, Resolute Onyx</v>
      </c>
      <c r="AD51" s="115" t="str">
        <f>IFERROR(INDEX(Расходка[Наименование расходного материала],MATCH(Расходка[[#This Row],[№]],Поиск_расходки[Индекс13],0)),"")</f>
        <v>DES, Resolute Onyx</v>
      </c>
      <c r="AF51" s="4" t="s">
        <v>6</v>
      </c>
      <c r="AG51" s="4" t="s">
        <v>450</v>
      </c>
    </row>
    <row r="52" spans="1:33" x14ac:dyDescent="0.25">
      <c r="A52">
        <v>51</v>
      </c>
      <c r="B52" t="s">
        <v>95</v>
      </c>
      <c r="C52" s="1" t="s">
        <v>325</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0</v>
      </c>
      <c r="G52" s="116">
        <f>IF(ISNUMBER(SEARCH('Карта учёта'!$B$15,Расходка[[#This Row],[Наименование расходного материала]])),MAX($G$1:G51)+1,0)</f>
        <v>0</v>
      </c>
      <c r="H52" s="116">
        <f>IF(ISNUMBER(SEARCH('Карта учёта'!$B$16,Расходка[[#This Row],[Наименование расходного материала]])),MAX($H$1:H51)+1,0)</f>
        <v>0</v>
      </c>
      <c r="I52" s="116">
        <f>IF(ISNUMBER(SEARCH('Карта учёта'!$B$17,Расходка[[#This Row],[Наименование расходного материала]])),MAX($I$1:I51)+1,0)</f>
        <v>0</v>
      </c>
      <c r="J52" s="116">
        <f>IF(ISNUMBER(SEARCH('Карта учёта'!$B$18,Расходка[[#This Row],[Наименование расходного материала]])),MAX($J$1:J51)+1,0)</f>
        <v>0</v>
      </c>
      <c r="K52" s="116">
        <f>IF(ISNUMBER(SEARCH('Карта учёта'!$B$19,Расходка[[#This Row],[Наименование расходного материала]])),MAX($K$1:K51)+1,0)</f>
        <v>0</v>
      </c>
      <c r="L52" s="116">
        <f>IF(ISNUMBER(SEARCH('Карта учёта'!$B$20,Расходка[[#This Row],[Наименование расходного материала]])),MAX($L$1:L51)+1,0)</f>
        <v>0</v>
      </c>
      <c r="M52" s="116">
        <f>IF(ISNUMBER(SEARCH('Карта учёта'!$B$21,Расходка[[#This Row],[Наименование расходного материала]])),MAX($M$1:M51)+1,0)</f>
        <v>51</v>
      </c>
      <c r="N52" s="116">
        <f>IF(ISNUMBER(SEARCH('Карта учёта'!$B$22,Расходка[[#This Row],[Наименование расходного материала]])),MAX($N$1:N51)+1,0)</f>
        <v>51</v>
      </c>
      <c r="O52" s="116">
        <f>IF(ISNUMBER(SEARCH('Карта учёта'!$B$23,Расходка[[#This Row],[Наименование расходного материала]])),MAX($O$1:O51)+1,0)</f>
        <v>51</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
      </c>
      <c r="T52" s="115" t="str">
        <f>IFERROR(INDEX(Расходка[Наименование расходного материала],MATCH(Расходка[[#This Row],[№]],Поиск_расходки[Индекс3],0)),"")</f>
        <v/>
      </c>
      <c r="U52" s="115" t="str">
        <f>IFERROR(INDEX(Расходка[Наименование расходного материала],MATCH(Расходка[[#This Row],[№]],Поиск_расходки[Индекс4],0)),"")</f>
        <v/>
      </c>
      <c r="V52" s="115" t="str">
        <f>IFERROR(INDEX(Расходка[Наименование расходного материала],MATCH(Расходка[[#This Row],[№]],Поиск_расходки[Индекс5],0)),"")</f>
        <v/>
      </c>
      <c r="W52" s="115" t="str">
        <f>IFERROR(INDEX(Расходка[Наименование расходного материала],MATCH(Расходка[[#This Row],[№]],Поиск_расходки[Индекс6],0)),"")</f>
        <v/>
      </c>
      <c r="X52" s="115" t="str">
        <f>IFERROR(INDEX(Расходка[Наименование расходного материала],MATCH(Расходка[[#This Row],[№]],Поиск_расходки[Индекс7],0)),"")</f>
        <v/>
      </c>
      <c r="Y52" s="115" t="str">
        <f>IFERROR(INDEX(Расходка[Наименование расходного материала],MATCH(Расходка[[#This Row],[№]],Поиск_расходки[Индекс8],0)),"")</f>
        <v/>
      </c>
      <c r="Z52" s="115" t="str">
        <f>IFERROR(INDEX(Расходка[Наименование расходного материала],MATCH(Расходка[[#This Row],[№]],Поиск_расходки[Индекс9],0)),"")</f>
        <v>Guidezilla™ II 6F</v>
      </c>
      <c r="AA52" s="115" t="str">
        <f>IFERROR(INDEX(Расходка[Наименование расходного материала],MATCH(Расходка[[#This Row],[№]],Поиск_расходки[Индекс10],0)),"")</f>
        <v>Guidezilla™ II 6F</v>
      </c>
      <c r="AB52" s="115" t="str">
        <f>IFERROR(INDEX(Расходка[Наименование расходного материала],MATCH(Расходка[[#This Row],[№]],Поиск_расходки[Индекс11],0)),"")</f>
        <v>Guidezilla™ II 6F</v>
      </c>
      <c r="AC52" s="115" t="str">
        <f>IFERROR(INDEX(Расходка[Наименование расходного материала],MATCH(Расходка[[#This Row],[№]],Поиск_расходки[Индекс12],0)),"")</f>
        <v>Guidezilla™ II 6F</v>
      </c>
      <c r="AD52" s="115" t="str">
        <f>IFERROR(INDEX(Расходка[Наименование расходного материала],MATCH(Расходка[[#This Row],[№]],Поиск_расходки[Индекс13],0)),"")</f>
        <v>Guidezilla™ II 6F</v>
      </c>
      <c r="AF52" s="4" t="s">
        <v>6</v>
      </c>
      <c r="AG52" s="4" t="s">
        <v>451</v>
      </c>
    </row>
    <row r="53" spans="1:33" x14ac:dyDescent="0.25">
      <c r="A53">
        <v>52</v>
      </c>
      <c r="B53" t="s">
        <v>95</v>
      </c>
      <c r="C53" s="1" t="s">
        <v>344</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0</v>
      </c>
      <c r="G53" s="116">
        <f>IF(ISNUMBER(SEARCH('Карта учёта'!$B$15,Расходка[[#This Row],[Наименование расходного материала]])),MAX($G$1:G52)+1,0)</f>
        <v>0</v>
      </c>
      <c r="H53" s="116">
        <f>IF(ISNUMBER(SEARCH('Карта учёта'!$B$16,Расходка[[#This Row],[Наименование расходного материала]])),MAX($H$1:H52)+1,0)</f>
        <v>0</v>
      </c>
      <c r="I53" s="116">
        <f>IF(ISNUMBER(SEARCH('Карта учёта'!$B$17,Расходка[[#This Row],[Наименование расходного материала]])),MAX($I$1:I52)+1,0)</f>
        <v>0</v>
      </c>
      <c r="J53" s="116">
        <f>IF(ISNUMBER(SEARCH('Карта учёта'!$B$18,Расходка[[#This Row],[Наименование расходного материала]])),MAX($J$1:J52)+1,0)</f>
        <v>0</v>
      </c>
      <c r="K53" s="116">
        <f>IF(ISNUMBER(SEARCH('Карта учёта'!$B$19,Расходка[[#This Row],[Наименование расходного материала]])),MAX($K$1:K52)+1,0)</f>
        <v>0</v>
      </c>
      <c r="L53" s="116">
        <f>IF(ISNUMBER(SEARCH('Карта учёта'!$B$20,Расходка[[#This Row],[Наименование расходного материала]])),MAX($L$1:L52)+1,0)</f>
        <v>0</v>
      </c>
      <c r="M53" s="116">
        <f>IF(ISNUMBER(SEARCH('Карта учёта'!$B$21,Расходка[[#This Row],[Наименование расходного материала]])),MAX($M$1:M52)+1,0)</f>
        <v>52</v>
      </c>
      <c r="N53" s="116">
        <f>IF(ISNUMBER(SEARCH('Карта учёта'!$B$22,Расходка[[#This Row],[Наименование расходного материала]])),MAX($N$1:N52)+1,0)</f>
        <v>52</v>
      </c>
      <c r="O53" s="116">
        <f>IF(ISNUMBER(SEARCH('Карта учёта'!$B$23,Расходка[[#This Row],[Наименование расходного материала]])),MAX($O$1:O52)+1,0)</f>
        <v>52</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
      </c>
      <c r="T53" s="115" t="str">
        <f>IFERROR(INDEX(Расходка[Наименование расходного материала],MATCH(Расходка[[#This Row],[№]],Поиск_расходки[Индекс3],0)),"")</f>
        <v/>
      </c>
      <c r="U53" s="115" t="str">
        <f>IFERROR(INDEX(Расходка[Наименование расходного материала],MATCH(Расходка[[#This Row],[№]],Поиск_расходки[Индекс4],0)),"")</f>
        <v/>
      </c>
      <c r="V53" s="115" t="str">
        <f>IFERROR(INDEX(Расходка[Наименование расходного материала],MATCH(Расходка[[#This Row],[№]],Поиск_расходки[Индекс5],0)),"")</f>
        <v/>
      </c>
      <c r="W53" s="115" t="str">
        <f>IFERROR(INDEX(Расходка[Наименование расходного материала],MATCH(Расходка[[#This Row],[№]],Поиск_расходки[Индекс6],0)),"")</f>
        <v/>
      </c>
      <c r="X53" s="115" t="str">
        <f>IFERROR(INDEX(Расходка[Наименование расходного материала],MATCH(Расходка[[#This Row],[№]],Поиск_расходки[Индекс7],0)),"")</f>
        <v/>
      </c>
      <c r="Y53" s="115" t="str">
        <f>IFERROR(INDEX(Расходка[Наименование расходного материала],MATCH(Расходка[[#This Row],[№]],Поиск_расходки[Индекс8],0)),"")</f>
        <v/>
      </c>
      <c r="Z53" s="115" t="str">
        <f>IFERROR(INDEX(Расходка[Наименование расходного материала],MATCH(Расходка[[#This Row],[№]],Поиск_расходки[Индекс9],0)),"")</f>
        <v>Telescope ™ II 6F</v>
      </c>
      <c r="AA53" s="115" t="str">
        <f>IFERROR(INDEX(Расходка[Наименование расходного материала],MATCH(Расходка[[#This Row],[№]],Поиск_расходки[Индекс10],0)),"")</f>
        <v>Telescope ™ II 6F</v>
      </c>
      <c r="AB53" s="115" t="str">
        <f>IFERROR(INDEX(Расходка[Наименование расходного материала],MATCH(Расходка[[#This Row],[№]],Поиск_расходки[Индекс11],0)),"")</f>
        <v>Telescope ™ II 6F</v>
      </c>
      <c r="AC53" s="115" t="str">
        <f>IFERROR(INDEX(Расходка[Наименование расходного материала],MATCH(Расходка[[#This Row],[№]],Поиск_расходки[Индекс12],0)),"")</f>
        <v>Telescope ™ II 6F</v>
      </c>
      <c r="AD53" s="115" t="str">
        <f>IFERROR(INDEX(Расходка[Наименование расходного материала],MATCH(Расходка[[#This Row],[№]],Поиск_расходки[Индекс13],0)),"")</f>
        <v>Telescope ™ II 6F</v>
      </c>
      <c r="AF53" s="4" t="s">
        <v>6</v>
      </c>
      <c r="AG53" s="4" t="s">
        <v>452</v>
      </c>
    </row>
    <row r="54" spans="1:33" x14ac:dyDescent="0.25">
      <c r="A54">
        <v>53</v>
      </c>
      <c r="B54" t="s">
        <v>4</v>
      </c>
      <c r="C54" t="s">
        <v>351</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0</v>
      </c>
      <c r="G54" s="116">
        <f>IF(ISNUMBER(SEARCH('Карта учёта'!$B$15,Расходка[[#This Row],[Наименование расходного материала]])),MAX($G$1:G53)+1,0)</f>
        <v>0</v>
      </c>
      <c r="H54" s="116">
        <f>IF(ISNUMBER(SEARCH('Карта учёта'!$B$16,Расходка[[#This Row],[Наименование расходного материала]])),MAX($H$1:H53)+1,0)</f>
        <v>0</v>
      </c>
      <c r="I54" s="116">
        <f>IF(ISNUMBER(SEARCH('Карта учёта'!$B$17,Расходка[[#This Row],[Наименование расходного материала]])),MAX($I$1:I53)+1,0)</f>
        <v>0</v>
      </c>
      <c r="J54" s="116">
        <f>IF(ISNUMBER(SEARCH('Карта учёта'!$B$18,Расходка[[#This Row],[Наименование расходного материала]])),MAX($J$1:J53)+1,0)</f>
        <v>0</v>
      </c>
      <c r="K54" s="116">
        <f>IF(ISNUMBER(SEARCH('Карта учёта'!$B$19,Расходка[[#This Row],[Наименование расходного материала]])),MAX($K$1:K53)+1,0)</f>
        <v>0</v>
      </c>
      <c r="L54" s="116">
        <f>IF(ISNUMBER(SEARCH('Карта учёта'!$B$20,Расходка[[#This Row],[Наименование расходного материала]])),MAX($L$1:L53)+1,0)</f>
        <v>0</v>
      </c>
      <c r="M54" s="116">
        <f>IF(ISNUMBER(SEARCH('Карта учёта'!$B$21,Расходка[[#This Row],[Наименование расходного материала]])),MAX($M$1:M53)+1,0)</f>
        <v>53</v>
      </c>
      <c r="N54" s="116">
        <f>IF(ISNUMBER(SEARCH('Карта учёта'!$B$22,Расходка[[#This Row],[Наименование расходного материала]])),MAX($N$1:N53)+1,0)</f>
        <v>53</v>
      </c>
      <c r="O54" s="116">
        <f>IF(ISNUMBER(SEARCH('Карта учёта'!$B$23,Расходка[[#This Row],[Наименование расходного материала]])),MAX($O$1:O53)+1,0)</f>
        <v>53</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
      </c>
      <c r="T54" s="115" t="str">
        <f>IFERROR(INDEX(Расходка[Наименование расходного материала],MATCH(Расходка[[#This Row],[№]],Поиск_расходки[Индекс3],0)),"")</f>
        <v/>
      </c>
      <c r="U54" s="115" t="str">
        <f>IFERROR(INDEX(Расходка[Наименование расходного материала],MATCH(Расходка[[#This Row],[№]],Поиск_расходки[Индекс4],0)),"")</f>
        <v/>
      </c>
      <c r="V54" s="115" t="str">
        <f>IFERROR(INDEX(Расходка[Наименование расходного материала],MATCH(Расходка[[#This Row],[№]],Поиск_расходки[Индекс5],0)),"")</f>
        <v/>
      </c>
      <c r="W54" s="115" t="str">
        <f>IFERROR(INDEX(Расходка[Наименование расходного материала],MATCH(Расходка[[#This Row],[№]],Поиск_расходки[Индекс6],0)),"")</f>
        <v/>
      </c>
      <c r="X54" s="115" t="str">
        <f>IFERROR(INDEX(Расходка[Наименование расходного материала],MATCH(Расходка[[#This Row],[№]],Поиск_расходки[Индекс7],0)),"")</f>
        <v/>
      </c>
      <c r="Y54" s="115" t="str">
        <f>IFERROR(INDEX(Расходка[Наименование расходного материала],MATCH(Расходка[[#This Row],[№]],Поиск_расходки[Индекс8],0)),"")</f>
        <v/>
      </c>
      <c r="Z54" s="115" t="str">
        <f>IFERROR(INDEX(Расходка[Наименование расходного материала],MATCH(Расходка[[#This Row],[№]],Поиск_расходки[Индекс9],0)),"")</f>
        <v>Launcher 6F AL 1</v>
      </c>
      <c r="AA54" s="115" t="str">
        <f>IFERROR(INDEX(Расходка[Наименование расходного материала],MATCH(Расходка[[#This Row],[№]],Поиск_расходки[Индекс10],0)),"")</f>
        <v>Launcher 6F AL 1</v>
      </c>
      <c r="AB54" s="115" t="str">
        <f>IFERROR(INDEX(Расходка[Наименование расходного материала],MATCH(Расходка[[#This Row],[№]],Поиск_расходки[Индекс11],0)),"")</f>
        <v>Launcher 6F AL 1</v>
      </c>
      <c r="AC54" s="115" t="str">
        <f>IFERROR(INDEX(Расходка[Наименование расходного материала],MATCH(Расходка[[#This Row],[№]],Поиск_расходки[Индекс12],0)),"")</f>
        <v>Launcher 6F AL 1</v>
      </c>
      <c r="AD54" s="115" t="str">
        <f>IFERROR(INDEX(Расходка[Наименование расходного материала],MATCH(Расходка[[#This Row],[№]],Поиск_расходки[Индекс13],0)),"")</f>
        <v>Launcher 6F AL 1</v>
      </c>
      <c r="AF54" s="4" t="s">
        <v>6</v>
      </c>
      <c r="AG54" s="4" t="s">
        <v>453</v>
      </c>
    </row>
    <row r="55" spans="1:33" x14ac:dyDescent="0.25">
      <c r="A55">
        <v>54</v>
      </c>
      <c r="B55" t="s">
        <v>4</v>
      </c>
      <c r="C55" t="s">
        <v>352</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0</v>
      </c>
      <c r="G55" s="116">
        <f>IF(ISNUMBER(SEARCH('Карта учёта'!$B$15,Расходка[[#This Row],[Наименование расходного материала]])),MAX($G$1:G54)+1,0)</f>
        <v>0</v>
      </c>
      <c r="H55" s="116">
        <f>IF(ISNUMBER(SEARCH('Карта учёта'!$B$16,Расходка[[#This Row],[Наименование расходного материала]])),MAX($H$1:H54)+1,0)</f>
        <v>0</v>
      </c>
      <c r="I55" s="116">
        <f>IF(ISNUMBER(SEARCH('Карта учёта'!$B$17,Расходка[[#This Row],[Наименование расходного материала]])),MAX($I$1:I54)+1,0)</f>
        <v>0</v>
      </c>
      <c r="J55" s="116">
        <f>IF(ISNUMBER(SEARCH('Карта учёта'!$B$18,Расходка[[#This Row],[Наименование расходного материала]])),MAX($J$1:J54)+1,0)</f>
        <v>0</v>
      </c>
      <c r="K55" s="116">
        <f>IF(ISNUMBER(SEARCH('Карта учёта'!$B$19,Расходка[[#This Row],[Наименование расходного материала]])),MAX($K$1:K54)+1,0)</f>
        <v>0</v>
      </c>
      <c r="L55" s="116">
        <f>IF(ISNUMBER(SEARCH('Карта учёта'!$B$20,Расходка[[#This Row],[Наименование расходного материала]])),MAX($L$1:L54)+1,0)</f>
        <v>0</v>
      </c>
      <c r="M55" s="116">
        <f>IF(ISNUMBER(SEARCH('Карта учёта'!$B$21,Расходка[[#This Row],[Наименование расходного материала]])),MAX($M$1:M54)+1,0)</f>
        <v>54</v>
      </c>
      <c r="N55" s="116">
        <f>IF(ISNUMBER(SEARCH('Карта учёта'!$B$22,Расходка[[#This Row],[Наименование расходного материала]])),MAX($N$1:N54)+1,0)</f>
        <v>54</v>
      </c>
      <c r="O55" s="116">
        <f>IF(ISNUMBER(SEARCH('Карта учёта'!$B$23,Расходка[[#This Row],[Наименование расходного материала]])),MAX($O$1:O54)+1,0)</f>
        <v>54</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
      </c>
      <c r="T55" s="115" t="str">
        <f>IFERROR(INDEX(Расходка[Наименование расходного материала],MATCH(Расходка[[#This Row],[№]],Поиск_расходки[Индекс3],0)),"")</f>
        <v/>
      </c>
      <c r="U55" s="115" t="str">
        <f>IFERROR(INDEX(Расходка[Наименование расходного материала],MATCH(Расходка[[#This Row],[№]],Поиск_расходки[Индекс4],0)),"")</f>
        <v/>
      </c>
      <c r="V55" s="115" t="str">
        <f>IFERROR(INDEX(Расходка[Наименование расходного материала],MATCH(Расходка[[#This Row],[№]],Поиск_расходки[Индекс5],0)),"")</f>
        <v/>
      </c>
      <c r="W55" s="115" t="str">
        <f>IFERROR(INDEX(Расходка[Наименование расходного материала],MATCH(Расходка[[#This Row],[№]],Поиск_расходки[Индекс6],0)),"")</f>
        <v/>
      </c>
      <c r="X55" s="115" t="str">
        <f>IFERROR(INDEX(Расходка[Наименование расходного материала],MATCH(Расходка[[#This Row],[№]],Поиск_расходки[Индекс7],0)),"")</f>
        <v/>
      </c>
      <c r="Y55" s="115" t="str">
        <f>IFERROR(INDEX(Расходка[Наименование расходного материала],MATCH(Расходка[[#This Row],[№]],Поиск_расходки[Индекс8],0)),"")</f>
        <v/>
      </c>
      <c r="Z55" s="115" t="str">
        <f>IFERROR(INDEX(Расходка[Наименование расходного материала],MATCH(Расходка[[#This Row],[№]],Поиск_расходки[Индекс9],0)),"")</f>
        <v>Launcher 6F AL 2</v>
      </c>
      <c r="AA55" s="115" t="str">
        <f>IFERROR(INDEX(Расходка[Наименование расходного материала],MATCH(Расходка[[#This Row],[№]],Поиск_расходки[Индекс10],0)),"")</f>
        <v>Launcher 6F AL 2</v>
      </c>
      <c r="AB55" s="115" t="str">
        <f>IFERROR(INDEX(Расходка[Наименование расходного материала],MATCH(Расходка[[#This Row],[№]],Поиск_расходки[Индекс11],0)),"")</f>
        <v>Launcher 6F AL 2</v>
      </c>
      <c r="AC55" s="115" t="str">
        <f>IFERROR(INDEX(Расходка[Наименование расходного материала],MATCH(Расходка[[#This Row],[№]],Поиск_расходки[Индекс12],0)),"")</f>
        <v>Launcher 6F AL 2</v>
      </c>
      <c r="AD55" s="115" t="str">
        <f>IFERROR(INDEX(Расходка[Наименование расходного материала],MATCH(Расходка[[#This Row],[№]],Поиск_расходки[Индекс13],0)),"")</f>
        <v>Launcher 6F AL 2</v>
      </c>
      <c r="AF55" s="4" t="s">
        <v>6</v>
      </c>
      <c r="AG55" s="4" t="s">
        <v>454</v>
      </c>
    </row>
    <row r="56" spans="1:33" x14ac:dyDescent="0.25">
      <c r="A56">
        <v>55</v>
      </c>
      <c r="B56" t="s">
        <v>4</v>
      </c>
      <c r="C56" t="s">
        <v>326</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1</v>
      </c>
      <c r="G56" s="116">
        <f>IF(ISNUMBER(SEARCH('Карта учёта'!$B$15,Расходка[[#This Row],[Наименование расходного материала]])),MAX($G$1:G55)+1,0)</f>
        <v>0</v>
      </c>
      <c r="H56" s="116">
        <f>IF(ISNUMBER(SEARCH('Карта учёта'!$B$16,Расходка[[#This Row],[Наименование расходного материала]])),MAX($H$1:H55)+1,0)</f>
        <v>0</v>
      </c>
      <c r="I56" s="116">
        <f>IF(ISNUMBER(SEARCH('Карта учёта'!$B$17,Расходка[[#This Row],[Наименование расходного материала]])),MAX($I$1:I55)+1,0)</f>
        <v>0</v>
      </c>
      <c r="J56" s="116">
        <f>IF(ISNUMBER(SEARCH('Карта учёта'!$B$18,Расходка[[#This Row],[Наименование расходного материала]])),MAX($J$1:J55)+1,0)</f>
        <v>0</v>
      </c>
      <c r="K56" s="116">
        <f>IF(ISNUMBER(SEARCH('Карта учёта'!$B$19,Расходка[[#This Row],[Наименование расходного материала]])),MAX($K$1:K55)+1,0)</f>
        <v>0</v>
      </c>
      <c r="L56" s="116">
        <f>IF(ISNUMBER(SEARCH('Карта учёта'!$B$20,Расходка[[#This Row],[Наименование расходного материала]])),MAX($L$1:L55)+1,0)</f>
        <v>0</v>
      </c>
      <c r="M56" s="116">
        <f>IF(ISNUMBER(SEARCH('Карта учёта'!$B$21,Расходка[[#This Row],[Наименование расходного материала]])),MAX($M$1:M55)+1,0)</f>
        <v>55</v>
      </c>
      <c r="N56" s="116">
        <f>IF(ISNUMBER(SEARCH('Карта учёта'!$B$22,Расходка[[#This Row],[Наименование расходного материала]])),MAX($N$1:N55)+1,0)</f>
        <v>55</v>
      </c>
      <c r="O56" s="116">
        <f>IF(ISNUMBER(SEARCH('Карта учёта'!$B$23,Расходка[[#This Row],[Наименование расходного материала]])),MAX($O$1:O55)+1,0)</f>
        <v>55</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
      </c>
      <c r="T56" s="115" t="str">
        <f>IFERROR(INDEX(Расходка[Наименование расходного материала],MATCH(Расходка[[#This Row],[№]],Поиск_расходки[Индекс3],0)),"")</f>
        <v/>
      </c>
      <c r="U56" s="115" t="str">
        <f>IFERROR(INDEX(Расходка[Наименование расходного материала],MATCH(Расходка[[#This Row],[№]],Поиск_расходки[Индекс4],0)),"")</f>
        <v/>
      </c>
      <c r="V56" s="115" t="str">
        <f>IFERROR(INDEX(Расходка[Наименование расходного материала],MATCH(Расходка[[#This Row],[№]],Поиск_расходки[Индекс5],0)),"")</f>
        <v/>
      </c>
      <c r="W56" s="115" t="str">
        <f>IFERROR(INDEX(Расходка[Наименование расходного материала],MATCH(Расходка[[#This Row],[№]],Поиск_расходки[Индекс6],0)),"")</f>
        <v/>
      </c>
      <c r="X56" s="115" t="str">
        <f>IFERROR(INDEX(Расходка[Наименование расходного материала],MATCH(Расходка[[#This Row],[№]],Поиск_расходки[Индекс7],0)),"")</f>
        <v/>
      </c>
      <c r="Y56" s="115" t="str">
        <f>IFERROR(INDEX(Расходка[Наименование расходного материала],MATCH(Расходка[[#This Row],[№]],Поиск_расходки[Индекс8],0)),"")</f>
        <v/>
      </c>
      <c r="Z56" s="115" t="str">
        <f>IFERROR(INDEX(Расходка[Наименование расходного материала],MATCH(Расходка[[#This Row],[№]],Поиск_расходки[Индекс9],0)),"")</f>
        <v>Launcher 6F EBU 3.5</v>
      </c>
      <c r="AA56" s="115" t="str">
        <f>IFERROR(INDEX(Расходка[Наименование расходного материала],MATCH(Расходка[[#This Row],[№]],Поиск_расходки[Индекс10],0)),"")</f>
        <v>Launcher 6F EBU 3.5</v>
      </c>
      <c r="AB56" s="115" t="str">
        <f>IFERROR(INDEX(Расходка[Наименование расходного материала],MATCH(Расходка[[#This Row],[№]],Поиск_расходки[Индекс11],0)),"")</f>
        <v>Launcher 6F EBU 3.5</v>
      </c>
      <c r="AC56" s="115" t="str">
        <f>IFERROR(INDEX(Расходка[Наименование расходного материала],MATCH(Расходка[[#This Row],[№]],Поиск_расходки[Индекс12],0)),"")</f>
        <v>Launcher 6F EBU 3.5</v>
      </c>
      <c r="AD56" s="115" t="str">
        <f>IFERROR(INDEX(Расходка[Наименование расходного материала],MATCH(Расходка[[#This Row],[№]],Поиск_расходки[Индекс13],0)),"")</f>
        <v>Launcher 6F EBU 3.5</v>
      </c>
      <c r="AF56" s="4" t="s">
        <v>6</v>
      </c>
      <c r="AG56" s="4" t="s">
        <v>455</v>
      </c>
    </row>
    <row r="57" spans="1:33" x14ac:dyDescent="0.25">
      <c r="A57">
        <v>56</v>
      </c>
      <c r="B57" t="s">
        <v>4</v>
      </c>
      <c r="C57" t="s">
        <v>327</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0</v>
      </c>
      <c r="G57" s="116">
        <f>IF(ISNUMBER(SEARCH('Карта учёта'!$B$15,Расходка[[#This Row],[Наименование расходного материала]])),MAX($G$1:G56)+1,0)</f>
        <v>0</v>
      </c>
      <c r="H57" s="116">
        <f>IF(ISNUMBER(SEARCH('Карта учёта'!$B$16,Расходка[[#This Row],[Наименование расходного материала]])),MAX($H$1:H56)+1,0)</f>
        <v>0</v>
      </c>
      <c r="I57" s="116">
        <f>IF(ISNUMBER(SEARCH('Карта учёта'!$B$17,Расходка[[#This Row],[Наименование расходного материала]])),MAX($I$1:I56)+1,0)</f>
        <v>0</v>
      </c>
      <c r="J57" s="116">
        <f>IF(ISNUMBER(SEARCH('Карта учёта'!$B$18,Расходка[[#This Row],[Наименование расходного материала]])),MAX($J$1:J56)+1,0)</f>
        <v>0</v>
      </c>
      <c r="K57" s="116">
        <f>IF(ISNUMBER(SEARCH('Карта учёта'!$B$19,Расходка[[#This Row],[Наименование расходного материала]])),MAX($K$1:K56)+1,0)</f>
        <v>0</v>
      </c>
      <c r="L57" s="116">
        <f>IF(ISNUMBER(SEARCH('Карта учёта'!$B$20,Расходка[[#This Row],[Наименование расходного материала]])),MAX($L$1:L56)+1,0)</f>
        <v>0</v>
      </c>
      <c r="M57" s="116">
        <f>IF(ISNUMBER(SEARCH('Карта учёта'!$B$21,Расходка[[#This Row],[Наименование расходного материала]])),MAX($M$1:M56)+1,0)</f>
        <v>56</v>
      </c>
      <c r="N57" s="116">
        <f>IF(ISNUMBER(SEARCH('Карта учёта'!$B$22,Расходка[[#This Row],[Наименование расходного материала]])),MAX($N$1:N56)+1,0)</f>
        <v>56</v>
      </c>
      <c r="O57" s="116">
        <f>IF(ISNUMBER(SEARCH('Карта учёта'!$B$23,Расходка[[#This Row],[Наименование расходного материала]])),MAX($O$1:O56)+1,0)</f>
        <v>56</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
      </c>
      <c r="T57" s="115" t="str">
        <f>IFERROR(INDEX(Расходка[Наименование расходного материала],MATCH(Расходка[[#This Row],[№]],Поиск_расходки[Индекс3],0)),"")</f>
        <v/>
      </c>
      <c r="U57" s="115" t="str">
        <f>IFERROR(INDEX(Расходка[Наименование расходного материала],MATCH(Расходка[[#This Row],[№]],Поиск_расходки[Индекс4],0)),"")</f>
        <v/>
      </c>
      <c r="V57" s="115" t="str">
        <f>IFERROR(INDEX(Расходка[Наименование расходного материала],MATCH(Расходка[[#This Row],[№]],Поиск_расходки[Индекс5],0)),"")</f>
        <v/>
      </c>
      <c r="W57" s="115" t="str">
        <f>IFERROR(INDEX(Расходка[Наименование расходного материала],MATCH(Расходка[[#This Row],[№]],Поиск_расходки[Индекс6],0)),"")</f>
        <v/>
      </c>
      <c r="X57" s="115" t="str">
        <f>IFERROR(INDEX(Расходка[Наименование расходного материала],MATCH(Расходка[[#This Row],[№]],Поиск_расходки[Индекс7],0)),"")</f>
        <v/>
      </c>
      <c r="Y57" s="115" t="str">
        <f>IFERROR(INDEX(Расходка[Наименование расходного материала],MATCH(Расходка[[#This Row],[№]],Поиск_расходки[Индекс8],0)),"")</f>
        <v/>
      </c>
      <c r="Z57" s="115" t="str">
        <f>IFERROR(INDEX(Расходка[Наименование расходного материала],MATCH(Расходка[[#This Row],[№]],Поиск_расходки[Индекс9],0)),"")</f>
        <v>Launcher 6F EBU 4.0</v>
      </c>
      <c r="AA57" s="115" t="str">
        <f>IFERROR(INDEX(Расходка[Наименование расходного материала],MATCH(Расходка[[#This Row],[№]],Поиск_расходки[Индекс10],0)),"")</f>
        <v>Launcher 6F EBU 4.0</v>
      </c>
      <c r="AB57" s="115" t="str">
        <f>IFERROR(INDEX(Расходка[Наименование расходного материала],MATCH(Расходка[[#This Row],[№]],Поиск_расходки[Индекс11],0)),"")</f>
        <v>Launcher 6F EBU 4.0</v>
      </c>
      <c r="AC57" s="115" t="str">
        <f>IFERROR(INDEX(Расходка[Наименование расходного материала],MATCH(Расходка[[#This Row],[№]],Поиск_расходки[Индекс12],0)),"")</f>
        <v>Launcher 6F EBU 4.0</v>
      </c>
      <c r="AD57" s="115" t="str">
        <f>IFERROR(INDEX(Расходка[Наименование расходного материала],MATCH(Расходка[[#This Row],[№]],Поиск_расходки[Индекс13],0)),"")</f>
        <v>Launcher 6F EBU 4.0</v>
      </c>
      <c r="AF57" s="4" t="s">
        <v>6</v>
      </c>
      <c r="AG57" s="4" t="s">
        <v>456</v>
      </c>
    </row>
    <row r="58" spans="1:33" x14ac:dyDescent="0.25">
      <c r="A58">
        <v>57</v>
      </c>
      <c r="B58" t="s">
        <v>4</v>
      </c>
      <c r="C58" t="s">
        <v>328</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0</v>
      </c>
      <c r="G58" s="116">
        <f>IF(ISNUMBER(SEARCH('Карта учёта'!$B$15,Расходка[[#This Row],[Наименование расходного материала]])),MAX($G$1:G57)+1,0)</f>
        <v>0</v>
      </c>
      <c r="H58" s="116">
        <f>IF(ISNUMBER(SEARCH('Карта учёта'!$B$16,Расходка[[#This Row],[Наименование расходного материала]])),MAX($H$1:H57)+1,0)</f>
        <v>0</v>
      </c>
      <c r="I58" s="116">
        <f>IF(ISNUMBER(SEARCH('Карта учёта'!$B$17,Расходка[[#This Row],[Наименование расходного материала]])),MAX($I$1:I57)+1,0)</f>
        <v>0</v>
      </c>
      <c r="J58" s="116">
        <f>IF(ISNUMBER(SEARCH('Карта учёта'!$B$18,Расходка[[#This Row],[Наименование расходного материала]])),MAX($J$1:J57)+1,0)</f>
        <v>0</v>
      </c>
      <c r="K58" s="116">
        <f>IF(ISNUMBER(SEARCH('Карта учёта'!$B$19,Расходка[[#This Row],[Наименование расходного материала]])),MAX($K$1:K57)+1,0)</f>
        <v>0</v>
      </c>
      <c r="L58" s="116">
        <f>IF(ISNUMBER(SEARCH('Карта учёта'!$B$20,Расходка[[#This Row],[Наименование расходного материала]])),MAX($L$1:L57)+1,0)</f>
        <v>0</v>
      </c>
      <c r="M58" s="116">
        <f>IF(ISNUMBER(SEARCH('Карта учёта'!$B$21,Расходка[[#This Row],[Наименование расходного материала]])),MAX($M$1:M57)+1,0)</f>
        <v>57</v>
      </c>
      <c r="N58" s="116">
        <f>IF(ISNUMBER(SEARCH('Карта учёта'!$B$22,Расходка[[#This Row],[Наименование расходного материала]])),MAX($N$1:N57)+1,0)</f>
        <v>57</v>
      </c>
      <c r="O58" s="116">
        <f>IF(ISNUMBER(SEARCH('Карта учёта'!$B$23,Расходка[[#This Row],[Наименование расходного материала]])),MAX($O$1:O57)+1,0)</f>
        <v>57</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
      </c>
      <c r="T58" s="115" t="str">
        <f>IFERROR(INDEX(Расходка[Наименование расходного материала],MATCH(Расходка[[#This Row],[№]],Поиск_расходки[Индекс3],0)),"")</f>
        <v/>
      </c>
      <c r="U58" s="115" t="str">
        <f>IFERROR(INDEX(Расходка[Наименование расходного материала],MATCH(Расходка[[#This Row],[№]],Поиск_расходки[Индекс4],0)),"")</f>
        <v/>
      </c>
      <c r="V58" s="115" t="str">
        <f>IFERROR(INDEX(Расходка[Наименование расходного материала],MATCH(Расходка[[#This Row],[№]],Поиск_расходки[Индекс5],0)),"")</f>
        <v/>
      </c>
      <c r="W58" s="115" t="str">
        <f>IFERROR(INDEX(Расходка[Наименование расходного материала],MATCH(Расходка[[#This Row],[№]],Поиск_расходки[Индекс6],0)),"")</f>
        <v/>
      </c>
      <c r="X58" s="115" t="str">
        <f>IFERROR(INDEX(Расходка[Наименование расходного материала],MATCH(Расходка[[#This Row],[№]],Поиск_расходки[Индекс7],0)),"")</f>
        <v/>
      </c>
      <c r="Y58" s="115" t="str">
        <f>IFERROR(INDEX(Расходка[Наименование расходного материала],MATCH(Расходка[[#This Row],[№]],Поиск_расходки[Индекс8],0)),"")</f>
        <v/>
      </c>
      <c r="Z58" s="115" t="str">
        <f>IFERROR(INDEX(Расходка[Наименование расходного материала],MATCH(Расходка[[#This Row],[№]],Поиск_расходки[Индекс9],0)),"")</f>
        <v>Launcher 6F JL 3.5</v>
      </c>
      <c r="AA58" s="115" t="str">
        <f>IFERROR(INDEX(Расходка[Наименование расходного материала],MATCH(Расходка[[#This Row],[№]],Поиск_расходки[Индекс10],0)),"")</f>
        <v>Launcher 6F JL 3.5</v>
      </c>
      <c r="AB58" s="115" t="str">
        <f>IFERROR(INDEX(Расходка[Наименование расходного материала],MATCH(Расходка[[#This Row],[№]],Поиск_расходки[Индекс11],0)),"")</f>
        <v>Launcher 6F JL 3.5</v>
      </c>
      <c r="AC58" s="115" t="str">
        <f>IFERROR(INDEX(Расходка[Наименование расходного материала],MATCH(Расходка[[#This Row],[№]],Поиск_расходки[Индекс12],0)),"")</f>
        <v>Launcher 6F JL 3.5</v>
      </c>
      <c r="AD58" s="115" t="str">
        <f>IFERROR(INDEX(Расходка[Наименование расходного материала],MATCH(Расходка[[#This Row],[№]],Поиск_расходки[Индекс13],0)),"")</f>
        <v>Launcher 6F JL 3.5</v>
      </c>
      <c r="AF58" s="4" t="s">
        <v>6</v>
      </c>
      <c r="AG58" s="4" t="s">
        <v>457</v>
      </c>
    </row>
    <row r="59" spans="1:33" x14ac:dyDescent="0.25">
      <c r="A59">
        <v>58</v>
      </c>
      <c r="B59" t="s">
        <v>4</v>
      </c>
      <c r="C59" t="s">
        <v>329</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0</v>
      </c>
      <c r="G59" s="116">
        <f>IF(ISNUMBER(SEARCH('Карта учёта'!$B$15,Расходка[[#This Row],[Наименование расходного материала]])),MAX($G$1:G58)+1,0)</f>
        <v>0</v>
      </c>
      <c r="H59" s="116">
        <f>IF(ISNUMBER(SEARCH('Карта учёта'!$B$16,Расходка[[#This Row],[Наименование расходного материала]])),MAX($H$1:H58)+1,0)</f>
        <v>0</v>
      </c>
      <c r="I59" s="116">
        <f>IF(ISNUMBER(SEARCH('Карта учёта'!$B$17,Расходка[[#This Row],[Наименование расходного материала]])),MAX($I$1:I58)+1,0)</f>
        <v>0</v>
      </c>
      <c r="J59" s="116">
        <f>IF(ISNUMBER(SEARCH('Карта учёта'!$B$18,Расходка[[#This Row],[Наименование расходного материала]])),MAX($J$1:J58)+1,0)</f>
        <v>0</v>
      </c>
      <c r="K59" s="116">
        <f>IF(ISNUMBER(SEARCH('Карта учёта'!$B$19,Расходка[[#This Row],[Наименование расходного материала]])),MAX($K$1:K58)+1,0)</f>
        <v>0</v>
      </c>
      <c r="L59" s="116">
        <f>IF(ISNUMBER(SEARCH('Карта учёта'!$B$20,Расходка[[#This Row],[Наименование расходного материала]])),MAX($L$1:L58)+1,0)</f>
        <v>0</v>
      </c>
      <c r="M59" s="116">
        <f>IF(ISNUMBER(SEARCH('Карта учёта'!$B$21,Расходка[[#This Row],[Наименование расходного материала]])),MAX($M$1:M58)+1,0)</f>
        <v>58</v>
      </c>
      <c r="N59" s="116">
        <f>IF(ISNUMBER(SEARCH('Карта учёта'!$B$22,Расходка[[#This Row],[Наименование расходного материала]])),MAX($N$1:N58)+1,0)</f>
        <v>58</v>
      </c>
      <c r="O59" s="116">
        <f>IF(ISNUMBER(SEARCH('Карта учёта'!$B$23,Расходка[[#This Row],[Наименование расходного материала]])),MAX($O$1:O58)+1,0)</f>
        <v>58</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
      </c>
      <c r="T59" s="115" t="str">
        <f>IFERROR(INDEX(Расходка[Наименование расходного материала],MATCH(Расходка[[#This Row],[№]],Поиск_расходки[Индекс3],0)),"")</f>
        <v/>
      </c>
      <c r="U59" s="115" t="str">
        <f>IFERROR(INDEX(Расходка[Наименование расходного материала],MATCH(Расходка[[#This Row],[№]],Поиск_расходки[Индекс4],0)),"")</f>
        <v/>
      </c>
      <c r="V59" s="115" t="str">
        <f>IFERROR(INDEX(Расходка[Наименование расходного материала],MATCH(Расходка[[#This Row],[№]],Поиск_расходки[Индекс5],0)),"")</f>
        <v/>
      </c>
      <c r="W59" s="115" t="str">
        <f>IFERROR(INDEX(Расходка[Наименование расходного материала],MATCH(Расходка[[#This Row],[№]],Поиск_расходки[Индекс6],0)),"")</f>
        <v/>
      </c>
      <c r="X59" s="115" t="str">
        <f>IFERROR(INDEX(Расходка[Наименование расходного материала],MATCH(Расходка[[#This Row],[№]],Поиск_расходки[Индекс7],0)),"")</f>
        <v/>
      </c>
      <c r="Y59" s="115" t="str">
        <f>IFERROR(INDEX(Расходка[Наименование расходного материала],MATCH(Расходка[[#This Row],[№]],Поиск_расходки[Индекс8],0)),"")</f>
        <v/>
      </c>
      <c r="Z59" s="115" t="str">
        <f>IFERROR(INDEX(Расходка[Наименование расходного материала],MATCH(Расходка[[#This Row],[№]],Поиск_расходки[Индекс9],0)),"")</f>
        <v>Launcher 6F JL 4.0</v>
      </c>
      <c r="AA59" s="115" t="str">
        <f>IFERROR(INDEX(Расходка[Наименование расходного материала],MATCH(Расходка[[#This Row],[№]],Поиск_расходки[Индекс10],0)),"")</f>
        <v>Launcher 6F JL 4.0</v>
      </c>
      <c r="AB59" s="115" t="str">
        <f>IFERROR(INDEX(Расходка[Наименование расходного материала],MATCH(Расходка[[#This Row],[№]],Поиск_расходки[Индекс11],0)),"")</f>
        <v>Launcher 6F JL 4.0</v>
      </c>
      <c r="AC59" s="115" t="str">
        <f>IFERROR(INDEX(Расходка[Наименование расходного материала],MATCH(Расходка[[#This Row],[№]],Поиск_расходки[Индекс12],0)),"")</f>
        <v>Launcher 6F JL 4.0</v>
      </c>
      <c r="AD59" s="115" t="str">
        <f>IFERROR(INDEX(Расходка[Наименование расходного материала],MATCH(Расходка[[#This Row],[№]],Поиск_расходки[Индекс13],0)),"")</f>
        <v>Launcher 6F JL 4.0</v>
      </c>
      <c r="AF59" s="4" t="s">
        <v>6</v>
      </c>
      <c r="AG59" s="4" t="s">
        <v>458</v>
      </c>
    </row>
    <row r="60" spans="1:33" x14ac:dyDescent="0.25">
      <c r="A60">
        <v>59</v>
      </c>
      <c r="B60" t="s">
        <v>4</v>
      </c>
      <c r="C60" t="s">
        <v>335</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0</v>
      </c>
      <c r="G60" s="116">
        <f>IF(ISNUMBER(SEARCH('Карта учёта'!$B$15,Расходка[[#This Row],[Наименование расходного материала]])),MAX($G$1:G59)+1,0)</f>
        <v>0</v>
      </c>
      <c r="H60" s="116">
        <f>IF(ISNUMBER(SEARCH('Карта учёта'!$B$16,Расходка[[#This Row],[Наименование расходного материала]])),MAX($H$1:H59)+1,0)</f>
        <v>0</v>
      </c>
      <c r="I60" s="116">
        <f>IF(ISNUMBER(SEARCH('Карта учёта'!$B$17,Расходка[[#This Row],[Наименование расходного материала]])),MAX($I$1:I59)+1,0)</f>
        <v>0</v>
      </c>
      <c r="J60" s="116">
        <f>IF(ISNUMBER(SEARCH('Карта учёта'!$B$18,Расходка[[#This Row],[Наименование расходного материала]])),MAX($J$1:J59)+1,0)</f>
        <v>0</v>
      </c>
      <c r="K60" s="116">
        <f>IF(ISNUMBER(SEARCH('Карта учёта'!$B$19,Расходка[[#This Row],[Наименование расходного материала]])),MAX($K$1:K59)+1,0)</f>
        <v>0</v>
      </c>
      <c r="L60" s="116">
        <f>IF(ISNUMBER(SEARCH('Карта учёта'!$B$20,Расходка[[#This Row],[Наименование расходного материала]])),MAX($L$1:L59)+1,0)</f>
        <v>0</v>
      </c>
      <c r="M60" s="116">
        <f>IF(ISNUMBER(SEARCH('Карта учёта'!$B$21,Расходка[[#This Row],[Наименование расходного материала]])),MAX($M$1:M59)+1,0)</f>
        <v>59</v>
      </c>
      <c r="N60" s="116">
        <f>IF(ISNUMBER(SEARCH('Карта учёта'!$B$22,Расходка[[#This Row],[Наименование расходного материала]])),MAX($N$1:N59)+1,0)</f>
        <v>59</v>
      </c>
      <c r="O60" s="116">
        <f>IF(ISNUMBER(SEARCH('Карта учёта'!$B$23,Расходка[[#This Row],[Наименование расходного материала]])),MAX($O$1:O59)+1,0)</f>
        <v>59</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
      </c>
      <c r="T60" s="115" t="str">
        <f>IFERROR(INDEX(Расходка[Наименование расходного материала],MATCH(Расходка[[#This Row],[№]],Поиск_расходки[Индекс3],0)),"")</f>
        <v/>
      </c>
      <c r="U60" s="115" t="str">
        <f>IFERROR(INDEX(Расходка[Наименование расходного материала],MATCH(Расходка[[#This Row],[№]],Поиск_расходки[Индекс4],0)),"")</f>
        <v/>
      </c>
      <c r="V60" s="115" t="str">
        <f>IFERROR(INDEX(Расходка[Наименование расходного материала],MATCH(Расходка[[#This Row],[№]],Поиск_расходки[Индекс5],0)),"")</f>
        <v/>
      </c>
      <c r="W60" s="115" t="str">
        <f>IFERROR(INDEX(Расходка[Наименование расходного материала],MATCH(Расходка[[#This Row],[№]],Поиск_расходки[Индекс6],0)),"")</f>
        <v/>
      </c>
      <c r="X60" s="115" t="str">
        <f>IFERROR(INDEX(Расходка[Наименование расходного материала],MATCH(Расходка[[#This Row],[№]],Поиск_расходки[Индекс7],0)),"")</f>
        <v/>
      </c>
      <c r="Y60" s="115" t="str">
        <f>IFERROR(INDEX(Расходка[Наименование расходного материала],MATCH(Расходка[[#This Row],[№]],Поиск_расходки[Индекс8],0)),"")</f>
        <v/>
      </c>
      <c r="Z60" s="115" t="str">
        <f>IFERROR(INDEX(Расходка[Наименование расходного материала],MATCH(Расходка[[#This Row],[№]],Поиск_расходки[Индекс9],0)),"")</f>
        <v>Launcher 6F JL 4.5</v>
      </c>
      <c r="AA60" s="115" t="str">
        <f>IFERROR(INDEX(Расходка[Наименование расходного материала],MATCH(Расходка[[#This Row],[№]],Поиск_расходки[Индекс10],0)),"")</f>
        <v>Launcher 6F JL 4.5</v>
      </c>
      <c r="AB60" s="115" t="str">
        <f>IFERROR(INDEX(Расходка[Наименование расходного материала],MATCH(Расходка[[#This Row],[№]],Поиск_расходки[Индекс11],0)),"")</f>
        <v>Launcher 6F JL 4.5</v>
      </c>
      <c r="AC60" s="115" t="str">
        <f>IFERROR(INDEX(Расходка[Наименование расходного материала],MATCH(Расходка[[#This Row],[№]],Поиск_расходки[Индекс12],0)),"")</f>
        <v>Launcher 6F JL 4.5</v>
      </c>
      <c r="AD60" s="115" t="str">
        <f>IFERROR(INDEX(Расходка[Наименование расходного материала],MATCH(Расходка[[#This Row],[№]],Поиск_расходки[Индекс13],0)),"")</f>
        <v>Launcher 6F JL 4.5</v>
      </c>
      <c r="AF60" s="4" t="s">
        <v>6</v>
      </c>
      <c r="AG60" s="4" t="s">
        <v>459</v>
      </c>
    </row>
    <row r="61" spans="1:33" x14ac:dyDescent="0.25">
      <c r="A61">
        <v>60</v>
      </c>
      <c r="B61" t="s">
        <v>4</v>
      </c>
      <c r="C61" t="s">
        <v>330</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0</v>
      </c>
      <c r="G61" s="116">
        <f>IF(ISNUMBER(SEARCH('Карта учёта'!$B$15,Расходка[[#This Row],[Наименование расходного материала]])),MAX($G$1:G60)+1,0)</f>
        <v>0</v>
      </c>
      <c r="H61" s="116">
        <f>IF(ISNUMBER(SEARCH('Карта учёта'!$B$16,Расходка[[#This Row],[Наименование расходного материала]])),MAX($H$1:H60)+1,0)</f>
        <v>0</v>
      </c>
      <c r="I61" s="116">
        <f>IF(ISNUMBER(SEARCH('Карта учёта'!$B$17,Расходка[[#This Row],[Наименование расходного материала]])),MAX($I$1:I60)+1,0)</f>
        <v>0</v>
      </c>
      <c r="J61" s="116">
        <f>IF(ISNUMBER(SEARCH('Карта учёта'!$B$18,Расходка[[#This Row],[Наименование расходного материала]])),MAX($J$1:J60)+1,0)</f>
        <v>0</v>
      </c>
      <c r="K61" s="116">
        <f>IF(ISNUMBER(SEARCH('Карта учёта'!$B$19,Расходка[[#This Row],[Наименование расходного материала]])),MAX($K$1:K60)+1,0)</f>
        <v>0</v>
      </c>
      <c r="L61" s="116">
        <f>IF(ISNUMBER(SEARCH('Карта учёта'!$B$20,Расходка[[#This Row],[Наименование расходного материала]])),MAX($L$1:L60)+1,0)</f>
        <v>0</v>
      </c>
      <c r="M61" s="116">
        <f>IF(ISNUMBER(SEARCH('Карта учёта'!$B$21,Расходка[[#This Row],[Наименование расходного материала]])),MAX($M$1:M60)+1,0)</f>
        <v>60</v>
      </c>
      <c r="N61" s="116">
        <f>IF(ISNUMBER(SEARCH('Карта учёта'!$B$22,Расходка[[#This Row],[Наименование расходного материала]])),MAX($N$1:N60)+1,0)</f>
        <v>60</v>
      </c>
      <c r="O61" s="116">
        <f>IF(ISNUMBER(SEARCH('Карта учёта'!$B$23,Расходка[[#This Row],[Наименование расходного материала]])),MAX($O$1:O60)+1,0)</f>
        <v>60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
      </c>
      <c r="T61" s="115" t="str">
        <f>IFERROR(INDEX(Расходка[Наименование расходного материала],MATCH(Расходка[[#This Row],[№]],Поиск_расходки[Индекс3],0)),"")</f>
        <v/>
      </c>
      <c r="U61" s="115" t="str">
        <f>IFERROR(INDEX(Расходка[Наименование расходного материала],MATCH(Расходка[[#This Row],[№]],Поиск_расходки[Индекс4],0)),"")</f>
        <v/>
      </c>
      <c r="V61" s="115" t="str">
        <f>IFERROR(INDEX(Расходка[Наименование расходного материала],MATCH(Расходка[[#This Row],[№]],Поиск_расходки[Индекс5],0)),"")</f>
        <v/>
      </c>
      <c r="W61" s="115" t="str">
        <f>IFERROR(INDEX(Расходка[Наименование расходного материала],MATCH(Расходка[[#This Row],[№]],Поиск_расходки[Индекс6],0)),"")</f>
        <v/>
      </c>
      <c r="X61" s="115" t="str">
        <f>IFERROR(INDEX(Расходка[Наименование расходного материала],MATCH(Расходка[[#This Row],[№]],Поиск_расходки[Индекс7],0)),"")</f>
        <v/>
      </c>
      <c r="Y61" s="115" t="str">
        <f>IFERROR(INDEX(Расходка[Наименование расходного материала],MATCH(Расходка[[#This Row],[№]],Поиск_расходки[Индекс8],0)),"")</f>
        <v/>
      </c>
      <c r="Z61" s="115" t="str">
        <f>IFERROR(INDEX(Расходка[Наименование расходного материала],MATCH(Расходка[[#This Row],[№]],Поиск_расходки[Индекс9],0)),"")</f>
        <v>Launcher 6F JR 3.5</v>
      </c>
      <c r="AA61" s="115" t="str">
        <f>IFERROR(INDEX(Расходка[Наименование расходного материала],MATCH(Расходка[[#This Row],[№]],Поиск_расходки[Индекс10],0)),"")</f>
        <v>Launcher 6F JR 3.5</v>
      </c>
      <c r="AB61" s="115" t="str">
        <f>IFERROR(INDEX(Расходка[Наименование расходного материала],MATCH(Расходка[[#This Row],[№]],Поиск_расходки[Индекс11],0)),"")</f>
        <v>Launcher 6F JR 3.5</v>
      </c>
      <c r="AC61" s="115" t="str">
        <f>IFERROR(INDEX(Расходка[Наименование расходного материала],MATCH(Расходка[[#This Row],[№]],Поиск_расходки[Индекс12],0)),"")</f>
        <v>Launcher 6F JR 3.5</v>
      </c>
      <c r="AD61" s="115" t="str">
        <f>IFERROR(INDEX(Расходка[Наименование расходного материала],MATCH(Расходка[[#This Row],[№]],Поиск_расходки[Индекс13],0)),"")</f>
        <v>Launcher 6F JR 3.5</v>
      </c>
      <c r="AF61" s="4" t="s">
        <v>6</v>
      </c>
      <c r="AG61" s="4" t="s">
        <v>420</v>
      </c>
    </row>
    <row r="62" spans="1:33" x14ac:dyDescent="0.25">
      <c r="A62">
        <v>61</v>
      </c>
      <c r="B62" t="s">
        <v>4</v>
      </c>
      <c r="C62" t="s">
        <v>331</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0</v>
      </c>
      <c r="G62" s="116">
        <f>IF(ISNUMBER(SEARCH('Карта учёта'!$B$15,Расходка[[#This Row],[Наименование расходного материала]])),MAX($G$1:G61)+1,0)</f>
        <v>0</v>
      </c>
      <c r="H62" s="116">
        <f>IF(ISNUMBER(SEARCH('Карта учёта'!$B$16,Расходка[[#This Row],[Наименование расходного материала]])),MAX($H$1:H61)+1,0)</f>
        <v>0</v>
      </c>
      <c r="I62" s="116">
        <f>IF(ISNUMBER(SEARCH('Карта учёта'!$B$17,Расходка[[#This Row],[Наименование расходного материала]])),MAX($I$1:I61)+1,0)</f>
        <v>0</v>
      </c>
      <c r="J62" s="116">
        <f>IF(ISNUMBER(SEARCH('Карта учёта'!$B$18,Расходка[[#This Row],[Наименование расходного материала]])),MAX($J$1:J61)+1,0)</f>
        <v>0</v>
      </c>
      <c r="K62" s="116">
        <f>IF(ISNUMBER(SEARCH('Карта учёта'!$B$19,Расходка[[#This Row],[Наименование расходного материала]])),MAX($K$1:K61)+1,0)</f>
        <v>0</v>
      </c>
      <c r="L62" s="116">
        <f>IF(ISNUMBER(SEARCH('Карта учёта'!$B$20,Расходка[[#This Row],[Наименование расходного материала]])),MAX($L$1:L61)+1,0)</f>
        <v>0</v>
      </c>
      <c r="M62" s="116">
        <f>IF(ISNUMBER(SEARCH('Карта учёта'!$B$21,Расходка[[#This Row],[Наименование расходного материала]])),MAX($M$1:M61)+1,0)</f>
        <v>61</v>
      </c>
      <c r="N62" s="116">
        <f>IF(ISNUMBER(SEARCH('Карта учёта'!$B$22,Расходка[[#This Row],[Наименование расходного материала]])),MAX($N$1:N61)+1,0)</f>
        <v>61</v>
      </c>
      <c r="O62" s="116">
        <f>IF(ISNUMBER(SEARCH('Карта учёта'!$B$23,Расходка[[#This Row],[Наименование расходного материала]])),MAX($O$1:O61)+1,0)</f>
        <v>61</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
      </c>
      <c r="T62" s="115" t="str">
        <f>IFERROR(INDEX(Расходка[Наименование расходного материала],MATCH(Расходка[[#This Row],[№]],Поиск_расходки[Индекс3],0)),"")</f>
        <v/>
      </c>
      <c r="U62" s="115" t="str">
        <f>IFERROR(INDEX(Расходка[Наименование расходного материала],MATCH(Расходка[[#This Row],[№]],Поиск_расходки[Индекс4],0)),"")</f>
        <v/>
      </c>
      <c r="V62" s="115" t="str">
        <f>IFERROR(INDEX(Расходка[Наименование расходного материала],MATCH(Расходка[[#This Row],[№]],Поиск_расходки[Индекс5],0)),"")</f>
        <v/>
      </c>
      <c r="W62" s="115" t="str">
        <f>IFERROR(INDEX(Расходка[Наименование расходного материала],MATCH(Расходка[[#This Row],[№]],Поиск_расходки[Индекс6],0)),"")</f>
        <v/>
      </c>
      <c r="X62" s="115" t="str">
        <f>IFERROR(INDEX(Расходка[Наименование расходного материала],MATCH(Расходка[[#This Row],[№]],Поиск_расходки[Индекс7],0)),"")</f>
        <v/>
      </c>
      <c r="Y62" s="115" t="str">
        <f>IFERROR(INDEX(Расходка[Наименование расходного материала],MATCH(Расходка[[#This Row],[№]],Поиск_расходки[Индекс8],0)),"")</f>
        <v/>
      </c>
      <c r="Z62" s="115" t="str">
        <f>IFERROR(INDEX(Расходка[Наименование расходного материала],MATCH(Расходка[[#This Row],[№]],Поиск_расходки[Индекс9],0)),"")</f>
        <v>Launcher 6F JR 4.0</v>
      </c>
      <c r="AA62" s="115" t="str">
        <f>IFERROR(INDEX(Расходка[Наименование расходного материала],MATCH(Расходка[[#This Row],[№]],Поиск_расходки[Индекс10],0)),"")</f>
        <v>Launcher 6F JR 4.0</v>
      </c>
      <c r="AB62" s="115" t="str">
        <f>IFERROR(INDEX(Расходка[Наименование расходного материала],MATCH(Расходка[[#This Row],[№]],Поиск_расходки[Индекс11],0)),"")</f>
        <v>Launcher 6F JR 4.0</v>
      </c>
      <c r="AC62" s="115" t="str">
        <f>IFERROR(INDEX(Расходка[Наименование расходного материала],MATCH(Расходка[[#This Row],[№]],Поиск_расходки[Индекс12],0)),"")</f>
        <v>Launcher 6F JR 4.0</v>
      </c>
      <c r="AD62" s="115" t="str">
        <f>IFERROR(INDEX(Расходка[Наименование расходного материала],MATCH(Расходка[[#This Row],[№]],Поиск_расходки[Индекс13],0)),"")</f>
        <v>Launcher 6F JR 4.0</v>
      </c>
      <c r="AF62" s="4" t="s">
        <v>6</v>
      </c>
      <c r="AG62" s="4" t="s">
        <v>460</v>
      </c>
    </row>
    <row r="63" spans="1:33" x14ac:dyDescent="0.25">
      <c r="A63">
        <v>62</v>
      </c>
      <c r="B63" t="s">
        <v>4</v>
      </c>
      <c r="C63" t="s">
        <v>341</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0</v>
      </c>
      <c r="G63" s="116">
        <f>IF(ISNUMBER(SEARCH('Карта учёта'!$B$15,Расходка[[#This Row],[Наименование расходного материала]])),MAX($G$1:G62)+1,0)</f>
        <v>0</v>
      </c>
      <c r="H63" s="116">
        <f>IF(ISNUMBER(SEARCH('Карта учёта'!$B$16,Расходка[[#This Row],[Наименование расходного материала]])),MAX($H$1:H62)+1,0)</f>
        <v>0</v>
      </c>
      <c r="I63" s="116">
        <f>IF(ISNUMBER(SEARCH('Карта учёта'!$B$17,Расходка[[#This Row],[Наименование расходного материала]])),MAX($I$1:I62)+1,0)</f>
        <v>0</v>
      </c>
      <c r="J63" s="116">
        <f>IF(ISNUMBER(SEARCH('Карта учёта'!$B$18,Расходка[[#This Row],[Наименование расходного материала]])),MAX($J$1:J62)+1,0)</f>
        <v>0</v>
      </c>
      <c r="K63" s="116">
        <f>IF(ISNUMBER(SEARCH('Карта учёта'!$B$19,Расходка[[#This Row],[Наименование расходного материала]])),MAX($K$1:K62)+1,0)</f>
        <v>0</v>
      </c>
      <c r="L63" s="116">
        <f>IF(ISNUMBER(SEARCH('Карта учёта'!$B$20,Расходка[[#This Row],[Наименование расходного материала]])),MAX($L$1:L62)+1,0)</f>
        <v>0</v>
      </c>
      <c r="M63" s="116">
        <f>IF(ISNUMBER(SEARCH('Карта учёта'!$B$21,Расходка[[#This Row],[Наименование расходного материала]])),MAX($M$1:M62)+1,0)</f>
        <v>62</v>
      </c>
      <c r="N63" s="116">
        <f>IF(ISNUMBER(SEARCH('Карта учёта'!$B$22,Расходка[[#This Row],[Наименование расходного материала]])),MAX($N$1:N62)+1,0)</f>
        <v>62</v>
      </c>
      <c r="O63" s="116">
        <f>IF(ISNUMBER(SEARCH('Карта учёта'!$B$23,Расходка[[#This Row],[Наименование расходного материала]])),MAX($O$1:O62)+1,0)</f>
        <v>62</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
      </c>
      <c r="T63" s="115" t="str">
        <f>IFERROR(INDEX(Расходка[Наименование расходного материала],MATCH(Расходка[[#This Row],[№]],Поиск_расходки[Индекс3],0)),"")</f>
        <v/>
      </c>
      <c r="U63" s="115" t="str">
        <f>IFERROR(INDEX(Расходка[Наименование расходного материала],MATCH(Расходка[[#This Row],[№]],Поиск_расходки[Индекс4],0)),"")</f>
        <v/>
      </c>
      <c r="V63" s="115" t="str">
        <f>IFERROR(INDEX(Расходка[Наименование расходного материала],MATCH(Расходка[[#This Row],[№]],Поиск_расходки[Индекс5],0)),"")</f>
        <v/>
      </c>
      <c r="W63" s="115" t="str">
        <f>IFERROR(INDEX(Расходка[Наименование расходного материала],MATCH(Расходка[[#This Row],[№]],Поиск_расходки[Индекс6],0)),"")</f>
        <v/>
      </c>
      <c r="X63" s="115" t="str">
        <f>IFERROR(INDEX(Расходка[Наименование расходного материала],MATCH(Расходка[[#This Row],[№]],Поиск_расходки[Индекс7],0)),"")</f>
        <v/>
      </c>
      <c r="Y63" s="115" t="str">
        <f>IFERROR(INDEX(Расходка[Наименование расходного материала],MATCH(Расходка[[#This Row],[№]],Поиск_расходки[Индекс8],0)),"")</f>
        <v/>
      </c>
      <c r="Z63" s="115" t="str">
        <f>IFERROR(INDEX(Расходка[Наименование расходного материала],MATCH(Расходка[[#This Row],[№]],Поиск_расходки[Индекс9],0)),"")</f>
        <v>Launcher 7F JL 3.5</v>
      </c>
      <c r="AA63" s="115" t="str">
        <f>IFERROR(INDEX(Расходка[Наименование расходного материала],MATCH(Расходка[[#This Row],[№]],Поиск_расходки[Индекс10],0)),"")</f>
        <v>Launcher 7F JL 3.5</v>
      </c>
      <c r="AB63" s="115" t="str">
        <f>IFERROR(INDEX(Расходка[Наименование расходного материала],MATCH(Расходка[[#This Row],[№]],Поиск_расходки[Индекс11],0)),"")</f>
        <v>Launcher 7F JL 3.5</v>
      </c>
      <c r="AC63" s="115" t="str">
        <f>IFERROR(INDEX(Расходка[Наименование расходного материала],MATCH(Расходка[[#This Row],[№]],Поиск_расходки[Индекс12],0)),"")</f>
        <v>Launcher 7F JL 3.5</v>
      </c>
      <c r="AD63" s="115" t="str">
        <f>IFERROR(INDEX(Расходка[Наименование расходного материала],MATCH(Расходка[[#This Row],[№]],Поиск_расходки[Индекс13],0)),"")</f>
        <v>Launcher 7F JL 3.5</v>
      </c>
      <c r="AF63" s="4" t="s">
        <v>6</v>
      </c>
      <c r="AG63" s="4" t="s">
        <v>461</v>
      </c>
    </row>
    <row r="64" spans="1:33" x14ac:dyDescent="0.25">
      <c r="A64">
        <v>63</v>
      </c>
      <c r="B64" t="s">
        <v>4</v>
      </c>
      <c r="C64" t="s">
        <v>340</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0</v>
      </c>
      <c r="G64" s="116">
        <f>IF(ISNUMBER(SEARCH('Карта учёта'!$B$15,Расходка[[#This Row],[Наименование расходного материала]])),MAX($G$1:G63)+1,0)</f>
        <v>0</v>
      </c>
      <c r="H64" s="116">
        <f>IF(ISNUMBER(SEARCH('Карта учёта'!$B$16,Расходка[[#This Row],[Наименование расходного материала]])),MAX($H$1:H63)+1,0)</f>
        <v>0</v>
      </c>
      <c r="I64" s="116">
        <f>IF(ISNUMBER(SEARCH('Карта учёта'!$B$17,Расходка[[#This Row],[Наименование расходного материала]])),MAX($I$1:I63)+1,0)</f>
        <v>0</v>
      </c>
      <c r="J64" s="116">
        <f>IF(ISNUMBER(SEARCH('Карта учёта'!$B$18,Расходка[[#This Row],[Наименование расходного материала]])),MAX($J$1:J63)+1,0)</f>
        <v>0</v>
      </c>
      <c r="K64" s="116">
        <f>IF(ISNUMBER(SEARCH('Карта учёта'!$B$19,Расходка[[#This Row],[Наименование расходного материала]])),MAX($K$1:K63)+1,0)</f>
        <v>0</v>
      </c>
      <c r="L64" s="116">
        <f>IF(ISNUMBER(SEARCH('Карта учёта'!$B$20,Расходка[[#This Row],[Наименование расходного материала]])),MAX($L$1:L63)+1,0)</f>
        <v>0</v>
      </c>
      <c r="M64" s="116">
        <f>IF(ISNUMBER(SEARCH('Карта учёта'!$B$21,Расходка[[#This Row],[Наименование расходного материала]])),MAX($M$1:M63)+1,0)</f>
        <v>63</v>
      </c>
      <c r="N64" s="116">
        <f>IF(ISNUMBER(SEARCH('Карта учёта'!$B$22,Расходка[[#This Row],[Наименование расходного материала]])),MAX($N$1:N63)+1,0)</f>
        <v>63</v>
      </c>
      <c r="O64" s="116">
        <f>IF(ISNUMBER(SEARCH('Карта учёта'!$B$23,Расходка[[#This Row],[Наименование расходного материала]])),MAX($O$1:O63)+1,0)</f>
        <v>63</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
      </c>
      <c r="T64" s="115" t="str">
        <f>IFERROR(INDEX(Расходка[Наименование расходного материала],MATCH(Расходка[[#This Row],[№]],Поиск_расходки[Индекс3],0)),"")</f>
        <v/>
      </c>
      <c r="U64" s="115" t="str">
        <f>IFERROR(INDEX(Расходка[Наименование расходного материала],MATCH(Расходка[[#This Row],[№]],Поиск_расходки[Индекс4],0)),"")</f>
        <v/>
      </c>
      <c r="V64" s="115" t="str">
        <f>IFERROR(INDEX(Расходка[Наименование расходного материала],MATCH(Расходка[[#This Row],[№]],Поиск_расходки[Индекс5],0)),"")</f>
        <v/>
      </c>
      <c r="W64" s="115" t="str">
        <f>IFERROR(INDEX(Расходка[Наименование расходного материала],MATCH(Расходка[[#This Row],[№]],Поиск_расходки[Индекс6],0)),"")</f>
        <v/>
      </c>
      <c r="X64" s="115" t="str">
        <f>IFERROR(INDEX(Расходка[Наименование расходного материала],MATCH(Расходка[[#This Row],[№]],Поиск_расходки[Индекс7],0)),"")</f>
        <v/>
      </c>
      <c r="Y64" s="115" t="str">
        <f>IFERROR(INDEX(Расходка[Наименование расходного материала],MATCH(Расходка[[#This Row],[№]],Поиск_расходки[Индекс8],0)),"")</f>
        <v/>
      </c>
      <c r="Z64" s="115" t="str">
        <f>IFERROR(INDEX(Расходка[Наименование расходного материала],MATCH(Расходка[[#This Row],[№]],Поиск_расходки[Индекс9],0)),"")</f>
        <v>Launcher 7F JL 4.0</v>
      </c>
      <c r="AA64" s="115" t="str">
        <f>IFERROR(INDEX(Расходка[Наименование расходного материала],MATCH(Расходка[[#This Row],[№]],Поиск_расходки[Индекс10],0)),"")</f>
        <v>Launcher 7F JL 4.0</v>
      </c>
      <c r="AB64" s="115" t="str">
        <f>IFERROR(INDEX(Расходка[Наименование расходного материала],MATCH(Расходка[[#This Row],[№]],Поиск_расходки[Индекс11],0)),"")</f>
        <v>Launcher 7F JL 4.0</v>
      </c>
      <c r="AC64" s="115" t="str">
        <f>IFERROR(INDEX(Расходка[Наименование расходного материала],MATCH(Расходка[[#This Row],[№]],Поиск_расходки[Индекс12],0)),"")</f>
        <v>Launcher 7F JL 4.0</v>
      </c>
      <c r="AD64" s="115" t="str">
        <f>IFERROR(INDEX(Расходка[Наименование расходного материала],MATCH(Расходка[[#This Row],[№]],Поиск_расходки[Индекс13],0)),"")</f>
        <v>Launcher 7F JL 4.0</v>
      </c>
      <c r="AF64" s="4" t="s">
        <v>6</v>
      </c>
      <c r="AG64" s="4" t="s">
        <v>462</v>
      </c>
    </row>
    <row r="65" spans="1:33" x14ac:dyDescent="0.25">
      <c r="A65">
        <v>64</v>
      </c>
      <c r="B65" t="s">
        <v>301</v>
      </c>
      <c r="C65" s="1" t="s">
        <v>332</v>
      </c>
      <c r="E65" s="116">
        <f>IF(ISNUMBER(SEARCH('Карта учёта'!$B$13,Расходка[[#This Row],[Наименование расходного материала]])),MAX($E$1:E64)+1,0)</f>
        <v>0</v>
      </c>
      <c r="F65" s="116">
        <f>IF(ISNUMBER(SEARCH('Карта учёта'!$B$14,Расходка[[#This Row],[Наименование расходного материала]])),MAX($F$1:F64)+1,0)</f>
        <v>0</v>
      </c>
      <c r="G65" s="116">
        <f>IF(ISNUMBER(SEARCH('Карта учёта'!$B$15,Расходка[[#This Row],[Наименование расходного материала]])),MAX($G$1:G64)+1,0)</f>
        <v>0</v>
      </c>
      <c r="H65" s="116">
        <f>IF(ISNUMBER(SEARCH('Карта учёта'!$B$16,Расходка[[#This Row],[Наименование расходного материала]])),MAX($H$1:H64)+1,0)</f>
        <v>0</v>
      </c>
      <c r="I65" s="116">
        <f>IF(ISNUMBER(SEARCH('Карта учёта'!$B$17,Расходка[[#This Row],[Наименование расходного материала]])),MAX($I$1:I64)+1,0)</f>
        <v>0</v>
      </c>
      <c r="J65" s="116">
        <f>IF(ISNUMBER(SEARCH('Карта учёта'!$B$18,Расходка[[#This Row],[Наименование расходного материала]])),MAX($J$1:J64)+1,0)</f>
        <v>0</v>
      </c>
      <c r="K65" s="116">
        <f>IF(ISNUMBER(SEARCH('Карта учёта'!$B$19,Расходка[[#This Row],[Наименование расходного материала]])),MAX($K$1:K64)+1,0)</f>
        <v>0</v>
      </c>
      <c r="L65" s="116">
        <f>IF(ISNUMBER(SEARCH('Карта учёта'!$B$20,Расходка[[#This Row],[Наименование расходного материала]])),MAX($L$1:L64)+1,0)</f>
        <v>0</v>
      </c>
      <c r="M65" s="116">
        <f>IF(ISNUMBER(SEARCH('Карта учёта'!$B$21,Расходка[[#This Row],[Наименование расходного материала]])),MAX($M$1:M64)+1,0)</f>
        <v>64</v>
      </c>
      <c r="N65" s="116">
        <f>IF(ISNUMBER(SEARCH('Карта учёта'!$B$22,Расходка[[#This Row],[Наименование расходного материала]])),MAX($N$1:N64)+1,0)</f>
        <v>64</v>
      </c>
      <c r="O65" s="116">
        <f>IF(ISNUMBER(SEARCH('Карта учёта'!$B$23,Расходка[[#This Row],[Наименование расходного материала]])),MAX($O$1:O64)+1,0)</f>
        <v>64</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
      </c>
      <c r="T65" s="115" t="str">
        <f>IFERROR(INDEX(Расходка[Наименование расходного материала],MATCH(Расходка[[#This Row],[№]],Поиск_расходки[Индекс3],0)),"")</f>
        <v/>
      </c>
      <c r="U65" s="115" t="str">
        <f>IFERROR(INDEX(Расходка[Наименование расходного материала],MATCH(Расходка[[#This Row],[№]],Поиск_расходки[Индекс4],0)),"")</f>
        <v/>
      </c>
      <c r="V65" s="115" t="str">
        <f>IFERROR(INDEX(Расходка[Наименование расходного материала],MATCH(Расходка[[#This Row],[№]],Поиск_расходки[Индекс5],0)),"")</f>
        <v/>
      </c>
      <c r="W65" s="115" t="str">
        <f>IFERROR(INDEX(Расходка[Наименование расходного материала],MATCH(Расходка[[#This Row],[№]],Поиск_расходки[Индекс6],0)),"")</f>
        <v/>
      </c>
      <c r="X65" s="115" t="str">
        <f>IFERROR(INDEX(Расходка[Наименование расходного материала],MATCH(Расходка[[#This Row],[№]],Поиск_расходки[Индекс7],0)),"")</f>
        <v/>
      </c>
      <c r="Y65" s="115" t="str">
        <f>IFERROR(INDEX(Расходка[Наименование расходного материала],MATCH(Расходка[[#This Row],[№]],Поиск_расходки[Индекс8],0)),"")</f>
        <v/>
      </c>
      <c r="Z65" s="115" t="str">
        <f>IFERROR(INDEX(Расходка[Наименование расходного материала],MATCH(Расходка[[#This Row],[№]],Поиск_расходки[Индекс9],0)),"")</f>
        <v>Angio-Seal™ VIP</v>
      </c>
      <c r="AA65" s="115" t="str">
        <f>IFERROR(INDEX(Расходка[Наименование расходного материала],MATCH(Расходка[[#This Row],[№]],Поиск_расходки[Индекс10],0)),"")</f>
        <v>Angio-Seal™ VIP</v>
      </c>
      <c r="AB65" s="115" t="str">
        <f>IFERROR(INDEX(Расходка[Наименование расходного материала],MATCH(Расходка[[#This Row],[№]],Поиск_расходки[Индекс11],0)),"")</f>
        <v>Angio-Seal™ VIP</v>
      </c>
      <c r="AC65" s="115" t="str">
        <f>IFERROR(INDEX(Расходка[Наименование расходного материала],MATCH(Расходка[[#This Row],[№]],Поиск_расходки[Индекс12],0)),"")</f>
        <v>Angio-Seal™ VIP</v>
      </c>
      <c r="AD65" s="115" t="str">
        <f>IFERROR(INDEX(Расходка[Наименование расходного материала],MATCH(Расходка[[#This Row],[№]],Поиск_расходки[Индекс13],0)),"")</f>
        <v>Angio-Seal™ VIP</v>
      </c>
      <c r="AF65" s="4" t="s">
        <v>6</v>
      </c>
      <c r="AG65" s="4" t="s">
        <v>463</v>
      </c>
    </row>
    <row r="66" spans="1:33" x14ac:dyDescent="0.25">
      <c r="A66">
        <v>65</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0</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учёта'!$B$17,Расходка[[#This Row],[Наименование расходного материала]])),MAX($I$1:I65)+1,0)</f>
        <v>0</v>
      </c>
      <c r="J66" s="116">
        <f>IF(ISNUMBER(SEARCH('Карта учёта'!$B$18,Расходка[[#This Row],[Наименование расходного материала]])),MAX($J$1:J65)+1,0)</f>
        <v>0</v>
      </c>
      <c r="K66" s="116">
        <f>IF(ISNUMBER(SEARCH('Карта учёта'!$B$19,Расходка[[#This Row],[Наименование расходного материала]])),MAX($K$1:K65)+1,0)</f>
        <v>0</v>
      </c>
      <c r="L66" s="116">
        <f>IF(ISNUMBER(SEARCH('Карта учёта'!$B$20,Расходка[[#This Row],[Наименование расходного материала]])),MAX($L$1:L65)+1,0)</f>
        <v>0</v>
      </c>
      <c r="M66" s="116">
        <f>IF(ISNUMBER(SEARCH('Карта учёта'!$B$21,Расходка[[#This Row],[Наименование расходного материала]])),MAX($M$1:M65)+1,0)</f>
        <v>0</v>
      </c>
      <c r="N66" s="116">
        <f>IF(ISNUMBER(SEARCH('Карта учёта'!$B$22,Расходка[[#This Row],[Наименование расходного материала]])),MAX($N$1:N65)+1,0)</f>
        <v>0</v>
      </c>
      <c r="O66" s="116">
        <f>IF(ISNUMBER(SEARCH('Карта учёта'!$B$23,Расходка[[#This Row],[Наименование расходного материала]])),MAX($O$1:O65)+1,0)</f>
        <v>0</v>
      </c>
      <c r="P66" s="116">
        <f>IF(ISNUMBER(SEARCH('Карта учёта'!$B$24,Расходка[[#This Row],[Наименование расходного материала]])),MAX($P$1:P65)+1,0)</f>
        <v>0</v>
      </c>
      <c r="Q66" s="116">
        <f>IF(ISNUMBER(SEARCH('Карта учёта'!$B$25,Расходка[[#This Row],[Наименование расходного материала]])),MAX($Q$1:Q65)+1,0)</f>
        <v>0</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
      </c>
      <c r="W66" s="115" t="str">
        <f>IFERROR(INDEX(Расходка[Наименование расходного материала],MATCH(Расходка[[#This Row],[№]],Поиск_расходки[Индекс6],0)),"")</f>
        <v/>
      </c>
      <c r="X66" s="115" t="str">
        <f>IFERROR(INDEX(Расходка[Наименование расходного материала],MATCH(Расходка[[#This Row],[№]],Поиск_расходки[Индекс7],0)),"")</f>
        <v/>
      </c>
      <c r="Y66" s="115" t="str">
        <f>IFERROR(INDEX(Расходка[Наименование расходного материала],MATCH(Расходка[[#This Row],[№]],Поиск_расходки[Индекс8],0)),"")</f>
        <v/>
      </c>
      <c r="Z66" s="115" t="str">
        <f>IFERROR(INDEX(Расходка[Наименование расходного материала],MATCH(Расходка[[#This Row],[№]],Поиск_расходки[Индекс9],0)),"")</f>
        <v/>
      </c>
      <c r="AA66" s="115" t="str">
        <f>IFERROR(INDEX(Расходка[Наименование расходного материала],MATCH(Расходка[[#This Row],[№]],Поиск_расходки[Индекс10],0)),"")</f>
        <v/>
      </c>
      <c r="AB66" s="115" t="str">
        <f>IFERROR(INDEX(Расходка[Наименование расходного материала],MATCH(Расходка[[#This Row],[№]],Поиск_расходки[Индекс11],0)),"")</f>
        <v/>
      </c>
      <c r="AC66" s="115" t="str">
        <f>IFERROR(INDEX(Расходка[Наименование расходного материала],MATCH(Расходка[[#This Row],[№]],Поиск_расходки[Индекс12],0)),"")</f>
        <v/>
      </c>
      <c r="AD66" s="115" t="str">
        <f>IFERROR(INDEX(Расходка[Наименование расходного материала],MATCH(Расходка[[#This Row],[№]],Поиск_расходки[Индекс13],0)),"")</f>
        <v/>
      </c>
      <c r="AF66" s="4" t="s">
        <v>6</v>
      </c>
      <c r="AG66" s="4" t="s">
        <v>464</v>
      </c>
    </row>
    <row r="67" spans="1:33" x14ac:dyDescent="0.25">
      <c r="E67" s="199">
        <f>IF(ISNUMBER(SEARCH('Карта учёта'!$B$13,Расходка[[#This Row],[Наименование расходного материала]])),MAX($E$1:E66)+1,0)</f>
        <v>0</v>
      </c>
      <c r="F67" s="199">
        <f>IF(ISNUMBER(SEARCH('Карта учёта'!$B$14,Расходка[[#This Row],[Наименование расходного материала]])),MAX($F$1:F66)+1,0)</f>
        <v>0</v>
      </c>
      <c r="G67" s="199">
        <f>IF(ISNUMBER(SEARCH('Карта учёта'!$B$15,Расходка[[#This Row],[Наименование расходного материала]])),MAX($G$1:G66)+1,0)</f>
        <v>0</v>
      </c>
      <c r="H67" s="199">
        <f>IF(ISNUMBER(SEARCH('Карта учёта'!$B$16,Расходка[[#This Row],[Наименование расходного материала]])),MAX($H$1:H66)+1,0)</f>
        <v>0</v>
      </c>
      <c r="I67" s="199">
        <f>IF(ISNUMBER(SEARCH('Карта учёта'!$B$17,Расходка[[#This Row],[Наименование расходного материала]])),MAX($I$1:I66)+1,0)</f>
        <v>0</v>
      </c>
      <c r="J67" s="199">
        <f>IF(ISNUMBER(SEARCH('Карта учёта'!$B$18,Расходка[[#This Row],[Наименование расходного материала]])),MAX($J$1:J66)+1,0)</f>
        <v>0</v>
      </c>
      <c r="K67" s="199">
        <f>IF(ISNUMBER(SEARCH('Карта учёта'!$B$19,Расходка[[#This Row],[Наименование расходного материала]])),MAX($K$1:K66)+1,0)</f>
        <v>0</v>
      </c>
      <c r="L67" s="199">
        <f>IF(ISNUMBER(SEARCH('Карта учёта'!$B$20,Расходка[[#This Row],[Наименование расходного материала]])),MAX($L$1:L66)+1,0)</f>
        <v>0</v>
      </c>
      <c r="M67" s="199">
        <f>IF(ISNUMBER(SEARCH('Карта учёта'!$B$21,Расходка[[#This Row],[Наименование расходного материала]])),MAX($M$1:M66)+1,0)</f>
        <v>0</v>
      </c>
      <c r="N67" s="199">
        <f>IF(ISNUMBER(SEARCH('Карта учёта'!$B$22,Расходка[[#This Row],[Наименование расходного материала]])),MAX($N$1:N66)+1,0)</f>
        <v>0</v>
      </c>
      <c r="O67" s="199">
        <f>IF(ISNUMBER(SEARCH('Карта учёта'!$B$23,Расходка[[#This Row],[Наименование расходного материала]])),MAX($O$1:O66)+1,0)</f>
        <v>0</v>
      </c>
      <c r="P67" s="199">
        <f>IF(ISNUMBER(SEARCH('Карта учёта'!$B$24,Расходка[[#This Row],[Наименование расходного материала]])),MAX($P$1:P66)+1,0)</f>
        <v>0</v>
      </c>
      <c r="Q67" s="199">
        <f>IF(ISNUMBER(SEARCH('Карта учёта'!$B$25,Расходка[[#This Row],[Наименование расходного материала]])),MAX($Q$1:Q66)+1,0)</f>
        <v>0</v>
      </c>
      <c r="R67" s="200" t="str">
        <f>IFERROR(INDEX(Расходка[Наименование расходного материала],MATCH(Расходка[[#This Row],[№]],Поиск_расходки[Индекс1],0)),"")</f>
        <v/>
      </c>
      <c r="S67" s="200" t="str">
        <f>IFERROR(INDEX(Расходка[Наименование расходного материала],MATCH(Расходка[[#This Row],[№]],Поиск_расходки[Индекс2],0)),"")</f>
        <v/>
      </c>
      <c r="T67" s="200" t="str">
        <f>IFERROR(INDEX(Расходка[Наименование расходного материала],MATCH(Расходка[[#This Row],[№]],Поиск_расходки[Индекс3],0)),"")</f>
        <v/>
      </c>
      <c r="U67" s="200" t="str">
        <f>IFERROR(INDEX(Расходка[Наименование расходного материала],MATCH(Расходка[[#This Row],[№]],Поиск_расходки[Индекс4],0)),"")</f>
        <v/>
      </c>
      <c r="V67" s="200" t="str">
        <f>IFERROR(INDEX(Расходка[Наименование расходного материала],MATCH(Расходка[[#This Row],[№]],Поиск_расходки[Индекс5],0)),"")</f>
        <v/>
      </c>
      <c r="W67" s="200" t="str">
        <f>IFERROR(INDEX(Расходка[Наименование расходного материала],MATCH(Расходка[[#This Row],[№]],Поиск_расходки[Индекс6],0)),"")</f>
        <v/>
      </c>
      <c r="X67" s="200" t="str">
        <f>IFERROR(INDEX(Расходка[Наименование расходного материала],MATCH(Расходка[[#This Row],[№]],Поиск_расходки[Индекс7],0)),"")</f>
        <v/>
      </c>
      <c r="Y67" s="200" t="str">
        <f>IFERROR(INDEX(Расходка[Наименование расходного материала],MATCH(Расходка[[#This Row],[№]],Поиск_расходки[Индекс8],0)),"")</f>
        <v/>
      </c>
      <c r="Z67" s="200" t="str">
        <f>IFERROR(INDEX(Расходка[Наименование расходного материала],MATCH(Расходка[[#This Row],[№]],Поиск_расходки[Индекс9],0)),"")</f>
        <v/>
      </c>
      <c r="AA67" s="200" t="str">
        <f>IFERROR(INDEX(Расходка[Наименование расходного материала],MATCH(Расходка[[#This Row],[№]],Поиск_расходки[Индекс10],0)),"")</f>
        <v/>
      </c>
      <c r="AB67" s="200" t="str">
        <f>IFERROR(INDEX(Расходка[Наименование расходного материала],MATCH(Расходка[[#This Row],[№]],Поиск_расходки[Индекс11],0)),"")</f>
        <v/>
      </c>
      <c r="AC67" s="200" t="str">
        <f>IFERROR(INDEX(Расходка[Наименование расходного материала],MATCH(Расходка[[#This Row],[№]],Поиск_расходки[Индекс12],0)),"")</f>
        <v/>
      </c>
      <c r="AD67" s="200" t="str">
        <f>IFERROR(INDEX(Расходка[Наименование расходного материала],MATCH(Расходка[[#This Row],[№]],Поиск_расходки[Индекс13],0)),"")</f>
        <v/>
      </c>
      <c r="AF67" s="4" t="s">
        <v>6</v>
      </c>
      <c r="AG67" s="4" t="s">
        <v>465</v>
      </c>
    </row>
    <row r="68" spans="1:33" x14ac:dyDescent="0.25">
      <c r="E68" s="199">
        <f>IF(ISNUMBER(SEARCH('Карта учёта'!$B$13,Расходка[[#This Row],[Наименование расходного материала]])),MAX($E$1:E67)+1,0)</f>
        <v>0</v>
      </c>
      <c r="F68" s="199">
        <f>IF(ISNUMBER(SEARCH('Карта учёта'!$B$14,Расходка[[#This Row],[Наименование расходного материала]])),MAX($F$1:F67)+1,0)</f>
        <v>0</v>
      </c>
      <c r="G68" s="199">
        <f>IF(ISNUMBER(SEARCH('Карта учёта'!$B$15,Расходка[[#This Row],[Наименование расходного материала]])),MAX($G$1:G67)+1,0)</f>
        <v>0</v>
      </c>
      <c r="H68" s="199">
        <f>IF(ISNUMBER(SEARCH('Карта учёта'!$B$16,Расходка[[#This Row],[Наименование расходного материала]])),MAX($H$1:H67)+1,0)</f>
        <v>0</v>
      </c>
      <c r="I68" s="199">
        <f>IF(ISNUMBER(SEARCH('Карта учёта'!$B$17,Расходка[[#This Row],[Наименование расходного материала]])),MAX($I$1:I67)+1,0)</f>
        <v>0</v>
      </c>
      <c r="J68" s="199">
        <f>IF(ISNUMBER(SEARCH('Карта учёта'!$B$18,Расходка[[#This Row],[Наименование расходного материала]])),MAX($J$1:J67)+1,0)</f>
        <v>0</v>
      </c>
      <c r="K68" s="199">
        <f>IF(ISNUMBER(SEARCH('Карта учёта'!$B$19,Расходка[[#This Row],[Наименование расходного материала]])),MAX($K$1:K67)+1,0)</f>
        <v>0</v>
      </c>
      <c r="L68" s="199">
        <f>IF(ISNUMBER(SEARCH('Карта учёта'!$B$20,Расходка[[#This Row],[Наименование расходного материала]])),MAX($L$1:L67)+1,0)</f>
        <v>0</v>
      </c>
      <c r="M68" s="199">
        <f>IF(ISNUMBER(SEARCH('Карта учёта'!$B$21,Расходка[[#This Row],[Наименование расходного материала]])),MAX($M$1:M67)+1,0)</f>
        <v>0</v>
      </c>
      <c r="N68" s="199">
        <f>IF(ISNUMBER(SEARCH('Карта учёта'!$B$22,Расходка[[#This Row],[Наименование расходного материала]])),MAX($N$1:N67)+1,0)</f>
        <v>0</v>
      </c>
      <c r="O68" s="199">
        <f>IF(ISNUMBER(SEARCH('Карта учёта'!$B$23,Расходка[[#This Row],[Наименование расходного материала]])),MAX($O$1:O67)+1,0)</f>
        <v>0</v>
      </c>
      <c r="P68" s="199">
        <f>IF(ISNUMBER(SEARCH('Карта учёта'!$B$24,Расходка[[#This Row],[Наименование расходного материала]])),MAX($P$1:P67)+1,0)</f>
        <v>0</v>
      </c>
      <c r="Q68" s="199">
        <f>IF(ISNUMBER(SEARCH('Карта учёта'!$B$25,Расходка[[#This Row],[Наименование расходного материала]])),MAX($Q$1:Q67)+1,0)</f>
        <v>0</v>
      </c>
      <c r="R68" s="200" t="str">
        <f>IFERROR(INDEX(Расходка[Наименование расходного материала],MATCH(Расходка[[#This Row],[№]],Поиск_расходки[Индекс1],0)),"")</f>
        <v/>
      </c>
      <c r="S68" s="200" t="str">
        <f>IFERROR(INDEX(Расходка[Наименование расходного материала],MATCH(Расходка[[#This Row],[№]],Поиск_расходки[Индекс2],0)),"")</f>
        <v/>
      </c>
      <c r="T68" s="200" t="str">
        <f>IFERROR(INDEX(Расходка[Наименование расходного материала],MATCH(Расходка[[#This Row],[№]],Поиск_расходки[Индекс3],0)),"")</f>
        <v/>
      </c>
      <c r="U68" s="200" t="str">
        <f>IFERROR(INDEX(Расходка[Наименование расходного материала],MATCH(Расходка[[#This Row],[№]],Поиск_расходки[Индекс4],0)),"")</f>
        <v/>
      </c>
      <c r="V68" s="200" t="str">
        <f>IFERROR(INDEX(Расходка[Наименование расходного материала],MATCH(Расходка[[#This Row],[№]],Поиск_расходки[Индекс5],0)),"")</f>
        <v/>
      </c>
      <c r="W68" s="200" t="str">
        <f>IFERROR(INDEX(Расходка[Наименование расходного материала],MATCH(Расходка[[#This Row],[№]],Поиск_расходки[Индекс6],0)),"")</f>
        <v/>
      </c>
      <c r="X68" s="200" t="str">
        <f>IFERROR(INDEX(Расходка[Наименование расходного материала],MATCH(Расходка[[#This Row],[№]],Поиск_расходки[Индекс7],0)),"")</f>
        <v/>
      </c>
      <c r="Y68" s="200" t="str">
        <f>IFERROR(INDEX(Расходка[Наименование расходного материала],MATCH(Расходка[[#This Row],[№]],Поиск_расходки[Индекс8],0)),"")</f>
        <v/>
      </c>
      <c r="Z68" s="200" t="str">
        <f>IFERROR(INDEX(Расходка[Наименование расходного материала],MATCH(Расходка[[#This Row],[№]],Поиск_расходки[Индекс9],0)),"")</f>
        <v/>
      </c>
      <c r="AA68" s="200" t="str">
        <f>IFERROR(INDEX(Расходка[Наименование расходного материала],MATCH(Расходка[[#This Row],[№]],Поиск_расходки[Индекс10],0)),"")</f>
        <v/>
      </c>
      <c r="AB68" s="200" t="str">
        <f>IFERROR(INDEX(Расходка[Наименование расходного материала],MATCH(Расходка[[#This Row],[№]],Поиск_расходки[Индекс11],0)),"")</f>
        <v/>
      </c>
      <c r="AC68" s="200" t="str">
        <f>IFERROR(INDEX(Расходка[Наименование расходного материала],MATCH(Расходка[[#This Row],[№]],Поиск_расходки[Индекс12],0)),"")</f>
        <v/>
      </c>
      <c r="AD68" s="200" t="str">
        <f>IFERROR(INDEX(Расходка[Наименование расходного материала],MATCH(Расходка[[#This Row],[№]],Поиск_расходки[Индекс13],0)),"")</f>
        <v/>
      </c>
      <c r="AF68" s="4" t="s">
        <v>6</v>
      </c>
      <c r="AG68" s="4" t="s">
        <v>466</v>
      </c>
    </row>
    <row r="69" spans="1:33" x14ac:dyDescent="0.25">
      <c r="E69" s="199">
        <f>IF(ISNUMBER(SEARCH('Карта учёта'!$B$13,Расходка[[#This Row],[Наименование расходного материала]])),MAX($E$1:E68)+1,0)</f>
        <v>0</v>
      </c>
      <c r="F69" s="199">
        <f>IF(ISNUMBER(SEARCH('Карта учёта'!$B$14,Расходка[[#This Row],[Наименование расходного материала]])),MAX($F$1:F68)+1,0)</f>
        <v>0</v>
      </c>
      <c r="G69" s="199">
        <f>IF(ISNUMBER(SEARCH('Карта учёта'!$B$15,Расходка[[#This Row],[Наименование расходного материала]])),MAX($G$1:G68)+1,0)</f>
        <v>0</v>
      </c>
      <c r="H69" s="199">
        <f>IF(ISNUMBER(SEARCH('Карта учёта'!$B$16,Расходка[[#This Row],[Наименование расходного материала]])),MAX($H$1:H68)+1,0)</f>
        <v>0</v>
      </c>
      <c r="I69" s="199">
        <f>IF(ISNUMBER(SEARCH('Карта учёта'!$B$17,Расходка[[#This Row],[Наименование расходного материала]])),MAX($I$1:I68)+1,0)</f>
        <v>0</v>
      </c>
      <c r="J69" s="199">
        <f>IF(ISNUMBER(SEARCH('Карта учёта'!$B$18,Расходка[[#This Row],[Наименование расходного материала]])),MAX($J$1:J68)+1,0)</f>
        <v>0</v>
      </c>
      <c r="K69" s="199">
        <f>IF(ISNUMBER(SEARCH('Карта учёта'!$B$19,Расходка[[#This Row],[Наименование расходного материала]])),MAX($K$1:K68)+1,0)</f>
        <v>0</v>
      </c>
      <c r="L69" s="199">
        <f>IF(ISNUMBER(SEARCH('Карта учёта'!$B$20,Расходка[[#This Row],[Наименование расходного материала]])),MAX($L$1:L68)+1,0)</f>
        <v>0</v>
      </c>
      <c r="M69" s="199">
        <f>IF(ISNUMBER(SEARCH('Карта учёта'!$B$21,Расходка[[#This Row],[Наименование расходного материала]])),MAX($M$1:M68)+1,0)</f>
        <v>0</v>
      </c>
      <c r="N69" s="199">
        <f>IF(ISNUMBER(SEARCH('Карта учёта'!$B$22,Расходка[[#This Row],[Наименование расходного материала]])),MAX($N$1:N68)+1,0)</f>
        <v>0</v>
      </c>
      <c r="O69" s="199">
        <f>IF(ISNUMBER(SEARCH('Карта учёта'!$B$23,Расходка[[#This Row],[Наименование расходного материала]])),MAX($O$1:O68)+1,0)</f>
        <v>0</v>
      </c>
      <c r="P69" s="199">
        <f>IF(ISNUMBER(SEARCH('Карта учёта'!$B$24,Расходка[[#This Row],[Наименование расходного материала]])),MAX($P$1:P68)+1,0)</f>
        <v>0</v>
      </c>
      <c r="Q69" s="199">
        <f>IF(ISNUMBER(SEARCH('Карта учёта'!$B$25,Расходка[[#This Row],[Наименование расходного материала]])),MAX($Q$1:Q68)+1,0)</f>
        <v>0</v>
      </c>
      <c r="R69" s="200" t="str">
        <f>IFERROR(INDEX(Расходка[Наименование расходного материала],MATCH(Расходка[[#This Row],[№]],Поиск_расходки[Индекс1],0)),"")</f>
        <v/>
      </c>
      <c r="S69" s="200" t="str">
        <f>IFERROR(INDEX(Расходка[Наименование расходного материала],MATCH(Расходка[[#This Row],[№]],Поиск_расходки[Индекс2],0)),"")</f>
        <v/>
      </c>
      <c r="T69" s="200" t="str">
        <f>IFERROR(INDEX(Расходка[Наименование расходного материала],MATCH(Расходка[[#This Row],[№]],Поиск_расходки[Индекс3],0)),"")</f>
        <v/>
      </c>
      <c r="U69" s="200" t="str">
        <f>IFERROR(INDEX(Расходка[Наименование расходного материала],MATCH(Расходка[[#This Row],[№]],Поиск_расходки[Индекс4],0)),"")</f>
        <v/>
      </c>
      <c r="V69" s="200" t="str">
        <f>IFERROR(INDEX(Расходка[Наименование расходного материала],MATCH(Расходка[[#This Row],[№]],Поиск_расходки[Индекс5],0)),"")</f>
        <v/>
      </c>
      <c r="W69" s="200" t="str">
        <f>IFERROR(INDEX(Расходка[Наименование расходного материала],MATCH(Расходка[[#This Row],[№]],Поиск_расходки[Индекс6],0)),"")</f>
        <v/>
      </c>
      <c r="X69" s="200" t="str">
        <f>IFERROR(INDEX(Расходка[Наименование расходного материала],MATCH(Расходка[[#This Row],[№]],Поиск_расходки[Индекс7],0)),"")</f>
        <v/>
      </c>
      <c r="Y69" s="200" t="str">
        <f>IFERROR(INDEX(Расходка[Наименование расходного материала],MATCH(Расходка[[#This Row],[№]],Поиск_расходки[Индекс8],0)),"")</f>
        <v/>
      </c>
      <c r="Z69" s="200" t="str">
        <f>IFERROR(INDEX(Расходка[Наименование расходного материала],MATCH(Расходка[[#This Row],[№]],Поиск_расходки[Индекс9],0)),"")</f>
        <v/>
      </c>
      <c r="AA69" s="200" t="str">
        <f>IFERROR(INDEX(Расходка[Наименование расходного материала],MATCH(Расходка[[#This Row],[№]],Поиск_расходки[Индекс10],0)),"")</f>
        <v/>
      </c>
      <c r="AB69" s="200" t="str">
        <f>IFERROR(INDEX(Расходка[Наименование расходного материала],MATCH(Расходка[[#This Row],[№]],Поиск_расходки[Индекс11],0)),"")</f>
        <v/>
      </c>
      <c r="AC69" s="200" t="str">
        <f>IFERROR(INDEX(Расходка[Наименование расходного материала],MATCH(Расходка[[#This Row],[№]],Поиск_расходки[Индекс12],0)),"")</f>
        <v/>
      </c>
      <c r="AD69" s="200" t="str">
        <f>IFERROR(INDEX(Расходка[Наименование расходного материала],MATCH(Расходка[[#This Row],[№]],Поиск_расходки[Индекс13],0)),"")</f>
        <v/>
      </c>
      <c r="AF69" s="4" t="s">
        <v>6</v>
      </c>
      <c r="AG69" s="4" t="s">
        <v>467</v>
      </c>
    </row>
    <row r="70" spans="1:33" x14ac:dyDescent="0.25">
      <c r="E70" s="199">
        <f>IF(ISNUMBER(SEARCH('Карта учёта'!$B$13,Расходка[[#This Row],[Наименование расходного материала]])),MAX($E$1:E69)+1,0)</f>
        <v>0</v>
      </c>
      <c r="F70" s="199">
        <f>IF(ISNUMBER(SEARCH('Карта учёта'!$B$14,Расходка[[#This Row],[Наименование расходного материала]])),MAX($F$1:F69)+1,0)</f>
        <v>0</v>
      </c>
      <c r="G70" s="199">
        <f>IF(ISNUMBER(SEARCH('Карта учёта'!$B$15,Расходка[[#This Row],[Наименование расходного материала]])),MAX($G$1:G69)+1,0)</f>
        <v>0</v>
      </c>
      <c r="H70" s="199">
        <f>IF(ISNUMBER(SEARCH('Карта учёта'!$B$16,Расходка[[#This Row],[Наименование расходного материала]])),MAX($H$1:H69)+1,0)</f>
        <v>0</v>
      </c>
      <c r="I70" s="199">
        <f>IF(ISNUMBER(SEARCH('Карта учёта'!$B$17,Расходка[[#This Row],[Наименование расходного материала]])),MAX($I$1:I69)+1,0)</f>
        <v>0</v>
      </c>
      <c r="J70" s="199">
        <f>IF(ISNUMBER(SEARCH('Карта учёта'!$B$18,Расходка[[#This Row],[Наименование расходного материала]])),MAX($J$1:J69)+1,0)</f>
        <v>0</v>
      </c>
      <c r="K70" s="199">
        <f>IF(ISNUMBER(SEARCH('Карта учёта'!$B$19,Расходка[[#This Row],[Наименование расходного материала]])),MAX($K$1:K69)+1,0)</f>
        <v>0</v>
      </c>
      <c r="L70" s="199">
        <f>IF(ISNUMBER(SEARCH('Карта учёта'!$B$20,Расходка[[#This Row],[Наименование расходного материала]])),MAX($L$1:L69)+1,0)</f>
        <v>0</v>
      </c>
      <c r="M70" s="199">
        <f>IF(ISNUMBER(SEARCH('Карта учёта'!$B$21,Расходка[[#This Row],[Наименование расходного материала]])),MAX($M$1:M69)+1,0)</f>
        <v>0</v>
      </c>
      <c r="N70" s="199">
        <f>IF(ISNUMBER(SEARCH('Карта учёта'!$B$22,Расходка[[#This Row],[Наименование расходного материала]])),MAX($N$1:N69)+1,0)</f>
        <v>0</v>
      </c>
      <c r="O70" s="199">
        <f>IF(ISNUMBER(SEARCH('Карта учёта'!$B$23,Расходка[[#This Row],[Наименование расходного материала]])),MAX($O$1:O69)+1,0)</f>
        <v>0</v>
      </c>
      <c r="P70" s="199">
        <f>IF(ISNUMBER(SEARCH('Карта учёта'!$B$24,Расходка[[#This Row],[Наименование расходного материала]])),MAX($P$1:P69)+1,0)</f>
        <v>0</v>
      </c>
      <c r="Q70" s="199">
        <f>IF(ISNUMBER(SEARCH('Карта учёта'!$B$25,Расходка[[#This Row],[Наименование расходного материала]])),MAX($Q$1:Q69)+1,0)</f>
        <v>0</v>
      </c>
      <c r="R70" s="200" t="str">
        <f>IFERROR(INDEX(Расходка[Наименование расходного материала],MATCH(Расходка[[#This Row],[№]],Поиск_расходки[Индекс1],0)),"")</f>
        <v/>
      </c>
      <c r="S70" s="200" t="str">
        <f>IFERROR(INDEX(Расходка[Наименование расходного материала],MATCH(Расходка[[#This Row],[№]],Поиск_расходки[Индекс2],0)),"")</f>
        <v/>
      </c>
      <c r="T70" s="200" t="str">
        <f>IFERROR(INDEX(Расходка[Наименование расходного материала],MATCH(Расходка[[#This Row],[№]],Поиск_расходки[Индекс3],0)),"")</f>
        <v/>
      </c>
      <c r="U70" s="200" t="str">
        <f>IFERROR(INDEX(Расходка[Наименование расходного материала],MATCH(Расходка[[#This Row],[№]],Поиск_расходки[Индекс4],0)),"")</f>
        <v/>
      </c>
      <c r="V70" s="200" t="str">
        <f>IFERROR(INDEX(Расходка[Наименование расходного материала],MATCH(Расходка[[#This Row],[№]],Поиск_расходки[Индекс5],0)),"")</f>
        <v/>
      </c>
      <c r="W70" s="200" t="str">
        <f>IFERROR(INDEX(Расходка[Наименование расходного материала],MATCH(Расходка[[#This Row],[№]],Поиск_расходки[Индекс6],0)),"")</f>
        <v/>
      </c>
      <c r="X70" s="200" t="str">
        <f>IFERROR(INDEX(Расходка[Наименование расходного материала],MATCH(Расходка[[#This Row],[№]],Поиск_расходки[Индекс7],0)),"")</f>
        <v/>
      </c>
      <c r="Y70" s="200" t="str">
        <f>IFERROR(INDEX(Расходка[Наименование расходного материала],MATCH(Расходка[[#This Row],[№]],Поиск_расходки[Индекс8],0)),"")</f>
        <v/>
      </c>
      <c r="Z70" s="200" t="str">
        <f>IFERROR(INDEX(Расходка[Наименование расходного материала],MATCH(Расходка[[#This Row],[№]],Поиск_расходки[Индекс9],0)),"")</f>
        <v/>
      </c>
      <c r="AA70" s="200" t="str">
        <f>IFERROR(INDEX(Расходка[Наименование расходного материала],MATCH(Расходка[[#This Row],[№]],Поиск_расходки[Индекс10],0)),"")</f>
        <v/>
      </c>
      <c r="AB70" s="200" t="str">
        <f>IFERROR(INDEX(Расходка[Наименование расходного материала],MATCH(Расходка[[#This Row],[№]],Поиск_расходки[Индекс11],0)),"")</f>
        <v/>
      </c>
      <c r="AC70" s="200" t="str">
        <f>IFERROR(INDEX(Расходка[Наименование расходного материала],MATCH(Расходка[[#This Row],[№]],Поиск_расходки[Индекс12],0)),"")</f>
        <v/>
      </c>
      <c r="AD70" s="200" t="str">
        <f>IFERROR(INDEX(Расходка[Наименование расходного материала],MATCH(Расходка[[#This Row],[№]],Поиск_расходки[Индекс13],0)),"")</f>
        <v/>
      </c>
      <c r="AF70" s="4" t="s">
        <v>6</v>
      </c>
      <c r="AG70" s="4" t="s">
        <v>468</v>
      </c>
    </row>
    <row r="71" spans="1:33" x14ac:dyDescent="0.25">
      <c r="AF71" s="4" t="s">
        <v>6</v>
      </c>
      <c r="AG71" s="4" t="s">
        <v>423</v>
      </c>
    </row>
    <row r="72" spans="1:33" x14ac:dyDescent="0.25">
      <c r="AF72" s="4" t="s">
        <v>6</v>
      </c>
      <c r="AG72" s="4" t="s">
        <v>469</v>
      </c>
    </row>
    <row r="73" spans="1:33" x14ac:dyDescent="0.25">
      <c r="AF73" s="4" t="s">
        <v>6</v>
      </c>
      <c r="AG73" s="4" t="s">
        <v>424</v>
      </c>
    </row>
    <row r="74" spans="1:33" x14ac:dyDescent="0.25">
      <c r="AF74" s="4" t="s">
        <v>6</v>
      </c>
      <c r="AG74" s="4" t="s">
        <v>470</v>
      </c>
    </row>
    <row r="75" spans="1:33" x14ac:dyDescent="0.25">
      <c r="AF75" s="4" t="s">
        <v>6</v>
      </c>
      <c r="AG75" s="4" t="s">
        <v>471</v>
      </c>
    </row>
    <row r="76" spans="1:33" x14ac:dyDescent="0.25">
      <c r="AF76" s="4" t="s">
        <v>6</v>
      </c>
      <c r="AG76" s="4" t="s">
        <v>472</v>
      </c>
    </row>
    <row r="77" spans="1:33" x14ac:dyDescent="0.25">
      <c r="AF77" s="4" t="s">
        <v>6</v>
      </c>
      <c r="AG77" s="4" t="s">
        <v>473</v>
      </c>
    </row>
    <row r="78" spans="1:33" x14ac:dyDescent="0.25">
      <c r="AF78" s="4" t="s">
        <v>6</v>
      </c>
      <c r="AG78" s="4" t="s">
        <v>474</v>
      </c>
    </row>
    <row r="79" spans="1:33" x14ac:dyDescent="0.25">
      <c r="AF79" s="4" t="s">
        <v>6</v>
      </c>
      <c r="AG79" s="4" t="s">
        <v>475</v>
      </c>
    </row>
    <row r="80" spans="1:33" x14ac:dyDescent="0.25">
      <c r="AF80" s="4" t="s">
        <v>6</v>
      </c>
      <c r="AG80" s="4" t="s">
        <v>476</v>
      </c>
    </row>
    <row r="81" spans="32:33" x14ac:dyDescent="0.25">
      <c r="AF81" s="4" t="s">
        <v>6</v>
      </c>
      <c r="AG81" s="4" t="s">
        <v>477</v>
      </c>
    </row>
    <row r="82" spans="32:33" x14ac:dyDescent="0.25">
      <c r="AF82" s="4" t="s">
        <v>6</v>
      </c>
      <c r="AG82" s="4" t="s">
        <v>478</v>
      </c>
    </row>
    <row r="83" spans="32:33" x14ac:dyDescent="0.25">
      <c r="AF83" s="4" t="s">
        <v>6</v>
      </c>
      <c r="AG83" s="4" t="s">
        <v>479</v>
      </c>
    </row>
    <row r="84" spans="32:33" x14ac:dyDescent="0.25">
      <c r="AF84" s="4" t="s">
        <v>6</v>
      </c>
      <c r="AG84" s="4" t="s">
        <v>430</v>
      </c>
    </row>
    <row r="85" spans="32:33" x14ac:dyDescent="0.25">
      <c r="AF85" s="4" t="s">
        <v>6</v>
      </c>
      <c r="AG85" s="4" t="s">
        <v>431</v>
      </c>
    </row>
    <row r="86" spans="32:33" x14ac:dyDescent="0.25">
      <c r="AF86" s="4" t="s">
        <v>6</v>
      </c>
      <c r="AG86" s="4" t="s">
        <v>480</v>
      </c>
    </row>
    <row r="87" spans="32:33" x14ac:dyDescent="0.25">
      <c r="AF87" s="4" t="s">
        <v>6</v>
      </c>
      <c r="AG87" s="4" t="s">
        <v>481</v>
      </c>
    </row>
    <row r="88" spans="32:33" x14ac:dyDescent="0.25">
      <c r="AF88" s="4" t="s">
        <v>6</v>
      </c>
      <c r="AG88" s="4" t="s">
        <v>482</v>
      </c>
    </row>
    <row r="89" spans="32:33" x14ac:dyDescent="0.25">
      <c r="AF89" s="4" t="s">
        <v>6</v>
      </c>
      <c r="AG89" s="4" t="s">
        <v>483</v>
      </c>
    </row>
    <row r="90" spans="32:33" x14ac:dyDescent="0.25">
      <c r="AF90" s="4" t="s">
        <v>6</v>
      </c>
      <c r="AG90" s="4" t="s">
        <v>484</v>
      </c>
    </row>
    <row r="91" spans="32:33" x14ac:dyDescent="0.25">
      <c r="AF91" s="4" t="s">
        <v>6</v>
      </c>
      <c r="AG91" s="4" t="s">
        <v>485</v>
      </c>
    </row>
    <row r="92" spans="32:33" x14ac:dyDescent="0.25">
      <c r="AF92" s="4" t="s">
        <v>6</v>
      </c>
      <c r="AG92" s="4" t="s">
        <v>486</v>
      </c>
    </row>
    <row r="93" spans="32:33" x14ac:dyDescent="0.25">
      <c r="AF93" s="4" t="s">
        <v>6</v>
      </c>
      <c r="AG93" s="4" t="s">
        <v>487</v>
      </c>
    </row>
    <row r="94" spans="32:33" x14ac:dyDescent="0.25">
      <c r="AF94" s="4" t="s">
        <v>6</v>
      </c>
      <c r="AG94" s="4" t="s">
        <v>434</v>
      </c>
    </row>
    <row r="95" spans="32:33" x14ac:dyDescent="0.25">
      <c r="AF95" s="4" t="s">
        <v>6</v>
      </c>
      <c r="AG95" s="4" t="s">
        <v>435</v>
      </c>
    </row>
    <row r="96" spans="32:33" x14ac:dyDescent="0.25">
      <c r="AF96" s="4" t="s">
        <v>6</v>
      </c>
      <c r="AG96" s="4" t="s">
        <v>488</v>
      </c>
    </row>
    <row r="97" spans="32:33" x14ac:dyDescent="0.25">
      <c r="AF97" s="4" t="s">
        <v>6</v>
      </c>
      <c r="AG97" s="4" t="s">
        <v>489</v>
      </c>
    </row>
  </sheetData>
  <sheetProtection sheet="1" objects="1" scenarios="1" formatCells="0" formatColumns="0"/>
  <phoneticPr fontId="14" type="noConversion"/>
  <dataValidations count="1">
    <dataValidation type="list" allowBlank="1" showInputMessage="1" showErrorMessage="1" sqref="B2:B66" xr:uid="{00000000-0002-0000-0400-00000000000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9"/>
  <sheetViews>
    <sheetView zoomScale="90" zoomScaleNormal="90" workbookViewId="0">
      <selection activeCell="F23" sqref="F23"/>
    </sheetView>
  </sheetViews>
  <sheetFormatPr defaultRowHeight="15" x14ac:dyDescent="0.2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x14ac:dyDescent="0.25">
      <c r="A1" t="s">
        <v>112</v>
      </c>
      <c r="B1" t="s">
        <v>111</v>
      </c>
      <c r="C1" t="s">
        <v>113</v>
      </c>
      <c r="E1" t="s">
        <v>175</v>
      </c>
    </row>
    <row r="2" spans="1:5" x14ac:dyDescent="0.25">
      <c r="A2" t="s">
        <v>134</v>
      </c>
      <c r="B2" t="s">
        <v>107</v>
      </c>
      <c r="C2" t="str">
        <f t="shared" ref="C2:C16" si="0">CONCATENATE(A2,B2)</f>
        <v xml:space="preserve">Заведующий отделения: Д.В. Карчевский </v>
      </c>
      <c r="E2" t="s">
        <v>172</v>
      </c>
    </row>
    <row r="3" spans="1:5" x14ac:dyDescent="0.25">
      <c r="A3" t="s">
        <v>124</v>
      </c>
      <c r="B3" t="s">
        <v>109</v>
      </c>
      <c r="C3" t="str">
        <f t="shared" si="0"/>
        <v xml:space="preserve">И/О заведующего отделения: В.Л. Мартынко </v>
      </c>
      <c r="E3" t="s">
        <v>179</v>
      </c>
    </row>
    <row r="4" spans="1:5" x14ac:dyDescent="0.25">
      <c r="A4" t="s">
        <v>124</v>
      </c>
      <c r="B4" t="s">
        <v>116</v>
      </c>
      <c r="C4" t="str">
        <f>CONCATENATE(A4,B4)</f>
        <v xml:space="preserve">И/О заведующего отделения: А.В. Воронков </v>
      </c>
      <c r="E4" t="s">
        <v>173</v>
      </c>
    </row>
    <row r="5" spans="1:5" x14ac:dyDescent="0.25">
      <c r="A5" t="s">
        <v>108</v>
      </c>
      <c r="B5" t="s">
        <v>118</v>
      </c>
      <c r="C5" t="str">
        <f t="shared" si="0"/>
        <v>Оператор: В.В. Анохин</v>
      </c>
      <c r="E5" t="s">
        <v>170</v>
      </c>
    </row>
    <row r="6" spans="1:5" x14ac:dyDescent="0.25">
      <c r="A6" t="s">
        <v>108</v>
      </c>
      <c r="B6" t="s">
        <v>116</v>
      </c>
      <c r="C6" t="str">
        <f t="shared" si="0"/>
        <v xml:space="preserve">Оператор: А.В. Воронков </v>
      </c>
      <c r="E6" t="s">
        <v>303</v>
      </c>
    </row>
    <row r="7" spans="1:5" x14ac:dyDescent="0.25">
      <c r="A7" t="s">
        <v>108</v>
      </c>
      <c r="B7" t="s">
        <v>119</v>
      </c>
      <c r="C7" t="str">
        <f t="shared" si="0"/>
        <v>Оператор: И.Н. Зимин</v>
      </c>
      <c r="E7" t="s">
        <v>180</v>
      </c>
    </row>
    <row r="8" spans="1:5" x14ac:dyDescent="0.25">
      <c r="A8" t="s">
        <v>108</v>
      </c>
      <c r="B8" t="s">
        <v>107</v>
      </c>
      <c r="C8" t="str">
        <f t="shared" si="0"/>
        <v xml:space="preserve">Оператор: Д.В. Карчевский </v>
      </c>
      <c r="E8" t="s">
        <v>181</v>
      </c>
    </row>
    <row r="9" spans="1:5" x14ac:dyDescent="0.25">
      <c r="A9" t="s">
        <v>108</v>
      </c>
      <c r="B9" t="s">
        <v>109</v>
      </c>
      <c r="C9" t="str">
        <f t="shared" si="0"/>
        <v xml:space="preserve">Оператор: В.Л. Мартынко </v>
      </c>
      <c r="E9" t="s">
        <v>182</v>
      </c>
    </row>
    <row r="10" spans="1:5" x14ac:dyDescent="0.25">
      <c r="A10" t="s">
        <v>108</v>
      </c>
      <c r="B10" t="s">
        <v>114</v>
      </c>
      <c r="C10" t="str">
        <f t="shared" si="0"/>
        <v xml:space="preserve">Оператор: А.С. Меренков </v>
      </c>
      <c r="E10" t="s">
        <v>183</v>
      </c>
    </row>
    <row r="11" spans="1:5" x14ac:dyDescent="0.25">
      <c r="A11" t="s">
        <v>108</v>
      </c>
      <c r="B11" t="s">
        <v>117</v>
      </c>
      <c r="C11" t="str">
        <f t="shared" si="0"/>
        <v xml:space="preserve">Оператор: О.В. Мещеряков </v>
      </c>
      <c r="E11" t="s">
        <v>184</v>
      </c>
    </row>
    <row r="12" spans="1:5" x14ac:dyDescent="0.25">
      <c r="A12" t="s">
        <v>108</v>
      </c>
      <c r="B12" t="s">
        <v>115</v>
      </c>
      <c r="C12" t="str">
        <f t="shared" si="0"/>
        <v xml:space="preserve">Оператор: И.А. Московский </v>
      </c>
    </row>
    <row r="13" spans="1:5" x14ac:dyDescent="0.25">
      <c r="A13" t="s">
        <v>108</v>
      </c>
      <c r="B13" t="s">
        <v>121</v>
      </c>
      <c r="C13" t="str">
        <f>CONCATENATE(A13,B13)</f>
        <v>Оператор: А.Ф. Паращенко</v>
      </c>
    </row>
    <row r="14" spans="1:5" x14ac:dyDescent="0.25">
      <c r="A14" t="s">
        <v>108</v>
      </c>
      <c r="B14" t="s">
        <v>110</v>
      </c>
      <c r="C14" t="str">
        <f t="shared" si="0"/>
        <v xml:space="preserve">Оператор: А.С. Щербаков </v>
      </c>
    </row>
    <row r="15" spans="1:5" x14ac:dyDescent="0.25">
      <c r="A15" t="s">
        <v>120</v>
      </c>
      <c r="B15" t="s">
        <v>122</v>
      </c>
      <c r="C15" t="str">
        <f t="shared" si="0"/>
        <v>Старшая мед.сетра: О.Н. Черткова</v>
      </c>
    </row>
    <row r="16" spans="1:5" x14ac:dyDescent="0.25">
      <c r="A16" t="s">
        <v>123</v>
      </c>
      <c r="B16" t="s">
        <v>350</v>
      </c>
      <c r="C16" t="str">
        <f t="shared" si="0"/>
        <v xml:space="preserve">И/О старшей мед.сетры: А.А. Нефёдова </v>
      </c>
    </row>
    <row r="17" spans="1:3" x14ac:dyDescent="0.25">
      <c r="A17" t="s">
        <v>123</v>
      </c>
      <c r="B17" t="s">
        <v>349</v>
      </c>
      <c r="C17" t="str">
        <f>CONCATENATE(A17,B17)</f>
        <v>И/О старшей мед.сетры: А.М. Казанцева</v>
      </c>
    </row>
    <row r="20" spans="1:3" x14ac:dyDescent="0.25">
      <c r="A20" t="s">
        <v>175</v>
      </c>
      <c r="B20" t="s">
        <v>174</v>
      </c>
    </row>
    <row r="21" spans="1:3" x14ac:dyDescent="0.25">
      <c r="A21" t="s">
        <v>170</v>
      </c>
      <c r="B21" t="s">
        <v>267</v>
      </c>
    </row>
    <row r="22" spans="1:3" x14ac:dyDescent="0.25">
      <c r="A22" t="s">
        <v>170</v>
      </c>
      <c r="B22" t="s">
        <v>176</v>
      </c>
    </row>
    <row r="23" spans="1:3" x14ac:dyDescent="0.25">
      <c r="A23" t="s">
        <v>170</v>
      </c>
      <c r="B23" t="s">
        <v>304</v>
      </c>
    </row>
    <row r="24" spans="1:3" x14ac:dyDescent="0.25">
      <c r="A24" t="s">
        <v>170</v>
      </c>
      <c r="B24" t="s">
        <v>250</v>
      </c>
    </row>
    <row r="25" spans="1:3" x14ac:dyDescent="0.25">
      <c r="A25" t="s">
        <v>170</v>
      </c>
      <c r="B25" t="s">
        <v>264</v>
      </c>
    </row>
    <row r="26" spans="1:3" x14ac:dyDescent="0.25">
      <c r="A26" t="s">
        <v>170</v>
      </c>
      <c r="B26" t="s">
        <v>268</v>
      </c>
    </row>
    <row r="27" spans="1:3" x14ac:dyDescent="0.25">
      <c r="A27" t="s">
        <v>170</v>
      </c>
      <c r="B27" t="s">
        <v>256</v>
      </c>
    </row>
    <row r="28" spans="1:3" x14ac:dyDescent="0.25">
      <c r="A28" t="s">
        <v>170</v>
      </c>
      <c r="B28" t="s">
        <v>255</v>
      </c>
    </row>
    <row r="29" spans="1:3" x14ac:dyDescent="0.25">
      <c r="A29" t="s">
        <v>170</v>
      </c>
      <c r="B29" t="s">
        <v>302</v>
      </c>
    </row>
    <row r="30" spans="1:3" x14ac:dyDescent="0.25">
      <c r="A30" t="s">
        <v>170</v>
      </c>
      <c r="B30" t="s">
        <v>254</v>
      </c>
    </row>
    <row r="31" spans="1:3" x14ac:dyDescent="0.25">
      <c r="A31" t="s">
        <v>170</v>
      </c>
      <c r="B31" t="s">
        <v>270</v>
      </c>
    </row>
    <row r="32" spans="1:3" x14ac:dyDescent="0.25">
      <c r="A32" t="s">
        <v>170</v>
      </c>
      <c r="B32" t="s">
        <v>353</v>
      </c>
    </row>
    <row r="33" spans="1:2" x14ac:dyDescent="0.25">
      <c r="A33" t="s">
        <v>170</v>
      </c>
      <c r="B33" t="s">
        <v>263</v>
      </c>
    </row>
    <row r="34" spans="1:2" x14ac:dyDescent="0.25">
      <c r="A34" t="s">
        <v>170</v>
      </c>
      <c r="B34" t="s">
        <v>249</v>
      </c>
    </row>
    <row r="35" spans="1:2" x14ac:dyDescent="0.25">
      <c r="A35" t="s">
        <v>170</v>
      </c>
      <c r="B35" t="s">
        <v>253</v>
      </c>
    </row>
    <row r="36" spans="1:2" x14ac:dyDescent="0.25">
      <c r="A36" t="s">
        <v>170</v>
      </c>
      <c r="B36" t="s">
        <v>248</v>
      </c>
    </row>
    <row r="37" spans="1:2" x14ac:dyDescent="0.25">
      <c r="A37" t="s">
        <v>170</v>
      </c>
      <c r="B37" t="s">
        <v>366</v>
      </c>
    </row>
    <row r="38" spans="1:2" x14ac:dyDescent="0.25">
      <c r="A38" t="s">
        <v>170</v>
      </c>
      <c r="B38" t="s">
        <v>512</v>
      </c>
    </row>
    <row r="39" spans="1:2" x14ac:dyDescent="0.25">
      <c r="A39" t="s">
        <v>170</v>
      </c>
      <c r="B39" t="s">
        <v>266</v>
      </c>
    </row>
    <row r="40" spans="1:2" x14ac:dyDescent="0.25">
      <c r="A40" t="s">
        <v>170</v>
      </c>
      <c r="B40" t="s">
        <v>265</v>
      </c>
    </row>
    <row r="41" spans="1:2" x14ac:dyDescent="0.25">
      <c r="A41" t="s">
        <v>170</v>
      </c>
      <c r="B41" t="s">
        <v>257</v>
      </c>
    </row>
    <row r="42" spans="1:2" x14ac:dyDescent="0.25">
      <c r="A42" t="s">
        <v>170</v>
      </c>
      <c r="B42" t="s">
        <v>251</v>
      </c>
    </row>
    <row r="43" spans="1:2" x14ac:dyDescent="0.25">
      <c r="A43" t="s">
        <v>170</v>
      </c>
      <c r="B43" t="s">
        <v>252</v>
      </c>
    </row>
    <row r="44" spans="1:2" x14ac:dyDescent="0.25">
      <c r="A44" t="s">
        <v>303</v>
      </c>
      <c r="B44" t="s">
        <v>260</v>
      </c>
    </row>
    <row r="45" spans="1:2" x14ac:dyDescent="0.25">
      <c r="A45" t="s">
        <v>303</v>
      </c>
      <c r="B45" t="s">
        <v>261</v>
      </c>
    </row>
    <row r="46" spans="1:2" x14ac:dyDescent="0.25">
      <c r="A46" t="s">
        <v>303</v>
      </c>
      <c r="B46" t="s">
        <v>262</v>
      </c>
    </row>
    <row r="47" spans="1:2" x14ac:dyDescent="0.25">
      <c r="A47" t="s">
        <v>303</v>
      </c>
      <c r="B47" t="s">
        <v>178</v>
      </c>
    </row>
    <row r="48" spans="1:2" x14ac:dyDescent="0.25">
      <c r="A48" t="s">
        <v>303</v>
      </c>
      <c r="B48" t="s">
        <v>258</v>
      </c>
    </row>
    <row r="49" spans="1:2" x14ac:dyDescent="0.25">
      <c r="A49" t="s">
        <v>303</v>
      </c>
      <c r="B49" t="s">
        <v>269</v>
      </c>
    </row>
    <row r="50" spans="1:2" x14ac:dyDescent="0.25">
      <c r="A50" t="s">
        <v>303</v>
      </c>
      <c r="B50" t="s">
        <v>177</v>
      </c>
    </row>
    <row r="51" spans="1:2" x14ac:dyDescent="0.25">
      <c r="A51" t="s">
        <v>303</v>
      </c>
      <c r="B51" t="s">
        <v>509</v>
      </c>
    </row>
    <row r="52" spans="1:2" x14ac:dyDescent="0.25">
      <c r="A52" t="s">
        <v>303</v>
      </c>
      <c r="B52" t="s">
        <v>259</v>
      </c>
    </row>
    <row r="53" spans="1:2" x14ac:dyDescent="0.25">
      <c r="A53" t="s">
        <v>303</v>
      </c>
      <c r="B53" t="s">
        <v>371</v>
      </c>
    </row>
    <row r="54" spans="1:2" x14ac:dyDescent="0.25">
      <c r="A54" t="s">
        <v>303</v>
      </c>
      <c r="B54" t="s">
        <v>367</v>
      </c>
    </row>
    <row r="55" spans="1:2" x14ac:dyDescent="0.25">
      <c r="A55" t="s">
        <v>171</v>
      </c>
      <c r="B55" t="s">
        <v>144</v>
      </c>
    </row>
    <row r="56" spans="1:2" x14ac:dyDescent="0.25">
      <c r="A56" t="s">
        <v>171</v>
      </c>
      <c r="B56" t="s">
        <v>147</v>
      </c>
    </row>
    <row r="57" spans="1:2" x14ac:dyDescent="0.25">
      <c r="A57" t="s">
        <v>171</v>
      </c>
      <c r="B57" t="s">
        <v>150</v>
      </c>
    </row>
    <row r="58" spans="1:2" x14ac:dyDescent="0.25">
      <c r="A58" t="s">
        <v>171</v>
      </c>
      <c r="B58" t="s">
        <v>153</v>
      </c>
    </row>
    <row r="59" spans="1:2" x14ac:dyDescent="0.25">
      <c r="A59" t="s">
        <v>171</v>
      </c>
      <c r="B59" t="s">
        <v>156</v>
      </c>
    </row>
    <row r="60" spans="1:2" x14ac:dyDescent="0.25">
      <c r="A60" t="s">
        <v>171</v>
      </c>
      <c r="B60" t="s">
        <v>159</v>
      </c>
    </row>
    <row r="61" spans="1:2" x14ac:dyDescent="0.25">
      <c r="A61" t="s">
        <v>171</v>
      </c>
      <c r="B61" t="s">
        <v>164</v>
      </c>
    </row>
    <row r="62" spans="1:2" x14ac:dyDescent="0.25">
      <c r="A62" t="s">
        <v>171</v>
      </c>
      <c r="B62" t="s">
        <v>275</v>
      </c>
    </row>
    <row r="63" spans="1:2" x14ac:dyDescent="0.25">
      <c r="A63" t="s">
        <v>171</v>
      </c>
      <c r="B63" t="s">
        <v>166</v>
      </c>
    </row>
    <row r="64" spans="1:2" x14ac:dyDescent="0.25">
      <c r="A64" t="s">
        <v>171</v>
      </c>
      <c r="B64" t="s">
        <v>167</v>
      </c>
    </row>
    <row r="65" spans="1:2" x14ac:dyDescent="0.25">
      <c r="A65" t="s">
        <v>171</v>
      </c>
      <c r="B65" t="s">
        <v>168</v>
      </c>
    </row>
    <row r="66" spans="1:2" x14ac:dyDescent="0.25">
      <c r="A66" t="s">
        <v>171</v>
      </c>
      <c r="B66" t="s">
        <v>169</v>
      </c>
    </row>
    <row r="67" spans="1:2" x14ac:dyDescent="0.25">
      <c r="A67" t="s">
        <v>171</v>
      </c>
      <c r="B67" t="s">
        <v>141</v>
      </c>
    </row>
    <row r="68" spans="1:2" x14ac:dyDescent="0.25">
      <c r="A68" t="s">
        <v>171</v>
      </c>
      <c r="B68" t="s">
        <v>185</v>
      </c>
    </row>
    <row r="69" spans="1:2" x14ac:dyDescent="0.25">
      <c r="A69" t="s">
        <v>172</v>
      </c>
      <c r="B69" t="s">
        <v>342</v>
      </c>
    </row>
    <row r="70" spans="1:2" x14ac:dyDescent="0.25">
      <c r="A70" t="s">
        <v>172</v>
      </c>
      <c r="B70" t="s">
        <v>143</v>
      </c>
    </row>
    <row r="71" spans="1:2" x14ac:dyDescent="0.25">
      <c r="A71" t="s">
        <v>172</v>
      </c>
      <c r="B71" t="s">
        <v>369</v>
      </c>
    </row>
    <row r="72" spans="1:2" x14ac:dyDescent="0.25">
      <c r="A72" t="s">
        <v>172</v>
      </c>
      <c r="B72" t="s">
        <v>146</v>
      </c>
    </row>
    <row r="73" spans="1:2" x14ac:dyDescent="0.25">
      <c r="A73" t="s">
        <v>172</v>
      </c>
      <c r="B73" t="s">
        <v>140</v>
      </c>
    </row>
    <row r="74" spans="1:2" x14ac:dyDescent="0.25">
      <c r="A74" t="s">
        <v>172</v>
      </c>
      <c r="B74" t="s">
        <v>149</v>
      </c>
    </row>
    <row r="75" spans="1:2" x14ac:dyDescent="0.25">
      <c r="A75" t="s">
        <v>172</v>
      </c>
      <c r="B75" t="s">
        <v>152</v>
      </c>
    </row>
    <row r="76" spans="1:2" x14ac:dyDescent="0.25">
      <c r="A76" t="s">
        <v>172</v>
      </c>
      <c r="B76" t="s">
        <v>155</v>
      </c>
    </row>
    <row r="77" spans="1:2" x14ac:dyDescent="0.25">
      <c r="A77" t="s">
        <v>172</v>
      </c>
      <c r="B77" t="s">
        <v>158</v>
      </c>
    </row>
    <row r="78" spans="1:2" x14ac:dyDescent="0.25">
      <c r="A78" t="s">
        <v>172</v>
      </c>
      <c r="B78" t="s">
        <v>161</v>
      </c>
    </row>
    <row r="79" spans="1:2" x14ac:dyDescent="0.25">
      <c r="A79" t="s">
        <v>172</v>
      </c>
      <c r="B79" t="s">
        <v>163</v>
      </c>
    </row>
    <row r="80" spans="1:2" x14ac:dyDescent="0.25">
      <c r="A80" t="s">
        <v>184</v>
      </c>
      <c r="B80" t="s">
        <v>142</v>
      </c>
    </row>
    <row r="81" spans="1:2" x14ac:dyDescent="0.25">
      <c r="A81" t="s">
        <v>184</v>
      </c>
      <c r="B81" t="s">
        <v>274</v>
      </c>
    </row>
    <row r="82" spans="1:2" x14ac:dyDescent="0.25">
      <c r="A82" t="s">
        <v>184</v>
      </c>
      <c r="B82" t="s">
        <v>145</v>
      </c>
    </row>
    <row r="83" spans="1:2" x14ac:dyDescent="0.25">
      <c r="A83" t="s">
        <v>184</v>
      </c>
      <c r="B83" t="s">
        <v>148</v>
      </c>
    </row>
    <row r="84" spans="1:2" x14ac:dyDescent="0.25">
      <c r="A84" t="s">
        <v>184</v>
      </c>
      <c r="B84" t="s">
        <v>151</v>
      </c>
    </row>
    <row r="85" spans="1:2" x14ac:dyDescent="0.25">
      <c r="A85" t="s">
        <v>184</v>
      </c>
      <c r="B85" t="s">
        <v>154</v>
      </c>
    </row>
    <row r="86" spans="1:2" x14ac:dyDescent="0.25">
      <c r="A86" t="s">
        <v>184</v>
      </c>
      <c r="B86" t="s">
        <v>160</v>
      </c>
    </row>
    <row r="87" spans="1:2" x14ac:dyDescent="0.25">
      <c r="A87" t="s">
        <v>184</v>
      </c>
      <c r="B87" t="s">
        <v>157</v>
      </c>
    </row>
    <row r="88" spans="1:2" x14ac:dyDescent="0.25">
      <c r="A88" t="s">
        <v>184</v>
      </c>
      <c r="B88" t="s">
        <v>162</v>
      </c>
    </row>
    <row r="89" spans="1:2" x14ac:dyDescent="0.25">
      <c r="A89" t="s">
        <v>184</v>
      </c>
      <c r="B89" t="s">
        <v>165</v>
      </c>
    </row>
  </sheetData>
  <sheetProtection sheet="1" objects="1" scenarios="1"/>
  <phoneticPr fontId="14" type="noConversion"/>
  <dataValidations count="1">
    <dataValidation type="list" allowBlank="1" showInputMessage="1" showErrorMessage="1" sqref="A21:A89" xr:uid="{00000000-0002-0000-0500-00000000000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3"/>
  <sheetViews>
    <sheetView workbookViewId="0">
      <selection activeCell="F19" sqref="F19"/>
    </sheetView>
  </sheetViews>
  <sheetFormatPr defaultRowHeight="15" x14ac:dyDescent="0.25"/>
  <cols>
    <col min="1" max="1" width="73.7109375" bestFit="1" customWidth="1"/>
  </cols>
  <sheetData>
    <row r="1" spans="1:1" ht="61.9" customHeight="1" x14ac:dyDescent="0.25">
      <c r="A1" s="192" t="s">
        <v>386</v>
      </c>
    </row>
    <row r="2" spans="1:1" x14ac:dyDescent="0.25">
      <c r="A2" t="s">
        <v>383</v>
      </c>
    </row>
    <row r="3" spans="1:1" x14ac:dyDescent="0.25">
      <c r="A3" t="s">
        <v>387</v>
      </c>
    </row>
    <row r="4" spans="1:1" x14ac:dyDescent="0.25">
      <c r="A4" t="s">
        <v>388</v>
      </c>
    </row>
    <row r="5" spans="1:1" x14ac:dyDescent="0.25">
      <c r="A5" t="s">
        <v>384</v>
      </c>
    </row>
    <row r="6" spans="1:1" x14ac:dyDescent="0.25">
      <c r="A6" t="s">
        <v>385</v>
      </c>
    </row>
    <row r="7" spans="1:1" ht="14.45" customHeight="1" x14ac:dyDescent="0.25"/>
    <row r="8" spans="1:1" ht="14.45" customHeight="1" x14ac:dyDescent="0.25"/>
    <row r="9" spans="1:1" ht="14.45" customHeight="1" x14ac:dyDescent="0.25"/>
    <row r="10" spans="1:1" ht="14.45" customHeight="1" x14ac:dyDescent="0.25"/>
    <row r="11" spans="1:1" ht="14.45" customHeight="1" x14ac:dyDescent="0.25"/>
    <row r="12" spans="1:1" ht="14.45" customHeight="1" x14ac:dyDescent="0.25"/>
    <row r="13" spans="1:1" ht="14.4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2023-08-04T15:51:13Z</cp:lastPrinted>
  <dcterms:created xsi:type="dcterms:W3CDTF">2015-06-05T18:19:34Z</dcterms:created>
  <dcterms:modified xsi:type="dcterms:W3CDTF">2023-08-04T16:46:35Z</dcterms:modified>
</cp:coreProperties>
</file>