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Сентябрь\"/>
    </mc:Choice>
  </mc:AlternateContent>
  <xr:revisionPtr revIDLastSave="0" documentId="13_ncr:1_{ED9B9B4B-6539-4B77-A4F3-A81EC1918D81}"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activeTab="1"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8" i="1"/>
  <c r="R69" i="1"/>
  <c r="R70" i="1"/>
  <c r="S68" i="1"/>
  <c r="S69" i="1"/>
  <c r="S70" i="1"/>
  <c r="T68" i="1"/>
  <c r="T69" i="1"/>
  <c r="T70" i="1"/>
  <c r="U68" i="1"/>
  <c r="U69" i="1"/>
  <c r="U70" i="1"/>
  <c r="V68" i="1"/>
  <c r="V69" i="1"/>
  <c r="V70" i="1"/>
  <c r="W68" i="1"/>
  <c r="W69" i="1"/>
  <c r="W70" i="1"/>
  <c r="X68" i="1"/>
  <c r="X69" i="1"/>
  <c r="X70" i="1"/>
  <c r="Y68" i="1"/>
  <c r="Y69" i="1"/>
  <c r="Y70" i="1"/>
  <c r="Z68" i="1"/>
  <c r="Z69" i="1"/>
  <c r="Z70" i="1"/>
  <c r="AA68" i="1"/>
  <c r="AA69" i="1"/>
  <c r="AA70" i="1"/>
  <c r="AB68" i="1"/>
  <c r="AB69" i="1"/>
  <c r="AB70" i="1"/>
  <c r="AC68" i="1"/>
  <c r="AC69" i="1"/>
  <c r="AC70"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P13" i="1" s="1"/>
  <c r="P14" i="1" s="1"/>
  <c r="E8" i="1"/>
  <c r="Q7" i="1"/>
  <c r="J7" i="1"/>
  <c r="G8" i="1"/>
  <c r="N9" i="1"/>
  <c r="I7" i="1"/>
  <c r="F7" i="1"/>
  <c r="M7" i="1"/>
  <c r="H8" i="1"/>
  <c r="L9" i="1"/>
  <c r="K8" i="1"/>
  <c r="E9" i="1" l="1"/>
  <c r="E10" i="1" s="1"/>
  <c r="O11" i="1"/>
  <c r="O12" i="1" s="1"/>
  <c r="O13"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4" i="1" l="1"/>
  <c r="O15"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O16" i="1" l="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E64" i="1" s="1"/>
  <c r="E65" i="1" s="1"/>
  <c r="E66" i="1" s="1"/>
  <c r="M15" i="1"/>
  <c r="M16" i="1" s="1"/>
  <c r="M17" i="1" s="1"/>
  <c r="P59" i="1"/>
  <c r="P60" i="1" s="1"/>
  <c r="P61" i="1" s="1"/>
  <c r="P62" i="1" s="1"/>
  <c r="P63" i="1" s="1"/>
  <c r="P64" i="1" s="1"/>
  <c r="P65" i="1" s="1"/>
  <c r="J12" i="1"/>
  <c r="J13" i="1" s="1"/>
  <c r="J14" i="1" s="1"/>
  <c r="J15" i="1" s="1"/>
  <c r="J16" i="1" s="1"/>
  <c r="R61" i="1"/>
  <c r="Q58" i="1"/>
  <c r="N14" i="1"/>
  <c r="N15" i="1" s="1"/>
  <c r="O57" i="1"/>
  <c r="I15" i="1"/>
  <c r="I16" i="1" s="1"/>
  <c r="I17" i="1" s="1"/>
  <c r="H16" i="1"/>
  <c r="H17" i="1" s="1"/>
  <c r="K13" i="1"/>
  <c r="K14" i="1" s="1"/>
  <c r="L16" i="1"/>
  <c r="G14" i="1"/>
  <c r="AC66" i="1" l="1"/>
  <c r="P66" i="1"/>
  <c r="AC67" i="1" s="1"/>
  <c r="R66" i="1"/>
  <c r="R67" i="1"/>
  <c r="R64" i="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N19" i="1" s="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L18" i="1"/>
  <c r="G16" i="1"/>
  <c r="G17" i="1" s="1"/>
  <c r="F20" i="1"/>
  <c r="Q62" i="1" l="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O61" i="1"/>
  <c r="K28" i="1"/>
  <c r="K29" i="1" s="1"/>
  <c r="AD26" i="1"/>
  <c r="G21" i="1"/>
  <c r="G22" i="1" s="1"/>
  <c r="G23" i="1" s="1"/>
  <c r="H25" i="1"/>
  <c r="I28" i="1"/>
  <c r="M23" i="1"/>
  <c r="J25" i="1"/>
  <c r="N23" i="1"/>
  <c r="L21" i="1"/>
  <c r="F22" i="1"/>
  <c r="AD66" i="1" l="1"/>
  <c r="Q66" i="1"/>
  <c r="AD67" i="1" s="1"/>
  <c r="AD21" i="1"/>
  <c r="AD19" i="1"/>
  <c r="AD64" i="1"/>
  <c r="AD65" i="1"/>
  <c r="AD63" i="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O63" i="1" l="1"/>
  <c r="O64" i="1" s="1"/>
  <c r="O65" i="1" s="1"/>
  <c r="AB59" i="1"/>
  <c r="AB56" i="1"/>
  <c r="AB58" i="1"/>
  <c r="AB61"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O66" i="1" l="1"/>
  <c r="AB67" i="1" s="1"/>
  <c r="AB65" i="1"/>
  <c r="AB63" i="1"/>
  <c r="AB64" i="1"/>
  <c r="AB57" i="1"/>
  <c r="AB60"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AB66" i="1" l="1"/>
  <c r="J50" i="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W66" i="1" l="1"/>
  <c r="W67" i="1"/>
  <c r="H65" i="1"/>
  <c r="H66" i="1" s="1"/>
  <c r="W64" i="1"/>
  <c r="W65" i="1"/>
  <c r="U2" i="1"/>
  <c r="W46" i="1"/>
  <c r="W56" i="1"/>
  <c r="W47" i="1"/>
  <c r="W55" i="1"/>
  <c r="W39" i="1"/>
  <c r="W59" i="1"/>
  <c r="W54" i="1"/>
  <c r="W48" i="1"/>
  <c r="W44" i="1"/>
  <c r="W40" i="1"/>
  <c r="W60" i="1"/>
  <c r="W63" i="1"/>
  <c r="W50" i="1"/>
  <c r="W53" i="1"/>
  <c r="W52" i="1"/>
  <c r="W45" i="1"/>
  <c r="W41" i="1"/>
  <c r="W42" i="1"/>
  <c r="W43" i="1"/>
  <c r="W51" i="1"/>
  <c r="W49" i="1"/>
  <c r="W61" i="1"/>
  <c r="W57" i="1"/>
  <c r="W58" i="1"/>
  <c r="W62" i="1"/>
  <c r="W2" i="1"/>
  <c r="U61" i="1"/>
  <c r="I54" i="1"/>
  <c r="I55" i="1" s="1"/>
  <c r="I56" i="1" s="1"/>
  <c r="I57" i="1" s="1"/>
  <c r="I58" i="1" s="1"/>
  <c r="I59" i="1" s="1"/>
  <c r="I60" i="1" s="1"/>
  <c r="I61" i="1" s="1"/>
  <c r="I62" i="1" s="1"/>
  <c r="U49" i="1"/>
  <c r="F51" i="1"/>
  <c r="G47" i="1"/>
  <c r="K47" i="1"/>
  <c r="L35" i="1"/>
  <c r="M34" i="1"/>
  <c r="AB31" i="1"/>
  <c r="N32" i="1"/>
  <c r="N33" i="1" s="1"/>
  <c r="AC31" i="1"/>
  <c r="AB29" i="1"/>
  <c r="AC29" i="1"/>
  <c r="U66" i="1" l="1"/>
  <c r="U67" i="1"/>
  <c r="U46" i="1"/>
  <c r="U53" i="1"/>
  <c r="U42" i="1"/>
  <c r="U62" i="1"/>
  <c r="U39" i="1"/>
  <c r="U41" i="1"/>
  <c r="U44" i="1"/>
  <c r="U47" i="1"/>
  <c r="U56" i="1"/>
  <c r="U58" i="1"/>
  <c r="U65" i="1"/>
  <c r="U43" i="1"/>
  <c r="U40" i="1"/>
  <c r="U48" i="1"/>
  <c r="U51" i="1"/>
  <c r="U55" i="1"/>
  <c r="U50" i="1"/>
  <c r="U54" i="1"/>
  <c r="U45" i="1"/>
  <c r="U52" i="1"/>
  <c r="U60" i="1"/>
  <c r="U59" i="1"/>
  <c r="U57" i="1"/>
  <c r="U63" i="1"/>
  <c r="U64" i="1"/>
  <c r="I63" i="1"/>
  <c r="I64" i="1" s="1"/>
  <c r="I65" i="1" s="1"/>
  <c r="I66" i="1" s="1"/>
  <c r="F52" i="1"/>
  <c r="AD36" i="1"/>
  <c r="G48" i="1"/>
  <c r="K48" i="1"/>
  <c r="L36" i="1"/>
  <c r="M35" i="1"/>
  <c r="AC17" i="1"/>
  <c r="N34" i="1"/>
  <c r="N35" i="1" s="1"/>
  <c r="N36" i="1" s="1"/>
  <c r="N37" i="1" s="1"/>
  <c r="N38" i="1" s="1"/>
  <c r="N39" i="1" s="1"/>
  <c r="N40" i="1" s="1"/>
  <c r="N41" i="1" s="1"/>
  <c r="N42" i="1" s="1"/>
  <c r="AB17" i="1"/>
  <c r="V66" i="1" l="1"/>
  <c r="V67" i="1"/>
  <c r="V51" i="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AB38" i="1"/>
  <c r="AB41" i="1"/>
  <c r="AB39" i="1"/>
  <c r="AB42" i="1"/>
  <c r="K51" i="1"/>
  <c r="G50" i="1"/>
  <c r="AD38" i="1"/>
  <c r="AC43" i="1"/>
  <c r="N44" i="1"/>
  <c r="AB43" i="1"/>
  <c r="L38" i="1"/>
  <c r="L39" i="1" s="1"/>
  <c r="AC33" i="1"/>
  <c r="AB33" i="1"/>
  <c r="M37" i="1"/>
  <c r="S2" i="1" l="1"/>
  <c r="F65" i="1"/>
  <c r="F66" i="1" s="1"/>
  <c r="K52" i="1"/>
  <c r="K53" i="1" s="1"/>
  <c r="G51" i="1"/>
  <c r="AD39" i="1"/>
  <c r="AC35" i="1"/>
  <c r="AC23" i="1"/>
  <c r="AB46" i="1"/>
  <c r="N45" i="1"/>
  <c r="AC44" i="1"/>
  <c r="L40" i="1"/>
  <c r="M38" i="1"/>
  <c r="M39" i="1" s="1"/>
  <c r="M40" i="1" s="1"/>
  <c r="S66" i="1" l="1"/>
  <c r="S67" i="1"/>
  <c r="S42" i="1"/>
  <c r="S57" i="1"/>
  <c r="S50" i="1"/>
  <c r="S47" i="1"/>
  <c r="S56" i="1"/>
  <c r="S51" i="1"/>
  <c r="S59" i="1"/>
  <c r="S43" i="1"/>
  <c r="S44" i="1"/>
  <c r="S60" i="1"/>
  <c r="S39" i="1"/>
  <c r="S64" i="1"/>
  <c r="S58" i="1"/>
  <c r="S61" i="1"/>
  <c r="S62" i="1"/>
  <c r="S41" i="1"/>
  <c r="S40" i="1"/>
  <c r="S55" i="1"/>
  <c r="S46" i="1"/>
  <c r="S45" i="1"/>
  <c r="S63" i="1"/>
  <c r="S48" i="1"/>
  <c r="S49" i="1"/>
  <c r="S65" i="1"/>
  <c r="S53" i="1"/>
  <c r="S52" i="1"/>
  <c r="S54" i="1"/>
  <c r="N46" i="1"/>
  <c r="N47" i="1" s="1"/>
  <c r="N48" i="1" s="1"/>
  <c r="G52" i="1"/>
  <c r="K54" i="1"/>
  <c r="K55" i="1" s="1"/>
  <c r="K56" i="1" s="1"/>
  <c r="K57" i="1" s="1"/>
  <c r="K58" i="1" s="1"/>
  <c r="K59" i="1" s="1"/>
  <c r="K60" i="1" s="1"/>
  <c r="K61" i="1" s="1"/>
  <c r="K62" i="1" s="1"/>
  <c r="K63" i="1" s="1"/>
  <c r="K64" i="1" s="1"/>
  <c r="K65" i="1" s="1"/>
  <c r="AC47" i="1"/>
  <c r="AB23" i="1"/>
  <c r="AC46" i="1"/>
  <c r="AB47" i="1"/>
  <c r="M41" i="1"/>
  <c r="L41" i="1"/>
  <c r="K66" i="1" l="1"/>
  <c r="X67" i="1" s="1"/>
  <c r="X2" i="1"/>
  <c r="X60" i="1"/>
  <c r="G53"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X53" i="1" l="1"/>
  <c r="X47" i="1"/>
  <c r="X48" i="1"/>
  <c r="X58" i="1"/>
  <c r="X42" i="1"/>
  <c r="X39" i="1"/>
  <c r="X52" i="1"/>
  <c r="X49" i="1"/>
  <c r="X54" i="1"/>
  <c r="X61" i="1"/>
  <c r="X56" i="1"/>
  <c r="X65" i="1"/>
  <c r="X55" i="1"/>
  <c r="X40" i="1"/>
  <c r="X51" i="1"/>
  <c r="X43" i="1"/>
  <c r="X41" i="1"/>
  <c r="X45" i="1"/>
  <c r="X50" i="1"/>
  <c r="X46" i="1"/>
  <c r="X44" i="1"/>
  <c r="X57" i="1"/>
  <c r="X63" i="1"/>
  <c r="X59" i="1"/>
  <c r="X62" i="1"/>
  <c r="X64" i="1"/>
  <c r="X66" i="1"/>
  <c r="G54" i="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N66" i="1" l="1"/>
  <c r="AA67" i="1" s="1"/>
  <c r="T2" i="1"/>
  <c r="G61" i="1"/>
  <c r="AA61" i="1"/>
  <c r="AA63" i="1"/>
  <c r="AA53" i="1"/>
  <c r="AA18" i="1"/>
  <c r="AA3" i="1"/>
  <c r="AA26" i="1"/>
  <c r="AA54" i="1"/>
  <c r="AA30" i="1"/>
  <c r="AA46" i="1"/>
  <c r="AA43" i="1"/>
  <c r="AA36" i="1"/>
  <c r="AA44" i="1"/>
  <c r="AA28" i="1"/>
  <c r="AA48" i="1"/>
  <c r="AA6" i="1"/>
  <c r="AA9"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AA33" i="1" l="1"/>
  <c r="AA17" i="1"/>
  <c r="AA51" i="1"/>
  <c r="AA13" i="1"/>
  <c r="AA20" i="1"/>
  <c r="AA40" i="1"/>
  <c r="AA8" i="1"/>
  <c r="AA4" i="1"/>
  <c r="AA39" i="1"/>
  <c r="AA55" i="1"/>
  <c r="AA34" i="1"/>
  <c r="AA14" i="1"/>
  <c r="AA11" i="1"/>
  <c r="AA56" i="1"/>
  <c r="AA59" i="1"/>
  <c r="AA65" i="1"/>
  <c r="AA10" i="1"/>
  <c r="AA38" i="1"/>
  <c r="AA19" i="1"/>
  <c r="AA7" i="1"/>
  <c r="AA32" i="1"/>
  <c r="AA45" i="1"/>
  <c r="AA41" i="1"/>
  <c r="AA35" i="1"/>
  <c r="AA25" i="1"/>
  <c r="AA50" i="1"/>
  <c r="AA52" i="1"/>
  <c r="AA15" i="1"/>
  <c r="AA21" i="1"/>
  <c r="AA24" i="1"/>
  <c r="AA23" i="1"/>
  <c r="AA49" i="1"/>
  <c r="AA5" i="1"/>
  <c r="AA42" i="1"/>
  <c r="AA37" i="1"/>
  <c r="AA12" i="1"/>
  <c r="AA16" i="1"/>
  <c r="AA31" i="1"/>
  <c r="AA27" i="1"/>
  <c r="AA22" i="1"/>
  <c r="AA47" i="1"/>
  <c r="AA29" i="1"/>
  <c r="AA57" i="1"/>
  <c r="AA58" i="1"/>
  <c r="AA60" i="1"/>
  <c r="AA62" i="1"/>
  <c r="AA64" i="1"/>
  <c r="AA66" i="1"/>
  <c r="G62" i="1"/>
  <c r="G63" i="1" s="1"/>
  <c r="M51" i="1"/>
  <c r="M52" i="1" s="1"/>
  <c r="M53" i="1" s="1"/>
  <c r="L50" i="1"/>
  <c r="G64" i="1" l="1"/>
  <c r="M54" i="1"/>
  <c r="M55" i="1" s="1"/>
  <c r="L51" i="1"/>
  <c r="L52" i="1" s="1"/>
  <c r="L53" i="1" s="1"/>
  <c r="G65" i="1" l="1"/>
  <c r="T3" i="1"/>
  <c r="M56" i="1"/>
  <c r="M57" i="1" s="1"/>
  <c r="L54" i="1"/>
  <c r="T4" i="1" l="1"/>
  <c r="G66" i="1"/>
  <c r="T67" i="1" s="1"/>
  <c r="T45" i="1"/>
  <c r="M58" i="1"/>
  <c r="M59" i="1" s="1"/>
  <c r="M60" i="1" s="1"/>
  <c r="L55" i="1"/>
  <c r="L56" i="1" s="1"/>
  <c r="L57" i="1" s="1"/>
  <c r="L58" i="1" s="1"/>
  <c r="L59" i="1" s="1"/>
  <c r="L60" i="1" s="1"/>
  <c r="L61" i="1" s="1"/>
  <c r="L62" i="1" s="1"/>
  <c r="L63" i="1" s="1"/>
  <c r="L64" i="1" s="1"/>
  <c r="L65" i="1" s="1"/>
  <c r="T59" i="1" l="1"/>
  <c r="T12" i="1"/>
  <c r="T27" i="1"/>
  <c r="T15" i="1"/>
  <c r="T6" i="1"/>
  <c r="T36" i="1"/>
  <c r="T63" i="1"/>
  <c r="T20" i="1"/>
  <c r="T44" i="1"/>
  <c r="T28" i="1"/>
  <c r="T22" i="1"/>
  <c r="T60" i="1"/>
  <c r="T29" i="1"/>
  <c r="T56" i="1"/>
  <c r="T32" i="1"/>
  <c r="T62" i="1"/>
  <c r="T18" i="1"/>
  <c r="T46" i="1"/>
  <c r="T8" i="1"/>
  <c r="T17" i="1"/>
  <c r="T61" i="1"/>
  <c r="T11" i="1"/>
  <c r="T66" i="1"/>
  <c r="T21" i="1"/>
  <c r="T37" i="1"/>
  <c r="T9" i="1"/>
  <c r="T5" i="1"/>
  <c r="T55" i="1"/>
  <c r="T52" i="1"/>
  <c r="T41" i="1"/>
  <c r="T13" i="1"/>
  <c r="T33" i="1"/>
  <c r="T10" i="1"/>
  <c r="T26" i="1"/>
  <c r="T25" i="1"/>
  <c r="T7" i="1"/>
  <c r="T47" i="1"/>
  <c r="T53" i="1"/>
  <c r="T38" i="1"/>
  <c r="T40" i="1"/>
  <c r="T31" i="1"/>
  <c r="T58" i="1"/>
  <c r="T57" i="1"/>
  <c r="T23" i="1"/>
  <c r="T35" i="1"/>
  <c r="T49" i="1"/>
  <c r="T64" i="1"/>
  <c r="T19" i="1"/>
  <c r="T48" i="1"/>
  <c r="T51" i="1"/>
  <c r="T14" i="1"/>
  <c r="T16" i="1"/>
  <c r="T34" i="1"/>
  <c r="T24" i="1"/>
  <c r="T42" i="1"/>
  <c r="T54" i="1"/>
  <c r="T43" i="1"/>
  <c r="T39" i="1"/>
  <c r="T50" i="1"/>
  <c r="T30" i="1"/>
  <c r="T65" i="1"/>
  <c r="L66" i="1"/>
  <c r="Y67" i="1" s="1"/>
  <c r="M61" i="1"/>
  <c r="Y57" i="1"/>
  <c r="Y60" i="1"/>
  <c r="Y20" i="1" l="1"/>
  <c r="Y63" i="1"/>
  <c r="Y61" i="1"/>
  <c r="Y65" i="1"/>
  <c r="Y62" i="1"/>
  <c r="Y59" i="1"/>
  <c r="Y56" i="1"/>
  <c r="Y58" i="1"/>
  <c r="Y64" i="1"/>
  <c r="Y66" i="1"/>
  <c r="M62" i="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M66" i="1" l="1"/>
  <c r="Z27" i="1" s="1"/>
  <c r="Z64" i="1"/>
  <c r="Z60" i="1"/>
  <c r="Z16" i="1"/>
  <c r="Z35" i="1" l="1"/>
  <c r="Z54" i="1"/>
  <c r="Z4" i="1"/>
  <c r="Z2" i="1"/>
  <c r="Z15" i="1"/>
  <c r="Z58" i="1"/>
  <c r="Z30" i="1"/>
  <c r="Z7" i="1"/>
  <c r="Z40" i="1"/>
  <c r="Z17" i="1"/>
  <c r="Z25" i="1"/>
  <c r="Z5" i="1"/>
  <c r="Z44" i="1"/>
  <c r="Z9" i="1"/>
  <c r="Z3" i="1"/>
  <c r="Z37" i="1"/>
  <c r="Z57" i="1"/>
  <c r="Z50" i="1"/>
  <c r="Z51" i="1"/>
  <c r="Z39" i="1"/>
  <c r="Z59" i="1"/>
  <c r="Z38" i="1"/>
  <c r="Z49" i="1"/>
  <c r="Z53" i="1"/>
  <c r="Z67" i="1"/>
  <c r="Z31" i="1"/>
  <c r="Z21" i="1"/>
  <c r="Z33" i="1"/>
  <c r="Z47" i="1"/>
  <c r="Z26" i="1"/>
  <c r="Z24" i="1"/>
  <c r="Z12" i="1"/>
  <c r="Z23" i="1"/>
  <c r="Z56" i="1"/>
  <c r="Z32" i="1"/>
  <c r="Z11" i="1"/>
  <c r="Z62" i="1"/>
  <c r="Z52" i="1"/>
  <c r="Z45" i="1"/>
  <c r="Z61" i="1"/>
  <c r="Z43" i="1"/>
  <c r="Z42" i="1"/>
  <c r="Z10" i="1"/>
  <c r="Z18" i="1"/>
  <c r="Z34" i="1"/>
  <c r="Z8" i="1"/>
  <c r="Z55" i="1"/>
  <c r="Z28" i="1"/>
  <c r="Z20" i="1"/>
  <c r="Z14" i="1"/>
  <c r="Z19" i="1"/>
  <c r="Z63" i="1"/>
  <c r="Z65" i="1"/>
  <c r="Z22" i="1"/>
  <c r="Z29" i="1"/>
  <c r="Z13" i="1"/>
  <c r="Z46" i="1"/>
  <c r="Z48" i="1"/>
  <c r="Z36" i="1"/>
  <c r="Z41" i="1"/>
  <c r="Z6" i="1"/>
  <c r="Z6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<sst xmlns="http://schemas.openxmlformats.org/spreadsheetml/2006/main" count="866" uniqueCount="526">
  <si>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</si>
  <si>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</si>
  <si>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</si>
  <si>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</si>
  <si>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</si>
  <si>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</si>
  <si>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</si>
  <si>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</si>
  <si>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</si>
  <si>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</si>
  <si>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</si>
  <si>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</si>
  <si>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</si>
  <si>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</si>
  <si>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</si>
  <si>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</si>
  <si>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</si>
  <si>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</si>
  <si>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</si>
  <si>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</si>
  <si>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</si>
  <si>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</si>
  <si>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</si>
  <si>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</si>
  <si>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</si>
  <si>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</si>
  <si>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</si>
  <si>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</si>
  <si>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</si>
  <si>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</si>
  <si>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</si>
  <si>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</si>
  <si>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</si>
  <si>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</si>
  <si>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</si>
  <si>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</si>
  <si>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</si>
  <si>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</si>
  <si>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</si>
  <si>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</si>
  <si>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</si>
  <si>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</si>
  <si>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</si>
  <si>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</si>
  <si>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</si>
  <si>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</si>
  <si>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</si>
  <si>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</si>
  <si>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</si>
  <si>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</si>
  <si>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</si>
  <si>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</si>
  <si>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</si>
  <si>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</si>
  <si>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</si>
  <si>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</si>
  <si>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</si>
  <si>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</si>
  <si>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</si>
  <si>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</si>
  <si>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</si>
  <si>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</si>
  <si>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</si>
  <si>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</si>
  <si>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</si>
  <si>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</si>
  <si>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</si>
  <si>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</si>
  <si>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</si>
  <si>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</si>
  <si>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</si>
  <si>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</si>
  <si>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</si>
  <si>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</si>
  <si>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</si>
  <si>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</si>
  <si>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</si>
  <si>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</si>
  <si>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</si>
  <si>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</si>
  <si>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</si>
  <si>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</si>
  <si>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</si>
  <si>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</si>
  <si>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</si>
  <si>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</si>
  <si>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</si>
  <si>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</si>
  <si>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</si>
  <si>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</si>
  <si>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</si>
  <si>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</si>
  <si>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</si>
  <si>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</si>
  <si>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</si>
  <si>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</si>
  <si>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</si>
  <si>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</si>
  <si>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</si>
  <si>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</si>
  <si>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</si>
  <si>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</si>
  <si>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</si>
  <si>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</si>
  <si>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</si>
  <si>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</si>
  <si>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</si>
  <si>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</si>
  <si>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</si>
  <si>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</si>
  <si>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</si>
  <si>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</si>
  <si>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</si>
  <si>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</si>
  <si>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</si>
  <si>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</si>
  <si>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</si>
  <si>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</si>
  <si>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</si>
  <si>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</si>
  <si>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</si>
  <si>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</si>
  <si>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</si>
  <si>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</si>
  <si>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</si>
  <si>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</si>
  <si>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</si>
  <si>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</si>
  <si>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</si>
  <si>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</si>
  <si>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</si>
  <si>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</si>
  <si>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</si>
  <si>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</si>
  <si>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</si>
  <si>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</si>
  <si>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</si>
  <si>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</si>
  <si>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</si>
  <si>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</si>
  <si>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</si>
  <si>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</si>
  <si>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</si>
  <si>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</si>
  <si>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</si>
  <si>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</si>
  <si>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</si>
  <si>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</si>
  <si>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</si>
  <si>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</si>
  <si>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</si>
  <si>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</si>
  <si>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</si>
  <si>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</si>
  <si>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</si>
  <si>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</si>
  <si>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</si>
  <si>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</si>
  <si>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</si>
  <si>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</si>
  <si>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</si>
  <si>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</si>
  <si>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</si>
  <si>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</si>
  <si>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</si>
  <si>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</si>
  <si>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</si>
  <si>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</si>
  <si>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</si>
  <si>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</si>
  <si>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</si>
  <si>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</si>
  <si>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</si>
  <si>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</si>
  <si>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</si>
  <si>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</si>
  <si>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</si>
  <si>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</si>
  <si>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</si>
  <si>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</si>
  <si>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</si>
  <si>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</si>
  <si>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</si>
  <si>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</si>
  <si>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</si>
  <si>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</si>
  <si>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</si>
  <si>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</si>
  <si>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</si>
  <si>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</si>
  <si>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</si>
  <si>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</si>
  <si>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</si>
  <si>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</si>
  <si>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</si>
  <si>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</si>
  <si>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</si>
  <si>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</si>
  <si>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</si>
  <si>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</si>
  <si>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</si>
  <si>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</si>
  <si>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</si>
  <si>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</si>
  <si>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</si>
  <si>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</si>
  <si>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</si>
  <si>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</si>
  <si>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</si>
  <si>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</si>
  <si>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</si>
  <si>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</si>
  <si>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</si>
  <si>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</si>
  <si>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</si>
  <si>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</si>
  <si>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</si>
  <si>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</si>
  <si>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</si>
  <si>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</si>
  <si>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</si>
  <si>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</si>
  <si>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</si>
  <si>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</si>
  <si>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</si>
  <si>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</si>
  <si>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</si>
  <si>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</si>
  <si>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</si>
  <si>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</si>
  <si>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</si>
  <si>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</si>
  <si>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</si>
  <si>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</si>
  <si>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</si>
  <si>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</si>
  <si>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</si>
  <si>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</si>
  <si>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</si>
  <si>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</si>
  <si>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</si>
  <si>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</si>
  <si>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</si>
  <si>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</si>
  <si>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</si>
  <si>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</si>
  <si>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</si>
  <si>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</si>
  <si>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</si>
  <si>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</si>
  <si>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</si>
  <si>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</si>
  <si>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</si>
  <si>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</si>
  <si>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</si>
  <si>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</si>
  <si>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</si>
  <si>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</si>
  <si>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</si>
  <si>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</si>
  <si>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</si>
  <si>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</si>
  <si>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</si>
  <si>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</si>
  <si>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</si>
  <si>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</si>
  <si>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</si>
  <si>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</si>
  <si>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</si>
  <si>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</si>
  <si>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</si>
  <si>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</si>
  <si>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</si>
  <si>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</si>
  <si>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</si>
  <si>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</si>
  <si>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</si>
  <si>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</si>
  <si>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</si>
  <si>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</si>
  <si>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</si>
  <si>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</si>
  <si>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</si>
  <si>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</si>
  <si>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</si>
  <si>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</si>
  <si>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</si>
  <si>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</si>
  <si>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</si>
  <si>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</si>
  <si>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</si>
  <si>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</si>
  <si>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</si>
  <si>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</si>
  <si>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</si>
  <si>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</si>
  <si>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</si>
  <si>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</si>
  <si>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</si>
  <si>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</si>
  <si>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</si>
  <si>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</si>
  <si>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</si>
  <si>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</si>
  <si>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</si>
  <si>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</si>
  <si>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</si>
  <si>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</si>
  <si>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</si>
  <si>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</si>
  <si>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</si>
  <si>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</si>
  <si>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</si>
  <si>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</si>
  <si>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</si>
  <si>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</si>
  <si>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</si>
  <si>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</si>
  <si>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</si>
  <si>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</si>
  <si>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</si>
  <si>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</si>
  <si>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</si>
  <si>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</si>
  <si>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</si>
  <si>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</si>
  <si>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</si>
  <si>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</si>
  <si>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</si>
  <si>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</si>
  <si>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</si>
  <si>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</si>
  <si>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</si>
  <si>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</si>
  <si>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</si>
  <si>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</si>
  <si>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</si>
  <si>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</si>
  <si>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</si>
  <si>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</si>
  <si>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</si>
  <si>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</si>
  <si>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</si>
  <si>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</si>
  <si>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</si>
  <si>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</si>
  <si>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</si>
  <si>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</si>
  <si>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</si>
  <si>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</si>
  <si>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</si>
  <si>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</si>
  <si>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</si>
  <si>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</si>
  <si>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</si>
  <si>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</si>
  <si>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</si>
  <si>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</si>
  <si>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</si>
  <si>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</si>
  <si>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</si>
  <si>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</si>
  <si>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</si>
  <si>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</si>
  <si>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</si>
  <si>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</si>
  <si>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</si>
  <si>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</si>
  <si>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</si>
  <si>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</si>
  <si>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</si>
  <si>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</si>
  <si>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</si>
  <si>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</si>
  <si>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</si>
  <si>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</si>
  <si>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</si>
  <si>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</si>
  <si>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</si>
  <si>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</si>
  <si>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</si>
  <si>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</si>
  <si>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</si>
  <si>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</si>
  <si>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</si>
  <si>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</si>
  <si>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</si>
  <si>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</si>
  <si>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</si>
  <si>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</si>
  <si>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</si>
  <si>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</si>
  <si>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</si>
  <si>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</si>
  <si>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</si>
  <si>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</si>
  <si>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</si>
  <si>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</si>
  <si>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</si>
  <si>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</si>
  <si>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</si>
  <si>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</si>
  <si>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</si>
  <si>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</si>
  <si>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</si>
  <si>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</si>
  <si>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</si>
  <si>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</si>
  <si>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</si>
  <si>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</si>
  <si>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</si>
  <si>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</si>
  <si>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</si>
  <si>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</si>
  <si>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</si>
  <si>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</si>
  <si>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</si>
  <si>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</si>
  <si>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</si>
  <si>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</si>
  <si>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</si>
  <si>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</si>
  <si>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</si>
  <si>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</si>
  <si>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</si>
  <si>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</si>
  <si>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</si>
  <si>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</si>
  <si>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</si>
  <si>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</si>
  <si>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</si>
  <si>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</si>
  <si>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</si>
  <si>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</si>
  <si>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</si>
  <si>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</si>
  <si>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</si>
  <si>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</si>
  <si>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</si>
  <si>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</si>
  <si>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</si>
  <si>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</si>
  <si>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</si>
  <si>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</si>
  <si>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</si>
  <si>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</si>
  <si>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</si>
  <si>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</si>
  <si>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</si>
  <si>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</si>
  <si>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</si>
  <si>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</si>
  <si>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</si>
  <si>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</si>
  <si>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</si>
  <si>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</si>
  <si>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</si>
  <si>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</si>
  <si>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</si>
  <si>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</si>
  <si>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</si>
  <si>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</si>
  <si>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</si>
  <si>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</si>
  <si>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</si>
  <si>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</si>
  <si>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</si>
  <si>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</si>
  <si>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</si>
  <si>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</si>
  <si>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</si>
  <si>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</si>
  <si>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</si>
  <si>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</si>
  <si>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</si>
  <si>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</si>
  <si>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</si>
  <si>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</si>
  <si>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</si>
  <si>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</si>
  <si>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</si>
  <si>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</si>
  <si>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</si>
  <si>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</si>
  <si>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</si>
  <si>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</si>
  <si>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</si>
  <si>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</si>
  <si>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</si>
  <si>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</si>
  <si>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</si>
  <si>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</si>
  <si>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</si>
  <si>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</si>
  <si>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</si>
  <si>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</si>
  <si>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</si>
  <si>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</si>
  <si>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</si>
  <si>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</si>
  <si>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</si>
  <si>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</si>
  <si>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</si>
  <si>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</si>
  <si>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</si>
  <si>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</si>
  <si>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</si>
  <si>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</si>
  <si>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</si>
  <si>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</si>
  <si>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 xml:space="preserve">И/О заведующего отделения: А.В. Воронков </t>
  </si>
  <si>
    <t>Правый</t>
  </si>
  <si>
    <t>50 ml</t>
  </si>
  <si>
    <t>Совместно с д/кардиологом: с учетом клинических данных, ЭКГ и КАГ рекомендована ЧТКА ПКА.</t>
  </si>
  <si>
    <t>14:18</t>
  </si>
  <si>
    <t>Горбань А.А.</t>
  </si>
  <si>
    <t>лучевой</t>
  </si>
  <si>
    <t>Извлечён</t>
  </si>
  <si>
    <t>150 ml</t>
  </si>
  <si>
    <t>стеноз дистальной трети 30%</t>
  </si>
  <si>
    <t>эксцентричный стеноз устья 30%, эксцентричный стеноз проксимального сегмента 40%, стеноз среднего сегмента 50%.  Антеградный кровоток TIMI III</t>
  </si>
  <si>
    <t>неровности контуров проксимального сегмента, стеноз проксимальной трети крупной ВТК 80%  Антеградный кровоток TIMI III</t>
  </si>
  <si>
    <t>стенозы проксимального сегмента 30%, на фоне нестабильного субтотального стеноза среднего сегмента определяется пристеночный флотирующий тромб размером 2,5х3 мм, на границе среднего и дистального сегмента стеноз 40%, стенозы дистального сегмента 30%, тромботическая окклюзия дистального сегмента ЗМЖВ.  Антеградный кровоток ближе к TIMI I.</t>
  </si>
  <si>
    <r>
      <t xml:space="preserve">Коллатеральный кровоток: </t>
    </r>
    <r>
      <rPr>
        <sz val="10"/>
        <color theme="1"/>
        <rFont val="Calibri"/>
        <family val="2"/>
        <charset val="204"/>
        <scheme val="minor"/>
      </rPr>
      <t>не определяется</t>
    </r>
  </si>
  <si>
    <t>1) Контроль места пункции, повязка на руке 6ч.</t>
  </si>
  <si>
    <t>Устье ПКА катетеризировано проводниковым катетером Launcher JR 4,0 6Fr. Коронарный проводник Fielder заведён в дистальный сегмент ПКА. Аспирационным катетером Hunter 6F выполнена тромбаспирация, получен фрагмент тромба.  БК Колибри 1.5-15 выполнена баллонная ангиопластика субокклюзирующего стеноза среднего сегмента. В зону остаточного стеноза среднего сегмента  позиционирован и имплантирован DES Resolute Integtity 3.5-22 мм, давлением 12 атм. Выполнены попытки аспирации дистального тромба из дистальной трети ЗМЖВ. Аспирировать тромб не удалось. На контрольных съемках стент раскрыт удовлетворительно, признаков краевых диссекций, тромбоза, экстравазации контрастного вещества не выявлено. Антеградный кровоток по ПКА восстановлен с контрастированием прокс. и средней трети ЗМЖВ, дистальная треть ЗМЖВ не контрастируется. Ангиографический субоптимальный. Пациент в стабильном состоянии транспортируется в ПРИТ для дальнейшего наблюдения и лечения.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</si>
</sst>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9"/>
      <color theme="1"/>
      <name val="Calibri"/>
      <family val="2"/>
      <scheme val="minor"/>
    </font>
    <font>
      <sz val="10"/>
      <color theme="1"/>
      <name val="Aharoni"/>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4"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5" fillId="0" borderId="0" xfId="0" applyFont="1" applyAlignment="1">
      <alignment horizontal="centerContinuous" vertical="top" wrapText="1"/>
    </xf>
    <xf numFmtId="0" fontId="65"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6" fillId="0" borderId="12" xfId="0" applyFont="1" applyBorder="1" applyAlignment="1" applyProtection="1">
      <alignment vertical="top" wrapText="1"/>
      <protection locked="0"/>
    </xf>
    <xf numFmtId="0" fontId="67"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6"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8"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5"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22" fillId="8" borderId="18" xfId="6" applyFont="1" applyBorder="1" applyAlignment="1" applyProtection="1">
      <alignment horizontal="left" vertical="center"/>
      <protection locked="0"/>
    </xf>
    <xf numFmtId="0" fontId="45" fillId="8" borderId="16" xfId="6" applyFont="1" applyBorder="1" applyAlignment="1" applyProtection="1">
      <alignment horizontal="left" vertical="center"/>
      <protection locked="0"/>
    </xf>
    <xf numFmtId="0" fontId="22" fillId="8" borderId="18" xfId="6" applyFont="1" applyBorder="1" applyAlignment="1" applyProtection="1">
      <alignment horizontal="left" vertical="center"/>
    </xf>
    <xf numFmtId="0" fontId="70"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59"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2" fillId="0" borderId="0" xfId="0" applyFont="1" applyAlignment="1" applyProtection="1">
      <alignment horizontal="justify" vertical="top" wrapText="1"/>
      <protection locked="0"/>
    </xf>
    <xf numFmtId="0" fontId="62" fillId="0" borderId="13" xfId="0" applyFont="1" applyBorder="1" applyAlignment="1" applyProtection="1">
      <alignment horizontal="justify" vertical="top" wrapText="1"/>
      <protection locked="0"/>
    </xf>
    <xf numFmtId="0" fontId="62" fillId="0" borderId="3" xfId="0" applyFont="1" applyBorder="1" applyAlignment="1" applyProtection="1">
      <alignment horizontal="justify" vertical="top" wrapText="1"/>
      <protection locked="0"/>
    </xf>
    <xf numFmtId="0" fontId="62" fillId="0" borderId="9" xfId="0" applyFont="1" applyBorder="1" applyAlignment="1" applyProtection="1">
      <alignment horizontal="justify" vertical="top" wrapText="1"/>
      <protection locked="0"/>
    </xf>
    <xf numFmtId="0" fontId="63" fillId="0" borderId="5" xfId="0" applyFont="1" applyBorder="1" applyAlignment="1" applyProtection="1">
      <alignment horizontal="justify" vertical="top" wrapText="1"/>
      <protection locked="0"/>
    </xf>
    <xf numFmtId="0" fontId="63" fillId="0" borderId="11" xfId="0" applyFont="1" applyBorder="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0" fillId="0" borderId="10" xfId="0" applyFont="1" applyBorder="1" applyAlignment="1">
      <alignment horizontal="justify" vertical="distributed" wrapText="1"/>
    </xf>
    <xf numFmtId="0" fontId="60" fillId="0" borderId="5" xfId="0" applyFont="1" applyBorder="1" applyAlignment="1">
      <alignment wrapText="1"/>
    </xf>
    <xf numFmtId="0" fontId="60" fillId="0" borderId="11" xfId="0" applyFont="1" applyBorder="1" applyAlignment="1">
      <alignment wrapText="1"/>
    </xf>
    <xf numFmtId="0" fontId="60" fillId="0" borderId="12" xfId="0" applyFont="1" applyBorder="1" applyAlignment="1">
      <alignment wrapText="1"/>
    </xf>
    <xf numFmtId="0" fontId="60" fillId="0" borderId="0" xfId="0" applyFont="1" applyAlignment="1">
      <alignment wrapText="1"/>
    </xf>
    <xf numFmtId="0" fontId="60" fillId="0" borderId="13" xfId="0" applyFont="1" applyBorder="1" applyAlignment="1">
      <alignment wrapText="1"/>
    </xf>
    <xf numFmtId="0" fontId="60" fillId="0" borderId="8" xfId="0" applyFont="1" applyBorder="1" applyAlignment="1">
      <alignment wrapText="1"/>
    </xf>
    <xf numFmtId="0" fontId="60" fillId="0" borderId="3" xfId="0" applyFont="1" applyBorder="1" applyAlignment="1">
      <alignment wrapText="1"/>
    </xf>
    <xf numFmtId="0" fontId="60"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69" fillId="0" borderId="0" xfId="0" applyFont="1" applyAlignment="1">
      <alignment horizontal="justify" vertical="top" wrapText="1"/>
    </xf>
    <xf numFmtId="0" fontId="69" fillId="0" borderId="13" xfId="0" applyFont="1" applyBorder="1" applyAlignment="1">
      <alignment horizontal="justify" vertical="top" wrapText="1"/>
    </xf>
    <xf numFmtId="0" fontId="69" fillId="0" borderId="12" xfId="0" applyFont="1" applyBorder="1" applyAlignment="1">
      <alignment horizontal="justify" vertical="top" wrapText="1"/>
    </xf>
    <xf numFmtId="0" fontId="1" fillId="0" borderId="0" xfId="0" applyFont="1" applyAlignment="1" applyProtection="1">
      <alignment horizontal="justify" vertical="top" wrapText="1"/>
      <protection locked="0"/>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87628</xdr:colOff>
      <xdr:row>40</xdr:row>
      <xdr:rowOff>19050</xdr:rowOff>
    </xdr:from>
    <xdr:to>
      <xdr:col>1</xdr:col>
      <xdr:colOff>897255</xdr:colOff>
      <xdr:row>49</xdr:row>
      <xdr:rowOff>3098</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628" y="7715250"/>
          <a:ext cx="2066927" cy="1612823"/>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7" totalsRowShown="0">
  <sortState xmlns:xlrd2="http://schemas.microsoft.com/office/spreadsheetml/2017/richdata2" ref="A2:C66">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6"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учёта'!$B$17,Расходка[[#This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учёта'!$B$18,Расходка[[#This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учёта'!$B$19,Расходка[[#This Row],[Наименование расходного материала]])),MAX($K$1:K1)+1,0)</calculatedColumnFormula>
    </tableColumn>
    <tableColumn id="8" xr3:uid="{00000000-0010-0000-0F00-000008000000}" name="Индекс8" dataDxfId="21">
      <calculatedColumnFormula>IF(ISNUMBER(SEARCH('Карта учёта'!$B$20,Расходка[[#This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учёта'!$B$21,Расходка[[#This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showWhiteSpace="0" view="pageBreakPreview" zoomScaleNormal="100" zoomScaleSheetLayoutView="100" zoomScalePageLayoutView="90" workbookViewId="0">
      <selection activeCell="B11" sqref="B11"/>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45185</v>
      </c>
      <c r="C8" s="54"/>
      <c r="D8" s="16" t="s">
        <v>186</v>
      </c>
      <c r="E8" s="29"/>
      <c r="F8" s="29"/>
      <c r="G8" s="17"/>
      <c r="H8" s="18"/>
    </row>
    <row r="9" spans="1:8" ht="15.6" customHeight="1" x14ac:dyDescent="0.25">
      <c r="A9" s="21" t="s">
        <v>193</v>
      </c>
      <c r="B9" s="22">
        <v>0.86111111111111116</v>
      </c>
      <c r="C9" s="54"/>
      <c r="D9" s="94" t="s">
        <v>172</v>
      </c>
      <c r="E9" s="92"/>
      <c r="F9" s="92"/>
      <c r="G9" s="23" t="s">
        <v>163</v>
      </c>
      <c r="H9" s="25"/>
    </row>
    <row r="10" spans="1:8" ht="15.6" customHeight="1" thickBot="1" x14ac:dyDescent="0.3">
      <c r="A10" s="83" t="s">
        <v>194</v>
      </c>
      <c r="B10" s="84">
        <v>0.86805555555555547</v>
      </c>
      <c r="C10" s="55"/>
      <c r="D10" s="95" t="s">
        <v>173</v>
      </c>
      <c r="E10" s="93"/>
      <c r="F10" s="93"/>
      <c r="G10" s="24" t="s">
        <v>167</v>
      </c>
      <c r="H10" s="26"/>
    </row>
    <row r="11" spans="1:8" ht="17.25" thickTop="1" thickBot="1" x14ac:dyDescent="0.3">
      <c r="A11" s="89" t="s">
        <v>192</v>
      </c>
      <c r="B11" s="201" t="s">
        <v>515</v>
      </c>
      <c r="C11" s="8"/>
      <c r="D11" s="95" t="s">
        <v>170</v>
      </c>
      <c r="E11" s="93"/>
      <c r="F11" s="93"/>
      <c r="G11" s="24" t="s">
        <v>266</v>
      </c>
      <c r="H11" s="26"/>
    </row>
    <row r="12" spans="1:8" ht="16.5" thickTop="1" x14ac:dyDescent="0.25">
      <c r="A12" s="81" t="s">
        <v>8</v>
      </c>
      <c r="B12" s="82">
        <v>25744</v>
      </c>
      <c r="C12" s="12"/>
      <c r="D12" s="95" t="s">
        <v>303</v>
      </c>
      <c r="E12" s="93"/>
      <c r="F12" s="93"/>
      <c r="G12" s="24" t="s">
        <v>178</v>
      </c>
      <c r="H12" s="26"/>
    </row>
    <row r="13" spans="1:8" ht="15.75" x14ac:dyDescent="0.25">
      <c r="A13" s="15" t="s">
        <v>10</v>
      </c>
      <c r="B13" s="30">
        <f>DATEDIF(B12,B8,"y")</f>
        <v>53</v>
      </c>
      <c r="C13" s="12"/>
      <c r="D13" s="95"/>
      <c r="E13" s="93"/>
      <c r="F13" s="93"/>
      <c r="G13" s="24"/>
      <c r="H13" s="26"/>
    </row>
    <row r="14" spans="1:8" ht="15.75" x14ac:dyDescent="0.25">
      <c r="A14" s="15" t="s">
        <v>12</v>
      </c>
      <c r="B14" s="19">
        <v>25312</v>
      </c>
      <c r="C14" s="12"/>
      <c r="D14" s="36"/>
      <c r="E14" s="36"/>
      <c r="F14" s="36"/>
      <c r="G14" s="37"/>
      <c r="H14" s="56"/>
    </row>
    <row r="15" spans="1:8" ht="15.75" x14ac:dyDescent="0.25">
      <c r="A15" s="15" t="s">
        <v>133</v>
      </c>
      <c r="B15" s="19">
        <v>35</v>
      </c>
      <c r="D15" s="36"/>
      <c r="E15" s="36"/>
      <c r="F15" s="36"/>
      <c r="G15" s="166" t="s">
        <v>401</v>
      </c>
      <c r="H15" s="170" t="s">
        <v>514</v>
      </c>
    </row>
    <row r="16" spans="1:8" ht="15.6" customHeight="1" x14ac:dyDescent="0.25">
      <c r="A16" s="15" t="s">
        <v>106</v>
      </c>
      <c r="B16" s="19" t="s">
        <v>311</v>
      </c>
      <c r="D16" s="36"/>
      <c r="E16" s="36"/>
      <c r="F16" s="36"/>
      <c r="G16" s="167" t="s">
        <v>403</v>
      </c>
      <c r="H16" s="165">
        <v>14900</v>
      </c>
    </row>
    <row r="17" spans="1:8" ht="14.45" customHeight="1" x14ac:dyDescent="0.25">
      <c r="A17" s="40"/>
      <c r="B17" s="31"/>
      <c r="C17" s="31"/>
      <c r="D17" s="88"/>
      <c r="E17" s="88"/>
      <c r="F17" s="88"/>
      <c r="G17" s="168" t="s">
        <v>390</v>
      </c>
      <c r="H17" s="169">
        <f>H16*0.0019</f>
        <v>28.31</v>
      </c>
    </row>
    <row r="18" spans="1:8" ht="14.45" customHeight="1" x14ac:dyDescent="0.25">
      <c r="A18" s="57" t="s">
        <v>188</v>
      </c>
      <c r="B18" s="87" t="s">
        <v>511</v>
      </c>
      <c r="D18" s="28" t="s">
        <v>210</v>
      </c>
      <c r="E18" s="28"/>
      <c r="F18" s="28"/>
      <c r="G18" s="85" t="s">
        <v>189</v>
      </c>
      <c r="H18" s="86" t="s">
        <v>516</v>
      </c>
    </row>
    <row r="19" spans="1:8" ht="14.45" customHeight="1" x14ac:dyDescent="0.25">
      <c r="A19" s="40"/>
      <c r="B19" s="31"/>
      <c r="C19" s="31"/>
      <c r="D19" s="34"/>
      <c r="E19" s="34"/>
      <c r="F19" s="34"/>
      <c r="G19" s="31"/>
      <c r="H19" s="41"/>
    </row>
    <row r="20" spans="1:8" ht="14.45" customHeight="1" x14ac:dyDescent="0.25">
      <c r="A20" s="57" t="s">
        <v>212</v>
      </c>
      <c r="B20" s="214" t="s">
        <v>519</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520</v>
      </c>
      <c r="C22" s="219"/>
      <c r="D22" s="219"/>
      <c r="E22" s="219"/>
      <c r="F22" s="219"/>
      <c r="G22" s="219"/>
      <c r="H22" s="220"/>
    </row>
    <row r="23" spans="1:8" ht="14.45" customHeight="1" x14ac:dyDescent="0.25">
      <c r="A23" s="38"/>
      <c r="B23" s="221"/>
      <c r="C23" s="221"/>
      <c r="D23" s="221"/>
      <c r="E23" s="221"/>
      <c r="F23" s="221"/>
      <c r="G23" s="221"/>
      <c r="H23" s="222"/>
    </row>
    <row r="24" spans="1:8" ht="14.45" customHeight="1" x14ac:dyDescent="0.25">
      <c r="A24" s="60"/>
      <c r="B24" s="221"/>
      <c r="C24" s="221"/>
      <c r="D24" s="221"/>
      <c r="E24" s="221"/>
      <c r="F24" s="221"/>
      <c r="G24" s="221"/>
      <c r="H24" s="222"/>
    </row>
    <row r="25" spans="1:8" ht="14.45" customHeight="1" x14ac:dyDescent="0.25">
      <c r="A25" s="38"/>
      <c r="B25" s="221"/>
      <c r="C25" s="221"/>
      <c r="D25" s="221"/>
      <c r="E25" s="221"/>
      <c r="F25" s="221"/>
      <c r="G25" s="221"/>
      <c r="H25" s="222"/>
    </row>
    <row r="26" spans="1:8" ht="14.45" customHeight="1" x14ac:dyDescent="0.25">
      <c r="A26" s="40"/>
      <c r="B26" s="223"/>
      <c r="C26" s="223"/>
      <c r="D26" s="223"/>
      <c r="E26" s="223"/>
      <c r="F26" s="223"/>
      <c r="G26" s="223"/>
      <c r="H26" s="224"/>
    </row>
    <row r="27" spans="1:8" ht="14.45" customHeight="1" x14ac:dyDescent="0.25">
      <c r="A27" s="59" t="s">
        <v>272</v>
      </c>
      <c r="B27" s="219" t="s">
        <v>521</v>
      </c>
      <c r="C27" s="219"/>
      <c r="D27" s="219"/>
      <c r="E27" s="219"/>
      <c r="F27" s="219"/>
      <c r="G27" s="219"/>
      <c r="H27" s="220"/>
    </row>
    <row r="28" spans="1:8" ht="15.6" customHeight="1" x14ac:dyDescent="0.25">
      <c r="A28" s="38"/>
      <c r="B28" s="221"/>
      <c r="C28" s="221"/>
      <c r="D28" s="221"/>
      <c r="E28" s="221"/>
      <c r="F28" s="221"/>
      <c r="G28" s="221"/>
      <c r="H28" s="222"/>
    </row>
    <row r="29" spans="1:8" ht="14.45" customHeight="1" x14ac:dyDescent="0.25">
      <c r="A29" s="38"/>
      <c r="B29" s="221"/>
      <c r="C29" s="221"/>
      <c r="D29" s="221"/>
      <c r="E29" s="221"/>
      <c r="F29" s="221"/>
      <c r="G29" s="221"/>
      <c r="H29" s="222"/>
    </row>
    <row r="30" spans="1:8" ht="14.45" customHeight="1" x14ac:dyDescent="0.25">
      <c r="A30" s="32"/>
      <c r="B30" s="221"/>
      <c r="C30" s="221"/>
      <c r="D30" s="221"/>
      <c r="E30" s="221"/>
      <c r="F30" s="221"/>
      <c r="G30" s="221"/>
      <c r="H30" s="222"/>
    </row>
    <row r="31" spans="1:8" ht="14.45" customHeight="1" x14ac:dyDescent="0.25">
      <c r="A31" s="33"/>
      <c r="B31" s="223"/>
      <c r="C31" s="223"/>
      <c r="D31" s="223"/>
      <c r="E31" s="223"/>
      <c r="F31" s="223"/>
      <c r="G31" s="223"/>
      <c r="H31" s="224"/>
    </row>
    <row r="32" spans="1:8" ht="14.45" customHeight="1" x14ac:dyDescent="0.25">
      <c r="A32" s="59" t="s">
        <v>273</v>
      </c>
      <c r="B32" s="219" t="s">
        <v>522</v>
      </c>
      <c r="C32" s="219"/>
      <c r="D32" s="219"/>
      <c r="E32" s="219"/>
      <c r="F32" s="219"/>
      <c r="G32" s="219"/>
      <c r="H32" s="220"/>
    </row>
    <row r="33" spans="1:8" ht="14.45" customHeight="1" x14ac:dyDescent="0.25">
      <c r="A33" s="38"/>
      <c r="B33" s="221"/>
      <c r="C33" s="221"/>
      <c r="D33" s="221"/>
      <c r="E33" s="221"/>
      <c r="F33" s="221"/>
      <c r="G33" s="221"/>
      <c r="H33" s="222"/>
    </row>
    <row r="34" spans="1:8" ht="15.6" customHeight="1" x14ac:dyDescent="0.25">
      <c r="A34" s="38"/>
      <c r="B34" s="221"/>
      <c r="C34" s="221"/>
      <c r="D34" s="221"/>
      <c r="E34" s="221"/>
      <c r="F34" s="221"/>
      <c r="G34" s="221"/>
      <c r="H34" s="222"/>
    </row>
    <row r="35" spans="1:8" ht="14.45" customHeight="1" x14ac:dyDescent="0.25">
      <c r="A35" s="38"/>
      <c r="B35" s="221"/>
      <c r="C35" s="221"/>
      <c r="D35" s="221"/>
      <c r="E35" s="221"/>
      <c r="F35" s="221"/>
      <c r="G35" s="221"/>
      <c r="H35" s="222"/>
    </row>
    <row r="36" spans="1:8" ht="15.6" customHeight="1" x14ac:dyDescent="0.25">
      <c r="A36" s="38"/>
      <c r="B36" s="221"/>
      <c r="C36" s="221"/>
      <c r="D36" s="221"/>
      <c r="E36" s="221"/>
      <c r="F36" s="221"/>
      <c r="G36" s="221"/>
      <c r="H36" s="222"/>
    </row>
    <row r="37" spans="1:8" ht="14.45" customHeight="1" x14ac:dyDescent="0.25">
      <c r="A37" s="38"/>
      <c r="D37" s="207" t="str">
        <f>IF($A$6=Вмешательства!$D$3,Вмешательства!$F$18,"")</f>
        <v/>
      </c>
      <c r="E37" s="207"/>
      <c r="F37" s="119"/>
      <c r="G37" s="119"/>
      <c r="H37" s="123"/>
    </row>
    <row r="38" spans="1:8" ht="14.45" customHeight="1" x14ac:dyDescent="0.25">
      <c r="A38" s="38"/>
      <c r="C38" s="124"/>
      <c r="D38" s="208" t="s">
        <v>523</v>
      </c>
      <c r="E38" s="209"/>
      <c r="F38" s="209"/>
      <c r="G38" s="209"/>
      <c r="H38" s="210"/>
    </row>
    <row r="39" spans="1:8" ht="14.45" customHeight="1" x14ac:dyDescent="0.25">
      <c r="A39" s="35"/>
      <c r="B39" s="119"/>
      <c r="C39" s="124"/>
      <c r="D39" s="209"/>
      <c r="E39" s="209"/>
      <c r="F39" s="209"/>
      <c r="G39" s="209"/>
      <c r="H39" s="210"/>
    </row>
    <row r="40" spans="1:8" ht="14.45" customHeight="1" x14ac:dyDescent="0.25">
      <c r="A40" s="35"/>
      <c r="B40" s="119"/>
      <c r="C40" s="124"/>
      <c r="D40" s="209"/>
      <c r="E40" s="209"/>
      <c r="F40" s="209"/>
      <c r="G40" s="209"/>
      <c r="H40" s="210"/>
    </row>
    <row r="41" spans="1:8" ht="14.45" customHeight="1" x14ac:dyDescent="0.25">
      <c r="A41" s="35"/>
      <c r="B41" s="119"/>
      <c r="C41" s="124"/>
      <c r="D41" s="209"/>
      <c r="E41" s="209"/>
      <c r="F41" s="209"/>
      <c r="G41" s="209"/>
      <c r="H41" s="210"/>
    </row>
    <row r="42" spans="1:8" ht="14.45" customHeight="1" x14ac:dyDescent="0.25">
      <c r="A42" s="35"/>
      <c r="B42" s="119"/>
      <c r="C42" s="125"/>
      <c r="D42" s="128"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x14ac:dyDescent="0.25">
      <c r="A43" s="35"/>
      <c r="B43" s="119"/>
      <c r="C43" s="126"/>
      <c r="D43" s="204" t="s">
        <v>513</v>
      </c>
      <c r="E43" s="205"/>
      <c r="F43" s="205"/>
      <c r="G43" s="205"/>
      <c r="H43" s="206"/>
    </row>
    <row r="44" spans="1:8" ht="14.45" customHeight="1" x14ac:dyDescent="0.25">
      <c r="A44" s="35"/>
      <c r="B44" s="119"/>
      <c r="C44" s="126"/>
      <c r="D44" s="205"/>
      <c r="E44" s="205"/>
      <c r="F44" s="205"/>
      <c r="G44" s="205"/>
      <c r="H44" s="206"/>
    </row>
    <row r="45" spans="1:8" ht="14.45" customHeight="1" x14ac:dyDescent="0.25">
      <c r="A45" s="35"/>
      <c r="B45" s="119"/>
      <c r="C45" s="126"/>
      <c r="D45" s="205"/>
      <c r="E45" s="205"/>
      <c r="F45" s="205"/>
      <c r="G45" s="205"/>
      <c r="H45" s="206"/>
    </row>
    <row r="46" spans="1:8" x14ac:dyDescent="0.25">
      <c r="A46" s="35"/>
      <c r="B46" s="119"/>
      <c r="C46" s="126"/>
      <c r="D46" s="205"/>
      <c r="E46" s="205"/>
      <c r="F46" s="205"/>
      <c r="G46" s="205"/>
      <c r="H46" s="206"/>
    </row>
    <row r="47" spans="1:8" x14ac:dyDescent="0.25">
      <c r="A47" s="38"/>
      <c r="C47" s="126"/>
      <c r="D47" s="205"/>
      <c r="E47" s="205"/>
      <c r="F47" s="205"/>
      <c r="G47" s="205"/>
      <c r="H47" s="206"/>
    </row>
    <row r="48" spans="1:8" x14ac:dyDescent="0.25">
      <c r="A48" s="38"/>
      <c r="C48" s="126"/>
      <c r="D48" s="205"/>
      <c r="E48" s="205"/>
      <c r="F48" s="205"/>
      <c r="G48" s="205"/>
      <c r="H48" s="206"/>
    </row>
    <row r="49" spans="1:13" x14ac:dyDescent="0.25">
      <c r="A49" s="40"/>
      <c r="B49" s="31"/>
      <c r="C49" s="127"/>
      <c r="D49" s="205"/>
      <c r="E49" s="205"/>
      <c r="F49" s="205"/>
      <c r="G49" s="205"/>
      <c r="H49" s="206"/>
    </row>
    <row r="50" spans="1:13" x14ac:dyDescent="0.25">
      <c r="A50" s="38"/>
      <c r="D50" s="205"/>
      <c r="E50" s="205"/>
      <c r="F50" s="205"/>
      <c r="G50" s="205"/>
      <c r="H50" s="206"/>
      <c r="M50" t="s">
        <v>211</v>
      </c>
    </row>
    <row r="51" spans="1:13" x14ac:dyDescent="0.25">
      <c r="A51" s="62" t="s">
        <v>204</v>
      </c>
      <c r="B51" s="63" t="s">
        <v>512</v>
      </c>
      <c r="G51" s="74" t="str">
        <f>$G$9</f>
        <v>Щербаков А.С.</v>
      </c>
      <c r="H51" s="64"/>
    </row>
    <row r="52" spans="1:13" x14ac:dyDescent="0.25">
      <c r="A52" s="38"/>
      <c r="H52" s="39"/>
    </row>
    <row r="53" spans="1:13" x14ac:dyDescent="0.25">
      <c r="A53" s="65" t="s">
        <v>206</v>
      </c>
      <c r="B53" s="66" t="s">
        <v>517</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tabSelected="1" showWhiteSpace="0" view="pageBreakPreview" zoomScaleNormal="100" zoomScaleSheetLayoutView="100" zoomScalePageLayoutView="90" workbookViewId="0">
      <selection activeCell="K37" sqref="K37"/>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5" t="s">
        <v>208</v>
      </c>
      <c r="B6" s="236"/>
      <c r="C6" s="236"/>
      <c r="D6" s="236"/>
      <c r="E6" s="236"/>
      <c r="F6" s="236"/>
      <c r="G6" s="236"/>
      <c r="H6" s="237"/>
    </row>
    <row r="7" spans="1:8" ht="21.6" customHeight="1" x14ac:dyDescent="0.25">
      <c r="A7" s="235"/>
      <c r="B7" s="236"/>
      <c r="C7" s="236"/>
      <c r="D7" s="236"/>
      <c r="E7" s="236"/>
      <c r="F7" s="236"/>
      <c r="G7" s="236"/>
      <c r="H7" s="237"/>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4" t="s">
        <v>216</v>
      </c>
      <c r="D8" s="234"/>
      <c r="E8" s="234"/>
      <c r="F8" s="191">
        <v>1</v>
      </c>
      <c r="G8" s="118" t="s">
        <v>309</v>
      </c>
      <c r="H8" s="159"/>
    </row>
    <row r="9" spans="1:8" ht="15.75" thickTop="1" x14ac:dyDescent="0.25">
      <c r="A9" s="52" t="str">
        <f>"Код модели:"&amp;" "&amp;IFERROR(IF(ISBLANK(H8),IF(A6=Вмешательства!D4,INDEX(Код.Модели[#All],MATCH(ЧКВ!B21,Код.Модели[[#All],[Диагноз]],0),MATCH(ЧКВ!C11,Вмешательства!F2:T2,0))," ")," "),"")</f>
        <v>Код модели: 21167</v>
      </c>
      <c r="C9" s="234"/>
      <c r="D9" s="234"/>
      <c r="E9" s="234"/>
      <c r="F9" s="191"/>
      <c r="G9" s="118"/>
      <c r="H9" s="39"/>
    </row>
    <row r="10" spans="1:8" x14ac:dyDescent="0.25">
      <c r="A10" s="52" t="str">
        <f>"Код метода:"&amp;" "&amp;IFERROR(IF(ISBLANK(ЧКВ!H8),IF(A6=Вмешательства!D4,INDEX(Код.Метода[#All],MATCH(ЧКВ!B21,Код.Метода[[#All],[Диагноз]],0),MATCH(ЧКВ!C11,Вмешательства!F12:T12,0))," ")," "),"")</f>
        <v>Код метода: 47</v>
      </c>
      <c r="B10" s="190"/>
      <c r="C10" s="238"/>
      <c r="D10" s="238"/>
      <c r="E10" s="238"/>
      <c r="F10" s="195"/>
      <c r="G10" s="118"/>
      <c r="H10" s="39"/>
    </row>
    <row r="11" spans="1:8" x14ac:dyDescent="0.25">
      <c r="A11" s="193"/>
      <c r="B11" s="198"/>
      <c r="C11" s="194">
        <f>SUM(F8:F10)</f>
        <v>1</v>
      </c>
      <c r="H11" s="39"/>
    </row>
    <row r="12" spans="1:8" ht="18.75" x14ac:dyDescent="0.25">
      <c r="A12" s="75" t="s">
        <v>191</v>
      </c>
      <c r="B12" s="20">
        <f>КАГ!B8</f>
        <v>45185</v>
      </c>
      <c r="C12" s="12"/>
      <c r="D12" s="16" t="s">
        <v>186</v>
      </c>
      <c r="E12" s="29"/>
      <c r="F12" s="29"/>
      <c r="G12" s="17"/>
      <c r="H12" s="18"/>
    </row>
    <row r="13" spans="1:8" ht="15.75" x14ac:dyDescent="0.25">
      <c r="A13" s="76" t="s">
        <v>193</v>
      </c>
      <c r="B13" s="22">
        <v>0.86805555555555547</v>
      </c>
      <c r="C13" s="12"/>
      <c r="D13" s="94" t="s">
        <v>172</v>
      </c>
      <c r="E13" s="92"/>
      <c r="F13" s="92"/>
      <c r="G13" s="79" t="str">
        <f>КАГ!G9</f>
        <v>Щербаков А.С.</v>
      </c>
      <c r="H13" s="90" t="str">
        <f>IF(ISBLANK(КАГ!H9),"",КАГ!H9)</f>
        <v/>
      </c>
    </row>
    <row r="14" spans="1:8" ht="15.75" x14ac:dyDescent="0.25">
      <c r="A14" s="76" t="s">
        <v>194</v>
      </c>
      <c r="B14" s="22">
        <v>0.90277777777777779</v>
      </c>
      <c r="C14" s="12"/>
      <c r="D14" s="95" t="s">
        <v>173</v>
      </c>
      <c r="E14" s="93"/>
      <c r="F14" s="93"/>
      <c r="G14" s="80" t="str">
        <f>КАГ!G10</f>
        <v>Сугера И.В.</v>
      </c>
      <c r="H14" s="91" t="str">
        <f>IF(ISBLANK(КАГ!H10),"",КАГ!H10)</f>
        <v/>
      </c>
    </row>
    <row r="15" spans="1:8" ht="16.5" thickBot="1" x14ac:dyDescent="0.3">
      <c r="A15" s="164" t="s">
        <v>389</v>
      </c>
      <c r="B15" s="189">
        <f>IF(B14&lt;B13,B14+1,B14)-B13</f>
        <v>3.4722222222222321E-2</v>
      </c>
      <c r="D15" s="95" t="s">
        <v>170</v>
      </c>
      <c r="E15" s="93"/>
      <c r="F15" s="93"/>
      <c r="G15" s="80" t="str">
        <f>КАГ!G11</f>
        <v>Станкевич И.В.</v>
      </c>
      <c r="H15" s="91" t="str">
        <f>IF(ISBLANK(КАГ!H11),"",КАГ!H11)</f>
        <v/>
      </c>
    </row>
    <row r="16" spans="1:8" ht="17.25" thickTop="1" thickBot="1" x14ac:dyDescent="0.3">
      <c r="A16" s="89" t="s">
        <v>192</v>
      </c>
      <c r="B16" s="203" t="str">
        <f>КАГ!B11</f>
        <v>Горбань А.А.</v>
      </c>
      <c r="D16" s="95" t="s">
        <v>303</v>
      </c>
      <c r="E16" s="93"/>
      <c r="F16" s="93"/>
      <c r="G16" s="80" t="str">
        <f>КАГ!G12</f>
        <v>Галамага Н.Е.</v>
      </c>
      <c r="H16" s="91" t="str">
        <f>IF(ISBLANK(КАГ!H12),"",КАГ!H12)</f>
        <v/>
      </c>
    </row>
    <row r="17" spans="1:8" ht="16.5" thickTop="1" x14ac:dyDescent="0.25">
      <c r="A17" s="15" t="s">
        <v>8</v>
      </c>
      <c r="B17" s="67">
        <f>КАГ!B12</f>
        <v>25744</v>
      </c>
      <c r="D17" s="95" t="s">
        <v>184</v>
      </c>
      <c r="E17" s="93"/>
      <c r="F17" s="93"/>
      <c r="G17" s="80" t="str">
        <f>IF(ISBLANK(КАГ!G13),"",КАГ!G13)</f>
        <v/>
      </c>
      <c r="H17" s="91" t="str">
        <f>IF(ISBLANK(КАГ!H13),"",КАГ!H13)</f>
        <v/>
      </c>
    </row>
    <row r="18" spans="1:8" ht="15.75" x14ac:dyDescent="0.25">
      <c r="A18" s="15" t="s">
        <v>10</v>
      </c>
      <c r="B18" s="30">
        <f>КАГ!B13</f>
        <v>53</v>
      </c>
      <c r="H18" s="39"/>
    </row>
    <row r="19" spans="1:8" ht="14.45" customHeight="1" x14ac:dyDescent="0.25">
      <c r="A19" s="15" t="s">
        <v>12</v>
      </c>
      <c r="B19" s="68">
        <f>КАГ!B14</f>
        <v>25312</v>
      </c>
      <c r="C19" s="69"/>
      <c r="D19" s="69"/>
      <c r="E19" s="69"/>
      <c r="F19" s="69"/>
      <c r="G19" s="166" t="s">
        <v>401</v>
      </c>
      <c r="H19" s="181" t="str">
        <f>КАГ!H15</f>
        <v>14:18</v>
      </c>
    </row>
    <row r="20" spans="1:8" ht="14.45" customHeight="1" x14ac:dyDescent="0.25">
      <c r="A20" s="15" t="s">
        <v>133</v>
      </c>
      <c r="B20" s="68">
        <f>КАГ!B15</f>
        <v>35</v>
      </c>
      <c r="C20" s="70"/>
      <c r="D20" s="70"/>
      <c r="E20" s="70"/>
      <c r="F20" s="70"/>
      <c r="G20" s="167" t="s">
        <v>403</v>
      </c>
      <c r="H20" s="182">
        <f>КАГ!H16</f>
        <v>14900</v>
      </c>
    </row>
    <row r="21" spans="1:8" ht="14.45" customHeight="1" x14ac:dyDescent="0.25">
      <c r="A21" s="15" t="s">
        <v>106</v>
      </c>
      <c r="B21" s="67" t="str">
        <f>КАГ!B16</f>
        <v>ОКС БПST</v>
      </c>
      <c r="C21" s="70"/>
      <c r="E21" s="71"/>
      <c r="F21" s="71"/>
      <c r="G21" s="168" t="s">
        <v>390</v>
      </c>
      <c r="H21" s="169">
        <f>КАГ!H17</f>
        <v>28.31</v>
      </c>
    </row>
    <row r="22" spans="1:8" ht="14.45" customHeight="1" x14ac:dyDescent="0.25">
      <c r="A22" s="57" t="str">
        <f>КАГ!G18</f>
        <v>Доступ:</v>
      </c>
      <c r="B22" s="77" t="str">
        <f>КАГ!H18</f>
        <v>лучевой</v>
      </c>
      <c r="C22" s="70"/>
      <c r="D22" s="70"/>
      <c r="E22" s="70"/>
      <c r="F22" s="70"/>
      <c r="G22" s="185" t="str">
        <f>IF(B21=Вмешательства!F3,Вмешательства!F19,"")</f>
        <v/>
      </c>
      <c r="H22" s="186" t="str">
        <f>IFERROR(SUM(IF($B$21=Вмешательства!F3,SUM(КАГ!$B$9+0.01),"")),"")</f>
        <v/>
      </c>
    </row>
    <row r="23" spans="1:8" ht="14.45" customHeight="1" x14ac:dyDescent="0.25">
      <c r="A23" s="65" t="s">
        <v>393</v>
      </c>
      <c r="B23" s="173" t="s">
        <v>392</v>
      </c>
      <c r="C23" s="163"/>
      <c r="D23" s="163"/>
      <c r="E23" s="163"/>
      <c r="F23" s="163"/>
      <c r="H23" s="39"/>
    </row>
    <row r="24" spans="1:8" ht="14.45" customHeight="1" x14ac:dyDescent="0.3">
      <c r="A24" s="184" t="s">
        <v>391</v>
      </c>
      <c r="B24" s="171"/>
      <c r="C24" s="171"/>
      <c r="D24" s="171"/>
      <c r="E24" s="171"/>
      <c r="F24" s="171"/>
      <c r="G24" s="171"/>
      <c r="H24" s="172"/>
    </row>
    <row r="25" spans="1:8" ht="14.45" customHeight="1" x14ac:dyDescent="0.25">
      <c r="A25" s="241" t="s">
        <v>525</v>
      </c>
      <c r="B25" s="242"/>
      <c r="C25" s="242"/>
      <c r="D25" s="242"/>
      <c r="E25" s="242"/>
      <c r="F25" s="242"/>
      <c r="G25" s="242"/>
      <c r="H25" s="243"/>
    </row>
    <row r="26" spans="1:8" ht="14.45" customHeight="1" x14ac:dyDescent="0.25">
      <c r="A26" s="244"/>
      <c r="B26" s="242"/>
      <c r="C26" s="242"/>
      <c r="D26" s="242"/>
      <c r="E26" s="242"/>
      <c r="F26" s="242"/>
      <c r="G26" s="242"/>
      <c r="H26" s="243"/>
    </row>
    <row r="27" spans="1:8" ht="14.45" customHeight="1" x14ac:dyDescent="0.25">
      <c r="A27" s="244"/>
      <c r="B27" s="242"/>
      <c r="C27" s="242"/>
      <c r="D27" s="242"/>
      <c r="E27" s="242"/>
      <c r="F27" s="242"/>
      <c r="G27" s="242"/>
      <c r="H27" s="243"/>
    </row>
    <row r="28" spans="1:8" ht="14.45" customHeight="1" x14ac:dyDescent="0.25">
      <c r="A28" s="244"/>
      <c r="B28" s="242"/>
      <c r="C28" s="242"/>
      <c r="D28" s="242"/>
      <c r="E28" s="242"/>
      <c r="F28" s="242"/>
      <c r="G28" s="242"/>
      <c r="H28" s="243"/>
    </row>
    <row r="29" spans="1:8" ht="14.45" customHeight="1" x14ac:dyDescent="0.25">
      <c r="A29" s="244"/>
      <c r="B29" s="242"/>
      <c r="C29" s="242"/>
      <c r="D29" s="242"/>
      <c r="E29" s="242"/>
      <c r="F29" s="242"/>
      <c r="G29" s="242"/>
      <c r="H29" s="243"/>
    </row>
    <row r="30" spans="1:8" ht="14.45" customHeight="1" x14ac:dyDescent="0.25">
      <c r="A30" s="244"/>
      <c r="B30" s="242"/>
      <c r="C30" s="242"/>
      <c r="D30" s="242"/>
      <c r="E30" s="242"/>
      <c r="F30" s="242"/>
      <c r="G30" s="242"/>
      <c r="H30" s="243"/>
    </row>
    <row r="31" spans="1:8" ht="14.45" customHeight="1" x14ac:dyDescent="0.25">
      <c r="A31" s="244"/>
      <c r="B31" s="242"/>
      <c r="C31" s="242"/>
      <c r="D31" s="242"/>
      <c r="E31" s="242"/>
      <c r="F31" s="242"/>
      <c r="G31" s="242"/>
      <c r="H31" s="243"/>
    </row>
    <row r="32" spans="1:8" ht="14.45" customHeight="1" x14ac:dyDescent="0.25">
      <c r="A32" s="244"/>
      <c r="B32" s="242"/>
      <c r="C32" s="242"/>
      <c r="D32" s="242"/>
      <c r="E32" s="242"/>
      <c r="F32" s="242"/>
      <c r="G32" s="242"/>
      <c r="H32" s="243"/>
    </row>
    <row r="33" spans="1:12" ht="14.45" customHeight="1" x14ac:dyDescent="0.25">
      <c r="A33" s="244"/>
      <c r="B33" s="242"/>
      <c r="C33" s="242"/>
      <c r="D33" s="242"/>
      <c r="E33" s="242"/>
      <c r="F33" s="242"/>
      <c r="G33" s="242"/>
      <c r="H33" s="243"/>
    </row>
    <row r="34" spans="1:12" ht="14.45" customHeight="1" x14ac:dyDescent="0.25">
      <c r="A34" s="244"/>
      <c r="B34" s="242"/>
      <c r="C34" s="242"/>
      <c r="D34" s="242"/>
      <c r="E34" s="242"/>
      <c r="F34" s="242"/>
      <c r="G34" s="242"/>
      <c r="H34" s="243"/>
    </row>
    <row r="35" spans="1:12" ht="14.45" customHeight="1" x14ac:dyDescent="0.25">
      <c r="A35" s="244"/>
      <c r="B35" s="242"/>
      <c r="C35" s="242"/>
      <c r="D35" s="242"/>
      <c r="E35" s="242"/>
      <c r="F35" s="242"/>
      <c r="G35" s="242"/>
      <c r="H35" s="243"/>
    </row>
    <row r="36" spans="1:12" ht="14.45" customHeight="1" x14ac:dyDescent="0.25">
      <c r="A36" s="244"/>
      <c r="B36" s="242"/>
      <c r="C36" s="242"/>
      <c r="D36" s="242"/>
      <c r="E36" s="242"/>
      <c r="F36" s="242"/>
      <c r="G36" s="242"/>
      <c r="H36" s="243"/>
    </row>
    <row r="37" spans="1:12" ht="14.45" customHeight="1" x14ac:dyDescent="0.25">
      <c r="A37" s="244"/>
      <c r="B37" s="242"/>
      <c r="C37" s="242"/>
      <c r="D37" s="242"/>
      <c r="E37" s="242"/>
      <c r="F37" s="242"/>
      <c r="G37" s="242"/>
      <c r="H37" s="243"/>
    </row>
    <row r="38" spans="1:12" ht="14.45" customHeight="1" x14ac:dyDescent="0.25">
      <c r="A38" s="178" t="s">
        <v>397</v>
      </c>
      <c r="B38" s="176"/>
      <c r="C38" s="177"/>
      <c r="D38" s="177"/>
      <c r="E38" s="187" t="str">
        <f>IF(A6=Вмешательства!D4,Вмешательства!V16,IF(ЧКВ!A6=Вмешательства!D36,Вмешательства!V16,"-----"))</f>
        <v>СТЕНТ/Ы</v>
      </c>
      <c r="F38" s="177"/>
      <c r="G38" s="180"/>
    </row>
    <row r="39" spans="1:12" ht="15.75" x14ac:dyDescent="0.25">
      <c r="A39" s="174" t="s">
        <v>394</v>
      </c>
      <c r="B39" s="70" t="s">
        <v>396</v>
      </c>
      <c r="C39" s="121"/>
      <c r="D39" s="122" t="s">
        <v>187</v>
      </c>
      <c r="E39" s="72"/>
      <c r="F39" s="72"/>
      <c r="G39" s="72"/>
      <c r="H39" s="73"/>
    </row>
    <row r="40" spans="1:12" ht="14.45" customHeight="1" x14ac:dyDescent="0.25">
      <c r="A40" s="175" t="s">
        <v>395</v>
      </c>
      <c r="B40" s="179" t="s">
        <v>512</v>
      </c>
      <c r="C40" s="120"/>
      <c r="D40" s="245" t="s">
        <v>524</v>
      </c>
      <c r="E40" s="239"/>
      <c r="F40" s="239"/>
      <c r="G40" s="239"/>
      <c r="H40" s="240"/>
    </row>
    <row r="41" spans="1:12" ht="14.45" customHeight="1" x14ac:dyDescent="0.25">
      <c r="A41" s="32"/>
      <c r="B41" s="28"/>
      <c r="C41" s="120"/>
      <c r="D41" s="239"/>
      <c r="E41" s="239"/>
      <c r="F41" s="239"/>
      <c r="G41" s="239"/>
      <c r="H41" s="240"/>
    </row>
    <row r="42" spans="1:12" ht="14.45" customHeight="1" x14ac:dyDescent="0.25">
      <c r="A42" s="32"/>
      <c r="B42" s="28"/>
      <c r="C42" s="120"/>
      <c r="D42" s="239"/>
      <c r="E42" s="239"/>
      <c r="F42" s="239"/>
      <c r="G42" s="239"/>
      <c r="H42" s="240"/>
    </row>
    <row r="43" spans="1:12" ht="14.45" customHeight="1" x14ac:dyDescent="0.25">
      <c r="A43" s="32"/>
      <c r="B43" s="28"/>
      <c r="C43" s="120"/>
      <c r="D43" s="239"/>
      <c r="E43" s="239"/>
      <c r="F43" s="239"/>
      <c r="G43" s="239"/>
      <c r="H43" s="240"/>
    </row>
    <row r="44" spans="1:12" ht="14.45" customHeight="1" x14ac:dyDescent="0.25">
      <c r="A44" s="32"/>
      <c r="B44" s="28"/>
      <c r="C44" s="120"/>
      <c r="D44" s="239"/>
      <c r="E44" s="239"/>
      <c r="F44" s="239"/>
      <c r="G44" s="239"/>
      <c r="H44" s="240"/>
      <c r="L44" s="161"/>
    </row>
    <row r="45" spans="1:12" ht="14.45" customHeight="1" x14ac:dyDescent="0.25">
      <c r="A45" s="32"/>
      <c r="B45" s="28"/>
      <c r="C45" s="120"/>
      <c r="D45" s="239"/>
      <c r="E45" s="239"/>
      <c r="F45" s="239"/>
      <c r="G45" s="239"/>
      <c r="H45" s="240"/>
    </row>
    <row r="46" spans="1:12" ht="14.45" customHeight="1" x14ac:dyDescent="0.25">
      <c r="A46" s="32"/>
      <c r="B46" s="28"/>
      <c r="C46" s="120"/>
      <c r="D46" s="239"/>
      <c r="E46" s="239"/>
      <c r="F46" s="239"/>
      <c r="G46" s="239"/>
      <c r="H46" s="240"/>
    </row>
    <row r="47" spans="1:12" ht="14.45" customHeight="1" x14ac:dyDescent="0.25">
      <c r="A47" s="38"/>
      <c r="C47" s="120"/>
      <c r="D47" s="239"/>
      <c r="E47" s="239"/>
      <c r="F47" s="239"/>
      <c r="G47" s="239"/>
      <c r="H47" s="240"/>
    </row>
    <row r="48" spans="1:12" ht="14.45" customHeight="1" x14ac:dyDescent="0.25">
      <c r="A48" s="38"/>
      <c r="C48" s="120"/>
      <c r="D48" s="239"/>
      <c r="E48" s="239"/>
      <c r="F48" s="239"/>
      <c r="G48" s="239"/>
      <c r="H48" s="240"/>
    </row>
    <row r="49" spans="1:8" ht="14.45" customHeight="1" x14ac:dyDescent="0.25">
      <c r="A49" s="38"/>
      <c r="C49" s="120"/>
      <c r="D49" s="239"/>
      <c r="E49" s="239"/>
      <c r="F49" s="239"/>
      <c r="G49" s="239"/>
      <c r="H49" s="240"/>
    </row>
    <row r="50" spans="1:8" x14ac:dyDescent="0.25">
      <c r="A50" s="62" t="s">
        <v>204</v>
      </c>
      <c r="B50" s="63" t="s">
        <v>518</v>
      </c>
      <c r="H50" s="39"/>
    </row>
    <row r="51" spans="1:8" x14ac:dyDescent="0.25">
      <c r="A51" s="65" t="s">
        <v>206</v>
      </c>
      <c r="B51" s="66" t="s">
        <v>517</v>
      </c>
      <c r="G51" s="74" t="str">
        <f>$G$13</f>
        <v>Щербаков А.С.</v>
      </c>
      <c r="H51" s="64"/>
    </row>
    <row r="52" spans="1:8" x14ac:dyDescent="0.25">
      <c r="A52" s="225" t="s">
        <v>374</v>
      </c>
      <c r="B52" s="226"/>
      <c r="C52" s="226"/>
      <c r="D52" s="226"/>
      <c r="E52" s="226"/>
      <c r="F52" s="227"/>
      <c r="H52" s="39"/>
    </row>
    <row r="53" spans="1:8" ht="15" customHeight="1" x14ac:dyDescent="0.25">
      <c r="A53" s="228"/>
      <c r="B53" s="229"/>
      <c r="C53" s="229"/>
      <c r="D53" s="229"/>
      <c r="E53" s="229"/>
      <c r="F53" s="230"/>
      <c r="G53" s="74" t="str">
        <f>IF(ISBLANK(H13),"",H13)</f>
        <v/>
      </c>
      <c r="H53" s="64"/>
    </row>
    <row r="54" spans="1:8" x14ac:dyDescent="0.25">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zoomScaleNormal="90" zoomScaleSheetLayoutView="100" zoomScalePageLayoutView="80" workbookViewId="0">
      <selection activeCell="G35" sqref="G35"/>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2"/>
      <c r="C1" s="112"/>
      <c r="D1" s="113"/>
    </row>
    <row r="2" spans="1:4" ht="19.899999999999999" customHeight="1" x14ac:dyDescent="0.3">
      <c r="A2" s="96" t="s">
        <v>98</v>
      </c>
      <c r="B2" s="97">
        <f>$D$10</f>
        <v>45185</v>
      </c>
      <c r="C2" s="153" t="str">
        <f>IF(ЧКВ!A6=Вмешательства!D4,Вмешательства!F20,IF(ЧКВ!A6=Вмешательства!D36,Вмешательства!F20,Вмешательства!F22))</f>
        <v>ВМП 1</v>
      </c>
      <c r="D2" s="98" t="s">
        <v>99</v>
      </c>
    </row>
    <row r="3" spans="1:4" ht="20.45" customHeight="1" x14ac:dyDescent="0.25">
      <c r="A3" s="99" t="s">
        <v>97</v>
      </c>
      <c r="B3" s="100"/>
      <c r="D3" s="39"/>
    </row>
    <row r="4" spans="1:4" ht="16.5" thickBot="1" x14ac:dyDescent="0.3">
      <c r="A4" s="148" t="s">
        <v>195</v>
      </c>
      <c r="B4" s="149" t="s">
        <v>105</v>
      </c>
      <c r="C4" s="150" t="s">
        <v>15</v>
      </c>
      <c r="D4" s="202" t="str">
        <f>КАГ!$B$11</f>
        <v>Горбань А.А.</v>
      </c>
    </row>
    <row r="5" spans="1:4" ht="15.75" thickTop="1" x14ac:dyDescent="0.25">
      <c r="A5"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4" t="str">
        <f>IF(ISBLANK(КАГ!A6),"",КАГ!A6)</f>
        <v>КОРОНАРОГРАФИЯ</v>
      </c>
      <c r="C5" s="132" t="s">
        <v>8</v>
      </c>
      <c r="D5" s="102">
        <f>КАГ!$B$12</f>
        <v>25744</v>
      </c>
    </row>
    <row r="6" spans="1:4" ht="30" x14ac:dyDescent="0.25">
      <c r="A6"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5" t="str">
        <f>ЧКВ!A6</f>
        <v xml:space="preserve">Транслюминальная баллонная ангиопластика и стентирование коронарных артерий. </v>
      </c>
      <c r="C6" s="132" t="s">
        <v>10</v>
      </c>
      <c r="D6" s="103">
        <f>DATEDIF(D5,D10,"y")</f>
        <v>53</v>
      </c>
    </row>
    <row r="7" spans="1:4" x14ac:dyDescent="0.25">
      <c r="A7" s="38"/>
      <c r="C7" s="101" t="s">
        <v>12</v>
      </c>
      <c r="D7" s="103">
        <f>КАГ!$B$14</f>
        <v>25312</v>
      </c>
    </row>
    <row r="8" spans="1:4" x14ac:dyDescent="0.25">
      <c r="A8" s="196" t="str">
        <f>ЧКВ!$A$9</f>
        <v>Код модели: 21167</v>
      </c>
      <c r="B8" s="104"/>
      <c r="C8" s="101" t="s">
        <v>133</v>
      </c>
      <c r="D8" s="103">
        <f>КАГ!$B$15</f>
        <v>35</v>
      </c>
    </row>
    <row r="9" spans="1:4" x14ac:dyDescent="0.25">
      <c r="A9" s="196" t="str">
        <f>ЧКВ!$A$10</f>
        <v>Код метода: 47</v>
      </c>
      <c r="C9" s="105" t="s">
        <v>106</v>
      </c>
      <c r="D9" s="103" t="str">
        <f>КАГ!$B$16</f>
        <v>ОКС БПST</v>
      </c>
    </row>
    <row r="10" spans="1:4" x14ac:dyDescent="0.25">
      <c r="A10" s="197"/>
      <c r="B10" s="31"/>
      <c r="C10" s="151" t="s">
        <v>13</v>
      </c>
      <c r="D10" s="152">
        <f>КАГ!$B$8</f>
        <v>45185</v>
      </c>
    </row>
    <row r="11" spans="1:4" x14ac:dyDescent="0.25">
      <c r="A11" s="27"/>
      <c r="B11" s="112"/>
      <c r="C11" s="112"/>
      <c r="D11" s="113"/>
    </row>
    <row r="12" spans="1:4" ht="18.75" customHeight="1" x14ac:dyDescent="0.25">
      <c r="A12" s="137" t="s">
        <v>335</v>
      </c>
      <c r="B12" s="138" t="s">
        <v>0</v>
      </c>
      <c r="C12" s="138" t="s">
        <v>14</v>
      </c>
      <c r="D12" s="139" t="s">
        <v>100</v>
      </c>
    </row>
    <row r="13" spans="1:4" ht="27.75" customHeight="1" x14ac:dyDescent="0.25">
      <c r="A13" s="140"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4" t="s">
        <v>306</v>
      </c>
      <c r="C13" s="188"/>
      <c r="D13" s="141">
        <v>1</v>
      </c>
    </row>
    <row r="14" spans="1:4" ht="27.75" customHeight="1" x14ac:dyDescent="0.25">
      <c r="A14"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5" t="s">
        <v>330</v>
      </c>
      <c r="C14" s="136"/>
      <c r="D14" s="141">
        <v>1</v>
      </c>
    </row>
    <row r="15" spans="1:4" ht="27.75" customHeight="1" x14ac:dyDescent="0.25">
      <c r="A15"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5" s="155" t="s">
        <v>378</v>
      </c>
      <c r="C15" s="136" t="s">
        <v>405</v>
      </c>
      <c r="D15" s="141">
        <v>1</v>
      </c>
    </row>
    <row r="16" spans="1:4" ht="27.75" customHeight="1" x14ac:dyDescent="0.25">
      <c r="A16" s="142"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16" s="155" t="s">
        <v>310</v>
      </c>
      <c r="C16" s="136"/>
      <c r="D16" s="141">
        <v>1</v>
      </c>
    </row>
    <row r="17" spans="1:4" ht="27.75" customHeight="1" x14ac:dyDescent="0.25">
      <c r="A17"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7" s="155" t="s">
        <v>323</v>
      </c>
      <c r="C17" s="136" t="s">
        <v>468</v>
      </c>
      <c r="D17" s="141">
        <v>1</v>
      </c>
    </row>
    <row r="18" spans="1:4" ht="27.75" customHeight="1" x14ac:dyDescent="0.25">
      <c r="A18"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8" s="155" t="s">
        <v>314</v>
      </c>
      <c r="C18" s="136"/>
      <c r="D18" s="141">
        <v>1</v>
      </c>
    </row>
    <row r="19" spans="1:4" ht="27.75" customHeight="1" x14ac:dyDescent="0.25">
      <c r="A19" s="142" t="str">
        <f>IFERROR(INDEX(Расходка[[Тип расходного материала ]],MATCH(Карта_Учёта[[#This Row],[Наименование расходного материала]],Расходка[Наименование расходного материала],0)),"")</f>
        <v/>
      </c>
      <c r="B19" s="155"/>
      <c r="C19" s="183"/>
      <c r="D19" s="141"/>
    </row>
    <row r="20" spans="1:4" ht="27.75" customHeight="1" x14ac:dyDescent="0.25">
      <c r="A20" s="142" t="str">
        <f>IFERROR(INDEX(Расходка[[Тип расходного материала ]],MATCH(Карта_Учёта[[#This Row],[Наименование расходного материала]],Расходка[Наименование расходного материала],0)),"")</f>
        <v/>
      </c>
      <c r="B20" s="156"/>
      <c r="C20" s="136"/>
      <c r="D20" s="141"/>
    </row>
    <row r="21" spans="1:4" ht="27.75" customHeight="1" x14ac:dyDescent="0.25">
      <c r="A21" s="142" t="str">
        <f>IFERROR(INDEX(Расходка[[Тип расходного материала ]],MATCH(Карта_Учёта[[#This Row],[Наименование расходного материала]],Расходка[Наименование расходного материала],0)),"")</f>
        <v/>
      </c>
      <c r="B21" s="155"/>
      <c r="C21" s="136"/>
      <c r="D21" s="141"/>
    </row>
    <row r="22" spans="1:4" ht="27.75" customHeight="1" x14ac:dyDescent="0.25">
      <c r="A22" s="142" t="str">
        <f>IFERROR(INDEX(Расходка[[Тип расходного материала ]],MATCH(Карта_Учёта[[#This Row],[Наименование расходного материала]],Расходка[Наименование расходного материала],0)),"")</f>
        <v/>
      </c>
      <c r="B22" s="155"/>
      <c r="C22" s="136"/>
      <c r="D22" s="143"/>
    </row>
    <row r="23" spans="1:4" ht="27.75" customHeight="1" x14ac:dyDescent="0.25">
      <c r="A23" s="142" t="str">
        <f>IFERROR(INDEX(Расходка[[Тип расходного материала ]],MATCH(Карта_Учёта[[#This Row],[Наименование расходного материала]],Расходка[Наименование расходного материала],0)),"")</f>
        <v/>
      </c>
      <c r="B23" s="155"/>
      <c r="C23" s="136"/>
      <c r="D23" s="143"/>
    </row>
    <row r="24" spans="1:4" ht="27.75" customHeight="1" x14ac:dyDescent="0.25">
      <c r="A24" s="144" t="str">
        <f>IFERROR(INDEX(Расходка[[Тип расходного материала ]],MATCH(Карта_Учёта[[#This Row],[Наименование расходного материала]],Расходка[Наименование расходного материала],0)),"")</f>
        <v/>
      </c>
      <c r="B24" s="155"/>
      <c r="C24" s="136"/>
      <c r="D24" s="143"/>
    </row>
    <row r="25" spans="1:4" ht="27.75" customHeight="1" x14ac:dyDescent="0.25">
      <c r="A25" s="145" t="str">
        <f>IFERROR(INDEX(Расходка[[Тип расходного материала ]],MATCH(Карта_Учёта[[#This Row],[Наименование расходного материала]],Расходка[Наименование расходного материала],0)),"")</f>
        <v/>
      </c>
      <c r="B25" s="157"/>
      <c r="C25" s="146"/>
      <c r="D25" s="147"/>
    </row>
    <row r="26" spans="1:4" ht="14.45" customHeight="1" x14ac:dyDescent="0.25">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x14ac:dyDescent="0.25">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0" t="s">
        <v>510</v>
      </c>
      <c r="C35" s="13"/>
      <c r="D35" s="39"/>
    </row>
    <row r="36" spans="1:4" ht="19.899999999999999" customHeight="1" x14ac:dyDescent="0.25">
      <c r="A36" s="38"/>
      <c r="D36" s="39"/>
    </row>
    <row r="37" spans="1:4" ht="19.899999999999999" customHeight="1" x14ac:dyDescent="0.25">
      <c r="A37" s="38"/>
      <c r="B37" s="117"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1" t="s">
        <v>371</v>
      </c>
      <c r="C39" s="114"/>
      <c r="D39" s="39"/>
    </row>
    <row r="40" spans="1:4" ht="19.899999999999999" customHeight="1" x14ac:dyDescent="0.25">
      <c r="A40" s="40"/>
      <c r="B40" s="31"/>
      <c r="C40" s="31"/>
      <c r="D40" s="41"/>
    </row>
    <row r="41" spans="1:4" ht="14.45" customHeight="1" x14ac:dyDescent="0.25">
      <c r="C41" s="11"/>
    </row>
  </sheetData>
  <sheetProtection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howErrorMessage="1" sqref="B39 B35" xr:uid="{00000000-0002-0000-0200-000005000000}">
      <formula1>INDIRECT("Сотрудники[Должность: ФИО]")</formula1>
    </dataValidation>
    <dataValidation type="list" allowBlank="1" showInputMessage="1" sqref="B17" xr:uid="{00000000-0002-0000-0200-000006000000}">
      <formula1>ВЫП.Список_Расходка_5</formula1>
    </dataValidation>
    <dataValidation type="list" allowBlank="1" showInputMessage="1" sqref="B18" xr:uid="{00000000-0002-0000-0200-000007000000}">
      <formula1>ВЫП.Список_Расходка_6</formula1>
    </dataValidation>
    <dataValidation type="list" allowBlank="1" showInputMessage="1" sqref="B19" xr:uid="{00000000-0002-0000-0200-000008000000}">
      <formula1>ВЫП.Список_Расходка_7</formula1>
    </dataValidation>
    <dataValidation type="list" allowBlank="1" showInputMessage="1" sqref="B20" xr:uid="{00000000-0002-0000-0200-000009000000}">
      <formula1>ВЫП.Список_Расходка_8</formula1>
    </dataValidation>
    <dataValidation type="list" allowBlank="1" showInputMessage="1" sqref="B21" xr:uid="{00000000-0002-0000-0200-00000A000000}">
      <formula1>ВЫП.Список_Расходка_9</formula1>
    </dataValidation>
    <dataValidation type="list" allowBlank="1" showInputMessage="1" sqref="B22" xr:uid="{00000000-0002-0000-0200-00000B000000}">
      <formula1>ВЫП.Список_Расходка_10</formula1>
    </dataValidation>
    <dataValidation type="list" allowBlank="1" showInputMessage="1" sqref="B23" xr:uid="{00000000-0002-0000-0200-00000C000000}">
      <formula1>ВЫП.Список_Расходка_11</formula1>
    </dataValidation>
    <dataValidation type="list" allowBlank="1" showInputMessage="1" sqref="B24" xr:uid="{00000000-0002-0000-0200-00000D000000}">
      <formula1>ВЫП.Список_Расходка_12</formula1>
    </dataValidation>
    <dataValidation type="list" allowBlank="1" showInputMessage="1" sqref="B25" xr:uid="{00000000-0002-0000-0200-00000E000000}">
      <formula1>ВЫП.Список_Расходка_13</formula1>
    </dataValidation>
    <dataValidation type="list" errorStyle="warning" allowBlank="1" showInputMessage="1" showErrorMessage="1" errorTitle="Ой)))" error="Размера нет в базе данных" sqref="C15" xr:uid="{00000000-0002-0000-0200-00000F000000}">
      <formula1>Размеры_стентов_балонов</formula1>
    </dataValidation>
    <dataValidation type="list" allowBlank="1" showInputMessage="1" sqref="B16" xr:uid="{911EF318-FAC1-468D-9B2E-5BFF895B0773}">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5"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488</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487</v>
      </c>
      <c r="G3" s="3" t="s">
        <v>488</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311</v>
      </c>
      <c r="G4" s="3" t="s">
        <v>488</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402</v>
      </c>
      <c r="F5" t="s">
        <v>131</v>
      </c>
      <c r="G5" s="3" t="s">
        <v>488</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488</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488</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488</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488</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489</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487</v>
      </c>
      <c r="G13" s="3" t="s">
        <v>489</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311</v>
      </c>
      <c r="G14" s="3" t="s">
        <v>489</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489</v>
      </c>
      <c r="H15" s="3">
        <v>2633</v>
      </c>
      <c r="I15" s="3">
        <v>46</v>
      </c>
      <c r="J15" s="3">
        <v>45</v>
      </c>
      <c r="K15" s="3">
        <v>45</v>
      </c>
      <c r="L15" s="3">
        <v>45</v>
      </c>
      <c r="M15" s="3">
        <v>45</v>
      </c>
      <c r="N15" s="3">
        <v>45</v>
      </c>
      <c r="O15" s="3">
        <v>45</v>
      </c>
      <c r="P15" s="3">
        <v>45</v>
      </c>
      <c r="Q15" s="3">
        <v>45</v>
      </c>
      <c r="R15" s="3">
        <v>45</v>
      </c>
      <c r="S15" s="3">
        <v>45</v>
      </c>
      <c r="T15" s="3">
        <v>45</v>
      </c>
      <c r="V15" t="s">
        <v>397</v>
      </c>
      <c r="W15" s="12"/>
    </row>
    <row r="16" spans="1:23" x14ac:dyDescent="0.25">
      <c r="A16" s="8">
        <v>15</v>
      </c>
      <c r="B16" s="2" t="s">
        <v>31</v>
      </c>
      <c r="C16" s="8" t="s">
        <v>237</v>
      </c>
      <c r="D16" s="5" t="s">
        <v>32</v>
      </c>
      <c r="V16" t="s">
        <v>398</v>
      </c>
    </row>
    <row r="17" spans="1:23" x14ac:dyDescent="0.25">
      <c r="A17" s="8">
        <v>16</v>
      </c>
      <c r="B17" s="2" t="s">
        <v>33</v>
      </c>
      <c r="C17" s="8" t="s">
        <v>238</v>
      </c>
      <c r="D17" s="5" t="s">
        <v>34</v>
      </c>
      <c r="F17" t="s">
        <v>490</v>
      </c>
      <c r="V17" t="s">
        <v>399</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336</v>
      </c>
      <c r="J21" s="12"/>
    </row>
    <row r="22" spans="1:23" ht="30" x14ac:dyDescent="0.25">
      <c r="A22" s="8">
        <v>21</v>
      </c>
      <c r="B22" s="2" t="s">
        <v>52</v>
      </c>
      <c r="C22" s="8" t="s">
        <v>53</v>
      </c>
      <c r="D22" s="5" t="s">
        <v>54</v>
      </c>
      <c r="F22" t="s">
        <v>337</v>
      </c>
      <c r="J22" s="12"/>
      <c r="U22" s="2"/>
    </row>
    <row r="23" spans="1:23" x14ac:dyDescent="0.25">
      <c r="A23" s="8">
        <v>22</v>
      </c>
      <c r="B23" s="2" t="s">
        <v>55</v>
      </c>
      <c r="C23" s="8" t="s">
        <v>56</v>
      </c>
      <c r="D23" s="5" t="s">
        <v>57</v>
      </c>
      <c r="F23" t="s">
        <v>347</v>
      </c>
      <c r="J23" s="12"/>
      <c r="U23" s="2"/>
    </row>
    <row r="24" spans="1:23" x14ac:dyDescent="0.25">
      <c r="A24" s="8">
        <v>23</v>
      </c>
      <c r="B24" s="2" t="s">
        <v>58</v>
      </c>
      <c r="C24" s="8" t="s">
        <v>59</v>
      </c>
      <c r="D24" s="5" t="s">
        <v>60</v>
      </c>
      <c r="F24" t="s">
        <v>505</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2" zoomScaleNormal="100" workbookViewId="0">
      <selection activeCell="A2" sqref="A2:A67"/>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502</v>
      </c>
      <c r="AN1" s="2" t="s">
        <v>496</v>
      </c>
      <c r="AO1" t="s">
        <v>356</v>
      </c>
      <c r="AP1" s="160"/>
    </row>
    <row r="2" spans="1:42" x14ac:dyDescent="0.25">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1</v>
      </c>
      <c r="I2" s="116">
        <f>IF(ISNUMBER(SEARCH('Карта учёта'!$B$17,Расходка[[#This Row],[Наименование расходного материала]])),MAX($I$1:I1)+1,0)</f>
        <v>0</v>
      </c>
      <c r="J2" s="116">
        <f>IF(ISNUMBER(SEARCH('Карта учёта'!$B$18,Расходка[[#This Row],[Наименование расходного материала]])),MAX($J$1:J1)+1,0)</f>
        <v>0</v>
      </c>
      <c r="K2" s="116">
        <f>IF(ISNUMBER(SEARCH('Карта учёта'!$B$19,Расходка[[#This Row],[Наименование расходного материала]])),MAX($K$1:K1)+1,0)</f>
        <v>1</v>
      </c>
      <c r="L2" s="116">
        <f>IF(ISNUMBER(SEARCH('Карта учёта'!$B$20,Расходка[[#This Row],[Наименование расходного материала]])),MAX($L$1:L1)+1,0)</f>
        <v>1</v>
      </c>
      <c r="M2" s="116">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Индефлятор</v>
      </c>
      <c r="S2" s="115" t="str">
        <f>IFERROR(INDEX(Расходка[Наименование расходного материала],MATCH(Расходка[[#This Row],[№]],Поиск_расходки[Индекс2],0)),"")</f>
        <v>Launcher 6F JR 4.0</v>
      </c>
      <c r="T2" s="115" t="str">
        <f>IFERROR(INDEX(Расходка[Наименование расходного материала],MATCH(Расходка[[#This Row],[№]],Поиск_расходки[Индекс3],0)),"")</f>
        <v>Колибри</v>
      </c>
      <c r="U2" s="115" t="str">
        <f>IFERROR(INDEX(Расходка[Наименование расходного материала],MATCH(Расходка[[#This Row],[№]],Поиск_расходки[Индекс4],0)),"")</f>
        <v>Hunter® 6F</v>
      </c>
      <c r="V2" s="115" t="str">
        <f>IFERROR(INDEX(Расходка[Наименование расходного материала],MATCH(Расходка[[#This Row],[№]],Поиск_расходки[Индекс5],0)),"")</f>
        <v>DES, Resolute Integtity</v>
      </c>
      <c r="W2" s="115" t="str">
        <f>IFERROR(INDEX(Расходка[Наименование расходного материала],MATCH(Расходка[[#This Row],[№]],Поиск_расходки[Индекс6],0)),"")</f>
        <v>Fielder</v>
      </c>
      <c r="X2" s="115" t="str">
        <f>IFERROR(INDEX(Расходка[Наименование расходного материала],MATCH(Расходка[[#This Row],[№]],Поиск_расходки[Индекс7],0)),"")</f>
        <v>Hunter® 6F</v>
      </c>
      <c r="Y2" s="115" t="str">
        <f>IFERROR(INDEX(Расходка[Наименование расходного материала],MATCH(Расходка[[#This Row],[№]],Поиск_расходки[Индекс8],0)),"")</f>
        <v>Hunter® 6F</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404</v>
      </c>
      <c r="AI2" t="s">
        <v>190</v>
      </c>
      <c r="AJ2" t="s">
        <v>199</v>
      </c>
      <c r="AK2" t="str">
        <f>CONCATENATE(AI2,AJ2)</f>
        <v xml:space="preserve">Контраст: Ультравист 370 </v>
      </c>
      <c r="AM2" s="190">
        <v>155800</v>
      </c>
      <c r="AN2" s="2" t="s">
        <v>309</v>
      </c>
      <c r="AO2" t="s">
        <v>498</v>
      </c>
      <c r="AP2" s="129"/>
    </row>
    <row r="3" spans="1:42" x14ac:dyDescent="0.25">
      <c r="A3">
        <v>2</v>
      </c>
      <c r="B3" t="s">
        <v>94</v>
      </c>
      <c r="C3" t="s">
        <v>373</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учёта'!$B$17,Расходка[[#This Row],[Наименование расходного материала]])),MAX($I$1:I2)+1,0)</f>
        <v>0</v>
      </c>
      <c r="J3" s="116">
        <f>IF(ISNUMBER(SEARCH('Карта учёта'!$B$18,Расходка[[#This Row],[Наименование расходного материала]])),MAX($J$1:J2)+1,0)</f>
        <v>0</v>
      </c>
      <c r="K3" s="116">
        <f>IF(ISNUMBER(SEARCH('Карта учёта'!$B$19,Расходка[[#This Row],[Наименование расходного материала]])),MAX($K$1:K2)+1,0)</f>
        <v>2</v>
      </c>
      <c r="L3" s="116">
        <f>IF(ISNUMBER(SEARCH('Карта учёта'!$B$20,Расходка[[#This Row],[Наименование расходного материала]])),MAX($L$1:L2)+1,0)</f>
        <v>2</v>
      </c>
      <c r="M3" s="116">
        <f>IF(ISNUMBER(SEARCH('Карта учёта'!$B$21,Расходка[[#This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 xml:space="preserve">NC Колибри </v>
      </c>
      <c r="U3" s="115" t="str">
        <f>IFERROR(INDEX(Расходка[Наименование расходного материала],MATCH(Расходка[[#This Row],[№]],Поиск_расходки[Индекс4],0)),"")</f>
        <v/>
      </c>
      <c r="V3" s="115" t="str">
        <f>IFERROR(INDEX(Расходка[Наименование расходного материала],MATCH(Расходка[[#This Row],[№]],Поиск_расходки[Индекс5],0)),"")</f>
        <v/>
      </c>
      <c r="W3" s="115" t="str">
        <f>IFERROR(INDEX(Расходка[Наименование расходного материала],MATCH(Расходка[[#This Row],[№]],Поиск_расходки[Индекс6],0)),"")</f>
        <v>Fielder XT-A</v>
      </c>
      <c r="X3" s="115" t="str">
        <f>IFERROR(INDEX(Расходка[Наименование расходного материала],MATCH(Расходка[[#This Row],[№]],Поиск_расходки[Индекс7],0)),"")</f>
        <v xml:space="preserve">Medtronic Export Advance </v>
      </c>
      <c r="Y3" s="115" t="str">
        <f>IFERROR(INDEX(Расходка[Наименование расходного материала],MATCH(Расходка[[#This Row],[№]],Поиск_расходки[Индекс8],0)),"")</f>
        <v xml:space="preserve">Medtronic Export Advance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405</v>
      </c>
      <c r="AI3" t="s">
        <v>190</v>
      </c>
      <c r="AJ3" t="s">
        <v>200</v>
      </c>
      <c r="AK3" t="str">
        <f t="shared" ref="AK3:AK6" si="0">CONCATENATE(AI3,AJ3)</f>
        <v>Контраст: Омнипак 350</v>
      </c>
      <c r="AM3" s="190">
        <v>218190</v>
      </c>
      <c r="AN3" s="2" t="s">
        <v>491</v>
      </c>
      <c r="AO3" t="s">
        <v>499</v>
      </c>
      <c r="AP3" s="130"/>
    </row>
    <row r="4" spans="1:42" x14ac:dyDescent="0.25">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учёта'!$B$17,Расходка[[#This Row],[Наименование расходного материала]])),MAX($I$1:I3)+1,0)</f>
        <v>0</v>
      </c>
      <c r="J4" s="116">
        <f>IF(ISNUMBER(SEARCH('Карта учёта'!$B$18,Расходка[[#This Row],[Наименование расходного материала]])),MAX($J$1:J3)+1,0)</f>
        <v>0</v>
      </c>
      <c r="K4" s="116">
        <f>IF(ISNUMBER(SEARCH('Карта учёта'!$B$19,Расходка[[#This Row],[Наименование расходного материала]])),MAX($K$1:K3)+1,0)</f>
        <v>3</v>
      </c>
      <c r="L4" s="116">
        <f>IF(ISNUMBER(SEARCH('Карта учёта'!$B$20,Расходка[[#This Row],[Наименование расходного материала]])),MAX($L$1:L3)+1,0)</f>
        <v>3</v>
      </c>
      <c r="M4" s="116">
        <f>IF(ISNUMBER(SEARCH('Карта учёта'!$B$21,Расходка[[#This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
      </c>
      <c r="W4" s="115" t="str">
        <f>IFERROR(INDEX(Расходка[Наименование расходного материала],MATCH(Расходка[[#This Row],[№]],Поиск_расходки[Индекс6],0)),"")</f>
        <v>Fielder XT-R</v>
      </c>
      <c r="X4" s="115" t="str">
        <f>IFERROR(INDEX(Расходка[Наименование расходного материала],MATCH(Расходка[[#This Row],[№]],Поиск_расходки[Индекс7],0)),"")</f>
        <v>Euphora</v>
      </c>
      <c r="Y4" s="115" t="str">
        <f>IFERROR(INDEX(Расходка[Наименование расходного материала],MATCH(Расходка[[#This Row],[№]],Поиск_расходки[Индекс8],0)),"")</f>
        <v>Euphora</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406</v>
      </c>
      <c r="AI4" t="s">
        <v>190</v>
      </c>
      <c r="AJ4" t="s">
        <v>201</v>
      </c>
      <c r="AK4" t="str">
        <f t="shared" si="0"/>
        <v>Контраст: Оптирей 350</v>
      </c>
      <c r="AM4" s="190">
        <v>337440</v>
      </c>
      <c r="AN4" s="2" t="s">
        <v>504</v>
      </c>
      <c r="AO4" t="s">
        <v>501</v>
      </c>
      <c r="AP4" s="130"/>
    </row>
    <row r="5" spans="1:42" x14ac:dyDescent="0.25">
      <c r="A5">
        <v>4</v>
      </c>
      <c r="B5" t="s">
        <v>5</v>
      </c>
      <c r="C5" t="s">
        <v>312</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учёта'!$B$17,Расходка[[#This Row],[Наименование расходного материала]])),MAX($I$1:I4)+1,0)</f>
        <v>0</v>
      </c>
      <c r="J5" s="116">
        <f>IF(ISNUMBER(SEARCH('Карта учёта'!$B$18,Расходка[[#This Row],[Наименование расходного материала]])),MAX($J$1:J4)+1,0)</f>
        <v>0</v>
      </c>
      <c r="K5" s="116">
        <f>IF(ISNUMBER(SEARCH('Карта учёта'!$B$19,Расходка[[#This Row],[Наименование расходного материала]])),MAX($K$1:K4)+1,0)</f>
        <v>4</v>
      </c>
      <c r="L5" s="116">
        <f>IF(ISNUMBER(SEARCH('Карта учёта'!$B$20,Расходка[[#This Row],[Наименование расходного материала]])),MAX($L$1:L4)+1,0)</f>
        <v>4</v>
      </c>
      <c r="M5" s="116">
        <f>IF(ISNUMBER(SEARCH('Карта учёта'!$B$21,Расходка[[#This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NC Accuforce</v>
      </c>
      <c r="Y5" s="115" t="str">
        <f>IFERROR(INDEX(Расходка[Наименование расходного материала],MATCH(Расходка[[#This Row],[№]],Поиск_расходки[Индекс8],0)),"")</f>
        <v>NC Accuforce</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407</v>
      </c>
      <c r="AI5" t="s">
        <v>190</v>
      </c>
      <c r="AJ5" t="s">
        <v>202</v>
      </c>
      <c r="AK5" t="str">
        <f t="shared" si="0"/>
        <v>Контраст: Юнигексол 350</v>
      </c>
      <c r="AM5" s="190">
        <v>136170</v>
      </c>
      <c r="AN5" s="2"/>
      <c r="AO5" t="s">
        <v>500</v>
      </c>
    </row>
    <row r="6" spans="1:42" x14ac:dyDescent="0.25">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учёта'!$B$17,Расходка[[#This Row],[Наименование расходного материала]])),MAX($I$1:I5)+1,0)</f>
        <v>0</v>
      </c>
      <c r="J6" s="116">
        <f>IF(ISNUMBER(SEARCH('Карта учёта'!$B$18,Расходка[[#This Row],[Наименование расходного материала]])),MAX($J$1:J5)+1,0)</f>
        <v>0</v>
      </c>
      <c r="K6" s="116">
        <f>IF(ISNUMBER(SEARCH('Карта учёта'!$B$19,Расходка[[#This Row],[Наименование расходного материала]])),MAX($K$1:K5)+1,0)</f>
        <v>5</v>
      </c>
      <c r="L6" s="116">
        <f>IF(ISNUMBER(SEARCH('Карта учёта'!$B$20,Расходка[[#This Row],[Наименование расходного материала]])),MAX($L$1:L5)+1,0)</f>
        <v>5</v>
      </c>
      <c r="M6" s="116">
        <f>IF(ISNUMBER(SEARCH('Карта учёта'!$B$21,Расходка[[#This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NC Euphora</v>
      </c>
      <c r="Y6" s="115" t="str">
        <f>IFERROR(INDEX(Расходка[Наименование расходного материала],MATCH(Расходка[[#This Row],[№]],Поиск_расходки[Индекс8],0)),"")</f>
        <v>NC Euphora</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408</v>
      </c>
      <c r="AI6" t="s">
        <v>190</v>
      </c>
      <c r="AJ6" t="s">
        <v>203</v>
      </c>
      <c r="AK6" t="str">
        <f t="shared" si="0"/>
        <v>Контраст: Сканлюкс 370</v>
      </c>
      <c r="AM6" s="190">
        <v>135820</v>
      </c>
      <c r="AN6" s="2"/>
      <c r="AO6" t="s">
        <v>503</v>
      </c>
    </row>
    <row r="7" spans="1:42" x14ac:dyDescent="0.25">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учёта'!$B$17,Расходка[[#This Row],[Наименование расходного материала]])),MAX($I$1:I6)+1,0)</f>
        <v>0</v>
      </c>
      <c r="J7" s="116">
        <f>IF(ISNUMBER(SEARCH('Карта учёта'!$B$18,Расходка[[#This Row],[Наименование расходного материала]])),MAX($J$1:J6)+1,0)</f>
        <v>0</v>
      </c>
      <c r="K7" s="116">
        <f>IF(ISNUMBER(SEARCH('Карта учёта'!$B$19,Расходка[[#This Row],[Наименование расходного материала]])),MAX($K$1:K6)+1,0)</f>
        <v>6</v>
      </c>
      <c r="L7" s="116">
        <f>IF(ISNUMBER(SEARCH('Карта учёта'!$B$20,Расходка[[#This Row],[Наименование расходного материала]])),MAX($L$1:L6)+1,0)</f>
        <v>6</v>
      </c>
      <c r="M7" s="116">
        <f>IF(ISNUMBER(SEARCH('Карта учёта'!$B$21,Расходка[[#This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Sapphire</v>
      </c>
      <c r="Y7" s="115" t="str">
        <f>IFERROR(INDEX(Расходка[Наименование расходного материала],MATCH(Расходка[[#This Row],[№]],Поиск_расходки[Индекс8],0)),"")</f>
        <v>Sapphire</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409</v>
      </c>
      <c r="AI7" t="s">
        <v>190</v>
      </c>
      <c r="AJ7" t="s">
        <v>204</v>
      </c>
      <c r="AK7" t="str">
        <f t="shared" ref="AK7:AK8" si="1">CONCATENATE(AI7,AJ7)</f>
        <v>Контраст: Йогексол 350</v>
      </c>
      <c r="AM7" s="190">
        <v>155760</v>
      </c>
      <c r="AN7" s="2"/>
      <c r="AO7" t="s">
        <v>497</v>
      </c>
    </row>
    <row r="8" spans="1:42" x14ac:dyDescent="0.25">
      <c r="A8">
        <v>7</v>
      </c>
      <c r="B8" t="s">
        <v>5</v>
      </c>
      <c r="C8" t="s">
        <v>313</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учёта'!$B$17,Расходка[[#This Row],[Наименование расходного материала]])),MAX($I$1:I7)+1,0)</f>
        <v>0</v>
      </c>
      <c r="J8" s="116">
        <f>IF(ISNUMBER(SEARCH('Карта учёта'!$B$18,Расходка[[#This Row],[Наименование расходного материала]])),MAX($J$1:J7)+1,0)</f>
        <v>0</v>
      </c>
      <c r="K8" s="116">
        <f>IF(ISNUMBER(SEARCH('Карта учёта'!$B$19,Расходка[[#This Row],[Наименование расходного материала]])),MAX($K$1:K7)+1,0)</f>
        <v>7</v>
      </c>
      <c r="L8" s="116">
        <f>IF(ISNUMBER(SEARCH('Карта учёта'!$B$20,Расходка[[#This Row],[Наименование расходного материала]])),MAX($L$1:L7)+1,0)</f>
        <v>7</v>
      </c>
      <c r="M8" s="116">
        <f>IF(ISNUMBER(SEARCH('Карта учёта'!$B$21,Расходка[[#This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Sprinter Legend</v>
      </c>
      <c r="Y8" s="115" t="str">
        <f>IFERROR(INDEX(Расходка[Наименование расходного материала],MATCH(Расходка[[#This Row],[№]],Поиск_расходки[Индекс8],0)),"")</f>
        <v>Sprinter Legend</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410</v>
      </c>
      <c r="AI8" t="s">
        <v>190</v>
      </c>
      <c r="AJ8" t="s">
        <v>205</v>
      </c>
      <c r="AK8" t="str">
        <f t="shared" si="1"/>
        <v>Контраст: Визипак 320</v>
      </c>
      <c r="AM8" s="190">
        <v>218140</v>
      </c>
      <c r="AN8" s="2"/>
      <c r="AO8" t="s">
        <v>89</v>
      </c>
    </row>
    <row r="9" spans="1:42" x14ac:dyDescent="0.25">
      <c r="A9">
        <v>8</v>
      </c>
      <c r="B9" t="s">
        <v>5</v>
      </c>
      <c r="C9" t="s">
        <v>358</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учёта'!$B$17,Расходка[[#This Row],[Наименование расходного материала]])),MAX($I$1:I8)+1,0)</f>
        <v>0</v>
      </c>
      <c r="J9" s="116">
        <f>IF(ISNUMBER(SEARCH('Карта учёта'!$B$18,Расходка[[#This Row],[Наименование расходного материала]])),MAX($J$1:J8)+1,0)</f>
        <v>0</v>
      </c>
      <c r="K9" s="116">
        <f>IF(ISNUMBER(SEARCH('Карта учёта'!$B$19,Расходка[[#This Row],[Наименование расходного материала]])),MAX($K$1:K8)+1,0)</f>
        <v>8</v>
      </c>
      <c r="L9" s="116">
        <f>IF(ISNUMBER(SEARCH('Карта учёта'!$B$20,Расходка[[#This Row],[Наименование расходного материала]])),MAX($L$1:L8)+1,0)</f>
        <v>8</v>
      </c>
      <c r="M9" s="116">
        <f>IF(ISNUMBER(SEARCH('Карта учёта'!$B$21,Расходка[[#This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SubMarine Rapido, Invatec</v>
      </c>
      <c r="Y9" s="115" t="str">
        <f>IFERROR(INDEX(Расходка[Наименование расходного материала],MATCH(Расходка[[#This Row],[№]],Поиск_расходки[Индекс8],0)),"")</f>
        <v>SubMarine Rapido, Invatec</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411</v>
      </c>
      <c r="AM9" s="190">
        <v>218160</v>
      </c>
      <c r="AN9" s="2"/>
      <c r="AO9" t="s">
        <v>90</v>
      </c>
    </row>
    <row r="10" spans="1:42" x14ac:dyDescent="0.25">
      <c r="A10">
        <v>9</v>
      </c>
      <c r="B10" t="s">
        <v>5</v>
      </c>
      <c r="C10" t="s">
        <v>378</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1</v>
      </c>
      <c r="H10" s="116">
        <f>IF(ISNUMBER(SEARCH('Карта учёта'!$B$16,Расходка[[#This Row],[Наименование расходного материала]])),MAX($H$1:H9)+1,0)</f>
        <v>0</v>
      </c>
      <c r="I10" s="116">
        <f>IF(ISNUMBER(SEARCH('Карта учёта'!$B$17,Расходка[[#This Row],[Наименование расходного материала]])),MAX($I$1:I9)+1,0)</f>
        <v>0</v>
      </c>
      <c r="J10" s="116">
        <f>IF(ISNUMBER(SEARCH('Карта учёта'!$B$18,Расходка[[#This Row],[Наименование расходного материала]])),MAX($J$1:J9)+1,0)</f>
        <v>0</v>
      </c>
      <c r="K10" s="116">
        <f>IF(ISNUMBER(SEARCH('Карта учёта'!$B$19,Расходка[[#This Row],[Наименование расходного материала]])),MAX($K$1:K9)+1,0)</f>
        <v>9</v>
      </c>
      <c r="L10" s="116">
        <f>IF(ISNUMBER(SEARCH('Карта учёта'!$B$20,Расходка[[#This Row],[Наименование расходного материала]])),MAX($L$1:L9)+1,0)</f>
        <v>9</v>
      </c>
      <c r="M10" s="116">
        <f>IF(ISNUMBER(SEARCH('Карта учёта'!$B$21,Расходка[[#This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Колибри</v>
      </c>
      <c r="Y10" s="115" t="str">
        <f>IFERROR(INDEX(Расходка[Наименование расходного материала],MATCH(Расходка[[#This Row],[№]],Поиск_расходки[Индекс8],0)),"")</f>
        <v>Колибри</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412</v>
      </c>
      <c r="AI10" t="s">
        <v>355</v>
      </c>
      <c r="AM10" s="190">
        <v>194510</v>
      </c>
      <c r="AN10" s="2"/>
      <c r="AO10" t="s">
        <v>91</v>
      </c>
    </row>
    <row r="11" spans="1:42" x14ac:dyDescent="0.25">
      <c r="A11">
        <v>10</v>
      </c>
      <c r="B11" t="s">
        <v>5</v>
      </c>
      <c r="C11" t="s">
        <v>400</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2</v>
      </c>
      <c r="H11" s="116">
        <f>IF(ISNUMBER(SEARCH('Карта учёта'!$B$16,Расходка[[#This Row],[Наименование расходного материала]])),MAX($H$1:H10)+1,0)</f>
        <v>0</v>
      </c>
      <c r="I11" s="116">
        <f>IF(ISNUMBER(SEARCH('Карта учёта'!$B$17,Расходка[[#This Row],[Наименование расходного материала]])),MAX($I$1:I10)+1,0)</f>
        <v>0</v>
      </c>
      <c r="J11" s="116">
        <f>IF(ISNUMBER(SEARCH('Карта учёта'!$B$18,Расходка[[#This Row],[Наименование расходного материала]])),MAX($J$1:J10)+1,0)</f>
        <v>0</v>
      </c>
      <c r="K11" s="116">
        <f>IF(ISNUMBER(SEARCH('Карта учёта'!$B$19,Расходка[[#This Row],[Наименование расходного материала]])),MAX($K$1:K10)+1,0)</f>
        <v>10</v>
      </c>
      <c r="L11" s="116">
        <f>IF(ISNUMBER(SEARCH('Карта учёта'!$B$20,Расходка[[#This Row],[Наименование расходного материала]])),MAX($L$1:L10)+1,0)</f>
        <v>10</v>
      </c>
      <c r="M11" s="116">
        <f>IF(ISNUMBER(SEARCH('Карта учёта'!$B$21,Расходка[[#This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xml:space="preserve">NC Колибри </v>
      </c>
      <c r="Y11" s="115" t="str">
        <f>IFERROR(INDEX(Расходка[Наименование расходного материала],MATCH(Расходка[[#This Row],[№]],Поиск_расходки[Индекс8],0)),"")</f>
        <v xml:space="preserve">NC Колибри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413</v>
      </c>
      <c r="AI11" t="s">
        <v>4</v>
      </c>
      <c r="AM11" s="190">
        <v>323500</v>
      </c>
      <c r="AN11" s="2"/>
      <c r="AO11" t="s">
        <v>92</v>
      </c>
    </row>
    <row r="12" spans="1:42" x14ac:dyDescent="0.25">
      <c r="A12">
        <v>11</v>
      </c>
      <c r="B12" t="s">
        <v>308</v>
      </c>
      <c r="C12" s="1" t="s">
        <v>333</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учёта'!$B$17,Расходка[[#This Row],[Наименование расходного материала]])),MAX($I$1:I11)+1,0)</f>
        <v>0</v>
      </c>
      <c r="J12" s="116">
        <f>IF(ISNUMBER(SEARCH('Карта учёта'!$B$18,Расходка[[#This Row],[Наименование расходного материала]])),MAX($J$1:J11)+1,0)</f>
        <v>0</v>
      </c>
      <c r="K12" s="116">
        <f>IF(ISNUMBER(SEARCH('Карта учёта'!$B$19,Расходка[[#This Row],[Наименование расходного материала]])),MAX($K$1:K11)+1,0)</f>
        <v>11</v>
      </c>
      <c r="L12" s="116">
        <f>IF(ISNUMBER(SEARCH('Карта учёта'!$B$20,Расходка[[#This Row],[Наименование расходного материала]])),MAX($L$1:L11)+1,0)</f>
        <v>11</v>
      </c>
      <c r="M12" s="116">
        <f>IF(ISNUMBER(SEARCH('Карта учёта'!$B$21,Расходка[[#This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Nitrex 260</v>
      </c>
      <c r="Y12" s="115" t="str">
        <f>IFERROR(INDEX(Расходка[Наименование расходного материала],MATCH(Расходка[[#This Row],[№]],Поиск_расходки[Индекс8],0)),"")</f>
        <v>Nitrex 260</v>
      </c>
      <c r="Z12" s="115" t="str">
        <f>IFERROR(INDEX(Расходка[Наименование расходного материала],MATCH(Расходка[[#This Row],[№]],Поиск_расходки[Индекс9],0)),"")</f>
        <v>Nitrex 260</v>
      </c>
      <c r="AA12" s="115" t="str">
        <f>IFERROR(INDEX(Расходка[Наименование расходного материала],MATCH(Расходка[[#This Row],[№]],Поиск_расходки[Индекс10],0)),"")</f>
        <v>Nitrex 260</v>
      </c>
      <c r="AB12" s="115" t="str">
        <f>IFERROR(INDEX(Расходка[Наименование расходного материала],MATCH(Расходка[[#This Row],[№]],Поиск_расходки[Индекс11],0)),"")</f>
        <v>Nitrex 260</v>
      </c>
      <c r="AC12" s="115" t="str">
        <f>IFERROR(INDEX(Расходка[Наименование расходного материала],MATCH(Расходка[[#This Row],[№]],Поиск_расходки[Индекс12],0)),"")</f>
        <v>Nitrex 260</v>
      </c>
      <c r="AD12" s="115" t="str">
        <f>IFERROR(INDEX(Расходка[Наименование расходного материала],MATCH(Расходка[[#This Row],[№]],Поиск_расходки[Индекс13],0)),"")</f>
        <v>Nitrex 260</v>
      </c>
      <c r="AF12" s="4" t="s">
        <v>5</v>
      </c>
      <c r="AG12" s="4" t="s">
        <v>414</v>
      </c>
      <c r="AI12" t="s">
        <v>3</v>
      </c>
      <c r="AM12" s="190">
        <v>323510</v>
      </c>
      <c r="AN12" s="2"/>
      <c r="AO12" t="s">
        <v>93</v>
      </c>
    </row>
    <row r="13" spans="1:42" x14ac:dyDescent="0.25">
      <c r="A13">
        <v>12</v>
      </c>
      <c r="B13" t="s">
        <v>308</v>
      </c>
      <c r="C13" t="s">
        <v>367</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учёта'!$B$17,Расходка[[#This Row],[Наименование расходного материала]])),MAX($I$1:I12)+1,0)</f>
        <v>0</v>
      </c>
      <c r="J13" s="116">
        <f>IF(ISNUMBER(SEARCH('Карта учёта'!$B$18,Расходка[[#This Row],[Наименование расходного материала]])),MAX($J$1:J12)+1,0)</f>
        <v>0</v>
      </c>
      <c r="K13" s="116">
        <f>IF(ISNUMBER(SEARCH('Карта учёта'!$B$19,Расходка[[#This Row],[Наименование расходного материала]])),MAX($K$1:K12)+1,0)</f>
        <v>12</v>
      </c>
      <c r="L13" s="116">
        <f>IF(ISNUMBER(SEARCH('Карта учёта'!$B$20,Расходка[[#This Row],[Наименование расходного материала]])),MAX($L$1:L12)+1,0)</f>
        <v>12</v>
      </c>
      <c r="M13" s="116">
        <f>IF(ISNUMBER(SEARCH('Карта учёта'!$B$21,Расходка[[#This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RadiFocus</v>
      </c>
      <c r="Y13" s="115" t="str">
        <f>IFERROR(INDEX(Расходка[Наименование расходного материала],MATCH(Расходка[[#This Row],[№]],Поиск_расходки[Индекс8],0)),"")</f>
        <v>RadiFocus</v>
      </c>
      <c r="Z13" s="115" t="str">
        <f>IFERROR(INDEX(Расходка[Наименование расходного материала],MATCH(Расходка[[#This Row],[№]],Поиск_расходки[Индекс9],0)),"")</f>
        <v>RadiFocus</v>
      </c>
      <c r="AA13" s="115" t="str">
        <f>IFERROR(INDEX(Расходка[Наименование расходного материала],MATCH(Расходка[[#This Row],[№]],Поиск_расходки[Индекс10],0)),"")</f>
        <v>RadiFocus</v>
      </c>
      <c r="AB13" s="115" t="str">
        <f>IFERROR(INDEX(Расходка[Наименование расходного материала],MATCH(Расходка[[#This Row],[№]],Поиск_расходки[Индекс11],0)),"")</f>
        <v>RadiFocus</v>
      </c>
      <c r="AC13" s="115" t="str">
        <f>IFERROR(INDEX(Расходка[Наименование расходного материала],MATCH(Расходка[[#This Row],[№]],Поиск_расходки[Индекс12],0)),"")</f>
        <v>RadiFocus</v>
      </c>
      <c r="AD13" s="115" t="str">
        <f>IFERROR(INDEX(Расходка[Наименование расходного материала],MATCH(Расходка[[#This Row],[№]],Поиск_расходки[Индекс13],0)),"")</f>
        <v>RadiFocus</v>
      </c>
      <c r="AF13" s="4" t="s">
        <v>5</v>
      </c>
      <c r="AG13" s="4" t="s">
        <v>415</v>
      </c>
      <c r="AI13" t="s">
        <v>6</v>
      </c>
      <c r="AN13" s="2"/>
    </row>
    <row r="14" spans="1:42" x14ac:dyDescent="0.25">
      <c r="A14">
        <v>13</v>
      </c>
      <c r="B14" t="s">
        <v>306</v>
      </c>
      <c r="C14" t="s">
        <v>332</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учёта'!$B$17,Расходка[[#This Row],[Наименование расходного материала]])),MAX($I$1:I13)+1,0)</f>
        <v>0</v>
      </c>
      <c r="J14" s="116">
        <f>IF(ISNUMBER(SEARCH('Карта учёта'!$B$18,Расходка[[#This Row],[Наименование расходного материала]])),MAX($J$1:J13)+1,0)</f>
        <v>0</v>
      </c>
      <c r="K14" s="116">
        <f>IF(ISNUMBER(SEARCH('Карта учёта'!$B$19,Расходка[[#This Row],[Наименование расходного материала]])),MAX($K$1:K13)+1,0)</f>
        <v>13</v>
      </c>
      <c r="L14" s="116">
        <f>IF(ISNUMBER(SEARCH('Карта учёта'!$B$20,Расходка[[#This Row],[Наименование расходного материала]])),MAX($L$1:L13)+1,0)</f>
        <v>13</v>
      </c>
      <c r="M14" s="116">
        <f>IF(ISNUMBER(SEARCH('Карта учёта'!$B$21,Расходка[[#This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BasixCOMPAK</v>
      </c>
      <c r="Y14" s="115" t="str">
        <f>IFERROR(INDEX(Расходка[Наименование расходного материала],MATCH(Расходка[[#This Row],[№]],Поиск_расходки[Индекс8],0)),"")</f>
        <v>BasixCOMPAK</v>
      </c>
      <c r="Z14" s="115" t="str">
        <f>IFERROR(INDEX(Расходка[Наименование расходного материала],MATCH(Расходка[[#This Row],[№]],Поиск_расходки[Индекс9],0)),"")</f>
        <v>BasixCOMPAK</v>
      </c>
      <c r="AA14" s="115" t="str">
        <f>IFERROR(INDEX(Расходка[Наименование расходного материала],MATCH(Расходка[[#This Row],[№]],Поиск_расходки[Индекс10],0)),"")</f>
        <v>BasixCOMPAK</v>
      </c>
      <c r="AB14" s="115" t="str">
        <f>IFERROR(INDEX(Расходка[Наименование расходного материала],MATCH(Расходка[[#This Row],[№]],Поиск_расходки[Индекс11],0)),"")</f>
        <v>BasixCOMPAK</v>
      </c>
      <c r="AC14" s="115" t="str">
        <f>IFERROR(INDEX(Расходка[Наименование расходного материала],MATCH(Расходка[[#This Row],[№]],Поиск_расходки[Индекс12],0)),"")</f>
        <v>BasixCOMPAK</v>
      </c>
      <c r="AD14" s="115" t="str">
        <f>IFERROR(INDEX(Расходка[Наименование расходного материала],MATCH(Расходка[[#This Row],[№]],Поиск_расходки[Индекс13],0)),"")</f>
        <v>BasixCOMPAK</v>
      </c>
      <c r="AF14" s="4" t="s">
        <v>5</v>
      </c>
      <c r="AG14" s="4" t="s">
        <v>494</v>
      </c>
      <c r="AI14" t="s">
        <v>5</v>
      </c>
      <c r="AM14" s="190"/>
      <c r="AN14" s="2"/>
    </row>
    <row r="15" spans="1:42" x14ac:dyDescent="0.25">
      <c r="A15">
        <v>14</v>
      </c>
      <c r="B15" t="s">
        <v>306</v>
      </c>
      <c r="C15" t="s">
        <v>364</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учёта'!$B$17,Расходка[[#This Row],[Наименование расходного материала]])),MAX($I$1:I14)+1,0)</f>
        <v>0</v>
      </c>
      <c r="J15" s="116">
        <f>IF(ISNUMBER(SEARCH('Карта учёта'!$B$18,Расходка[[#This Row],[Наименование расходного материала]])),MAX($J$1:J14)+1,0)</f>
        <v>0</v>
      </c>
      <c r="K15" s="116">
        <f>IF(ISNUMBER(SEARCH('Карта учёта'!$B$19,Расходка[[#This Row],[Наименование расходного материала]])),MAX($K$1:K14)+1,0)</f>
        <v>14</v>
      </c>
      <c r="L15" s="116">
        <f>IF(ISNUMBER(SEARCH('Карта учёта'!$B$20,Расходка[[#This Row],[Наименование расходного материала]])),MAX($L$1:L14)+1,0)</f>
        <v>14</v>
      </c>
      <c r="M15" s="116">
        <f>IF(ISNUMBER(SEARCH('Карта учёта'!$B$21,Расходка[[#This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BasixTOUCH</v>
      </c>
      <c r="Y15" s="115" t="str">
        <f>IFERROR(INDEX(Расходка[Наименование расходного материала],MATCH(Расходка[[#This Row],[№]],Поиск_расходки[Индекс8],0)),"")</f>
        <v>BasixTOUCH</v>
      </c>
      <c r="Z15" s="115" t="str">
        <f>IFERROR(INDEX(Расходка[Наименование расходного материала],MATCH(Расходка[[#This Row],[№]],Поиск_расходки[Индекс9],0)),"")</f>
        <v>BasixTOUCH</v>
      </c>
      <c r="AA15" s="115" t="str">
        <f>IFERROR(INDEX(Расходка[Наименование расходного материала],MATCH(Расходка[[#This Row],[№]],Поиск_расходки[Индекс10],0)),"")</f>
        <v>BasixTOUCH</v>
      </c>
      <c r="AB15" s="115" t="str">
        <f>IFERROR(INDEX(Расходка[Наименование расходного материала],MATCH(Расходка[[#This Row],[№]],Поиск_расходки[Индекс11],0)),"")</f>
        <v>BasixTOUCH</v>
      </c>
      <c r="AC15" s="115" t="str">
        <f>IFERROR(INDEX(Расходка[Наименование расходного материала],MATCH(Расходка[[#This Row],[№]],Поиск_расходки[Индекс12],0)),"")</f>
        <v>BasixTOUCH</v>
      </c>
      <c r="AD15" s="115" t="str">
        <f>IFERROR(INDEX(Расходка[Наименование расходного материала],MATCH(Расходка[[#This Row],[№]],Поиск_расходки[Индекс13],0)),"")</f>
        <v>BasixTOUCH</v>
      </c>
      <c r="AF15" s="4" t="s">
        <v>5</v>
      </c>
      <c r="AG15" s="4" t="s">
        <v>416</v>
      </c>
      <c r="AI15" t="s">
        <v>94</v>
      </c>
    </row>
    <row r="16" spans="1:42" x14ac:dyDescent="0.25">
      <c r="A16">
        <v>15</v>
      </c>
      <c r="B16" t="s">
        <v>306</v>
      </c>
      <c r="C16" t="s">
        <v>354</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учёта'!$B$17,Расходка[[#This Row],[Наименование расходного материала]])),MAX($I$1:I15)+1,0)</f>
        <v>0</v>
      </c>
      <c r="J16" s="116">
        <f>IF(ISNUMBER(SEARCH('Карта учёта'!$B$18,Расходка[[#This Row],[Наименование расходного материала]])),MAX($J$1:J15)+1,0)</f>
        <v>0</v>
      </c>
      <c r="K16" s="116">
        <f>IF(ISNUMBER(SEARCH('Карта учёта'!$B$19,Расходка[[#This Row],[Наименование расходного материала]])),MAX($K$1:K15)+1,0)</f>
        <v>15</v>
      </c>
      <c r="L16" s="116">
        <f>IF(ISNUMBER(SEARCH('Карта учёта'!$B$20,Расходка[[#This Row],[Наименование расходного материала]])),MAX($L$1:L15)+1,0)</f>
        <v>15</v>
      </c>
      <c r="M16" s="116">
        <f>IF(ISNUMBER(SEARCH('Карта учёта'!$B$21,Расходка[[#This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Dolphin</v>
      </c>
      <c r="Y16" s="115" t="str">
        <f>IFERROR(INDEX(Расходка[Наименование расходного материала],MATCH(Расходка[[#This Row],[№]],Поиск_расходки[Индекс8],0)),"")</f>
        <v>Dolphin</v>
      </c>
      <c r="Z16" s="115" t="str">
        <f>IFERROR(INDEX(Расходка[Наименование расходного материала],MATCH(Расходка[[#This Row],[№]],Поиск_расходки[Индекс9],0)),"")</f>
        <v>Dolphin</v>
      </c>
      <c r="AA16" s="115" t="str">
        <f>IFERROR(INDEX(Расходка[Наименование расходного материала],MATCH(Расходка[[#This Row],[№]],Поиск_расходки[Индекс10],0)),"")</f>
        <v>Dolphin</v>
      </c>
      <c r="AB16" s="115" t="str">
        <f>IFERROR(INDEX(Расходка[Наименование расходного материала],MATCH(Расходка[[#This Row],[№]],Поиск_расходки[Индекс11],0)),"")</f>
        <v>Dolphin</v>
      </c>
      <c r="AC16" s="115" t="str">
        <f>IFERROR(INDEX(Расходка[Наименование расходного материала],MATCH(Расходка[[#This Row],[№]],Поиск_расходки[Индекс12],0)),"")</f>
        <v>Dolphin</v>
      </c>
      <c r="AD16" s="115" t="str">
        <f>IFERROR(INDEX(Расходка[Наименование расходного материала],MATCH(Расходка[[#This Row],[№]],Поиск_расходки[Индекс13],0)),"")</f>
        <v>Dolphin</v>
      </c>
      <c r="AF16" s="4" t="s">
        <v>5</v>
      </c>
      <c r="AG16" s="4" t="s">
        <v>417</v>
      </c>
      <c r="AI16" t="s">
        <v>306</v>
      </c>
    </row>
    <row r="17" spans="1:35" x14ac:dyDescent="0.25">
      <c r="A17">
        <v>16</v>
      </c>
      <c r="B17" t="s">
        <v>306</v>
      </c>
      <c r="C17" t="s">
        <v>379</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учёта'!$B$17,Расходка[[#This Row],[Наименование расходного материала]])),MAX($I$1:I16)+1,0)</f>
        <v>0</v>
      </c>
      <c r="J17" s="116">
        <f>IF(ISNUMBER(SEARCH('Карта учёта'!$B$18,Расходка[[#This Row],[Наименование расходного материала]])),MAX($J$1:J16)+1,0)</f>
        <v>0</v>
      </c>
      <c r="K17" s="116">
        <f>IF(ISNUMBER(SEARCH('Карта учёта'!$B$19,Расходка[[#This Row],[Наименование расходного материала]])),MAX($K$1:K16)+1,0)</f>
        <v>16</v>
      </c>
      <c r="L17" s="116">
        <f>IF(ISNUMBER(SEARCH('Карта учёта'!$B$20,Расходка[[#This Row],[Наименование расходного материала]])),MAX($L$1:L16)+1,0)</f>
        <v>16</v>
      </c>
      <c r="M17" s="116">
        <f>IF(ISNUMBER(SEARCH('Карта учёта'!$B$21,Расходка[[#This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Lepu Medical</v>
      </c>
      <c r="Y17" s="115" t="str">
        <f>IFERROR(INDEX(Расходка[Наименование расходного материала],MATCH(Расходка[[#This Row],[№]],Поиск_расходки[Индекс8],0)),"")</f>
        <v>Lepu Medical</v>
      </c>
      <c r="Z17" s="115" t="str">
        <f>IFERROR(INDEX(Расходка[Наименование расходного материала],MATCH(Расходка[[#This Row],[№]],Поиск_расходки[Индекс9],0)),"")</f>
        <v>Lepu Medical</v>
      </c>
      <c r="AA17" s="115" t="str">
        <f>IFERROR(INDEX(Расходка[Наименование расходного материала],MATCH(Расходка[[#This Row],[№]],Поиск_расходки[Индекс10],0)),"")</f>
        <v>Lepu Medical</v>
      </c>
      <c r="AB17" s="115" t="str">
        <f>IFERROR(INDEX(Расходка[Наименование расходного материала],MATCH(Расходка[[#This Row],[№]],Поиск_расходки[Индекс11],0)),"")</f>
        <v>Lepu Medical</v>
      </c>
      <c r="AC17" s="115" t="str">
        <f>IFERROR(INDEX(Расходка[Наименование расходного материала],MATCH(Расходка[[#This Row],[№]],Поиск_расходки[Индекс12],0)),"")</f>
        <v>Lepu Medical</v>
      </c>
      <c r="AD17" s="115" t="str">
        <f>IFERROR(INDEX(Расходка[Наименование расходного материала],MATCH(Расходка[[#This Row],[№]],Поиск_расходки[Индекс13],0)),"")</f>
        <v>Lepu Medical</v>
      </c>
      <c r="AF17" s="4" t="s">
        <v>5</v>
      </c>
      <c r="AG17" s="4" t="s">
        <v>418</v>
      </c>
      <c r="AI17" t="s">
        <v>206</v>
      </c>
    </row>
    <row r="18" spans="1:35" x14ac:dyDescent="0.25">
      <c r="A18">
        <v>17</v>
      </c>
      <c r="B18" t="s">
        <v>306</v>
      </c>
      <c r="C18" t="s">
        <v>369</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учёта'!$B$17,Расходка[[#This Row],[Наименование расходного материала]])),MAX($I$1:I17)+1,0)</f>
        <v>0</v>
      </c>
      <c r="J18" s="116">
        <f>IF(ISNUMBER(SEARCH('Карта учёта'!$B$18,Расходка[[#This Row],[Наименование расходного материала]])),MAX($J$1:J17)+1,0)</f>
        <v>0</v>
      </c>
      <c r="K18" s="116">
        <f>IF(ISNUMBER(SEARCH('Карта учёта'!$B$19,Расходка[[#This Row],[Наименование расходного материала]])),MAX($K$1:K17)+1,0)</f>
        <v>17</v>
      </c>
      <c r="L18" s="116">
        <f>IF(ISNUMBER(SEARCH('Карта учёта'!$B$20,Расходка[[#This Row],[Наименование расходного материала]])),MAX($L$1:L17)+1,0)</f>
        <v>17</v>
      </c>
      <c r="M18" s="116">
        <f>IF(ISNUMBER(SEARCH('Карта учёта'!$B$21,Расходка[[#This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Perouse Medical FLAMINGO</v>
      </c>
      <c r="Y18" s="115" t="str">
        <f>IFERROR(INDEX(Расходка[Наименование расходного материала],MATCH(Расходка[[#This Row],[№]],Поиск_расходки[Индекс8],0)),"")</f>
        <v>Perouse Medical FLAMINGO</v>
      </c>
      <c r="Z18" s="115" t="str">
        <f>IFERROR(INDEX(Расходка[Наименование расходного материала],MATCH(Расходка[[#This Row],[№]],Поиск_расходки[Индекс9],0)),"")</f>
        <v>Perouse Medical FLAMINGO</v>
      </c>
      <c r="AA18" s="115" t="str">
        <f>IFERROR(INDEX(Расходка[Наименование расходного материала],MATCH(Расходка[[#This Row],[№]],Поиск_расходки[Индекс10],0)),"")</f>
        <v>Perouse Medical FLAMINGO</v>
      </c>
      <c r="AB18" s="115" t="str">
        <f>IFERROR(INDEX(Расходка[Наименование расходного материала],MATCH(Расходка[[#This Row],[№]],Поиск_расходки[Индекс11],0)),"")</f>
        <v>Perouse Medical FLAMINGO</v>
      </c>
      <c r="AC18" s="115" t="str">
        <f>IFERROR(INDEX(Расходка[Наименование расходного материала],MATCH(Расходка[[#This Row],[№]],Поиск_расходки[Индекс12],0)),"")</f>
        <v>Perouse Medical FLAMINGO</v>
      </c>
      <c r="AD18" s="115" t="str">
        <f>IFERROR(INDEX(Расходка[Наименование расходного материала],MATCH(Расходка[[#This Row],[№]],Поиск_расходки[Индекс13],0)),"")</f>
        <v>Perouse Medical FLAMINGO</v>
      </c>
      <c r="AF18" s="4" t="s">
        <v>5</v>
      </c>
      <c r="AG18" s="4" t="s">
        <v>419</v>
      </c>
      <c r="AI18" t="s">
        <v>95</v>
      </c>
    </row>
    <row r="19" spans="1:35" x14ac:dyDescent="0.25">
      <c r="A19">
        <v>18</v>
      </c>
      <c r="B19" t="s">
        <v>306</v>
      </c>
      <c r="C19" t="s">
        <v>507</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учёта'!$B$17,Расходка[[#This Row],[Наименование расходного материала]])),MAX($I$1:I18)+1,0)</f>
        <v>0</v>
      </c>
      <c r="J19" s="116">
        <f>IF(ISNUMBER(SEARCH('Карта учёта'!$B$18,Расходка[[#This Row],[Наименование расходного материала]])),MAX($J$1:J18)+1,0)</f>
        <v>0</v>
      </c>
      <c r="K19" s="116">
        <f>IF(ISNUMBER(SEARCH('Карта учёта'!$B$19,Расходка[[#This Row],[Наименование расходного материала]])),MAX($K$1:K18)+1,0)</f>
        <v>18</v>
      </c>
      <c r="L19" s="116">
        <f>IF(ISNUMBER(SEARCH('Карта учёта'!$B$20,Расходка[[#This Row],[Наименование расходного материала]])),MAX($L$1:L18)+1,0)</f>
        <v>18</v>
      </c>
      <c r="M19" s="116">
        <f>IF(ISNUMBER(SEARCH('Карта учёта'!$B$21,Расходка[[#This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Demax</v>
      </c>
      <c r="Y19" s="115" t="str">
        <f>IFERROR(INDEX(Расходка[Наименование расходного материала],MATCH(Расходка[[#This Row],[№]],Поиск_расходки[Индекс8],0)),"")</f>
        <v>Demax</v>
      </c>
      <c r="Z19" s="115" t="str">
        <f>IFERROR(INDEX(Расходка[Наименование расходного материала],MATCH(Расходка[[#This Row],[№]],Поиск_расходки[Индекс9],0)),"")</f>
        <v>Demax</v>
      </c>
      <c r="AA19" s="115" t="str">
        <f>IFERROR(INDEX(Расходка[Наименование расходного материала],MATCH(Расходка[[#This Row],[№]],Поиск_расходки[Индекс10],0)),"")</f>
        <v>Demax</v>
      </c>
      <c r="AB19" s="115" t="str">
        <f>IFERROR(INDEX(Расходка[Наименование расходного материала],MATCH(Расходка[[#This Row],[№]],Поиск_расходки[Индекс11],0)),"")</f>
        <v>Demax</v>
      </c>
      <c r="AC19" s="115" t="str">
        <f>IFERROR(INDEX(Расходка[Наименование расходного материала],MATCH(Расходка[[#This Row],[№]],Поиск_расходки[Индекс12],0)),"")</f>
        <v>Demax</v>
      </c>
      <c r="AD19" s="115" t="str">
        <f>IFERROR(INDEX(Расходка[Наименование расходного материала],MATCH(Расходка[[#This Row],[№]],Поиск_расходки[Индекс13],0)),"")</f>
        <v>Demax</v>
      </c>
      <c r="AF19" s="4" t="s">
        <v>5</v>
      </c>
      <c r="AG19" s="4" t="s">
        <v>420</v>
      </c>
      <c r="AI19" t="s">
        <v>301</v>
      </c>
    </row>
    <row r="20" spans="1:35" x14ac:dyDescent="0.25">
      <c r="A20">
        <v>19</v>
      </c>
      <c r="B20" t="s">
        <v>206</v>
      </c>
      <c r="C20" s="1" t="s">
        <v>338</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учёта'!$B$17,Расходка[[#This Row],[Наименование расходного материала]])),MAX($I$1:I19)+1,0)</f>
        <v>0</v>
      </c>
      <c r="J20" s="116">
        <f>IF(ISNUMBER(SEARCH('Карта учёта'!$B$18,Расходка[[#This Row],[Наименование расходного материала]])),MAX($J$1:J19)+1,0)</f>
        <v>0</v>
      </c>
      <c r="K20" s="116">
        <f>IF(ISNUMBER(SEARCH('Карта учёта'!$B$19,Расходка[[#This Row],[Наименование расходного материала]])),MAX($K$1:K19)+1,0)</f>
        <v>19</v>
      </c>
      <c r="L20" s="116">
        <f>IF(ISNUMBER(SEARCH('Карта учёта'!$B$20,Расходка[[#This Row],[Наименование расходного материала]])),MAX($L$1:L19)+1,0)</f>
        <v>19</v>
      </c>
      <c r="M20" s="116">
        <f>IF(ISNUMBER(SEARCH('Карта учёта'!$B$21,Расходка[[#This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Oscor 7F</v>
      </c>
      <c r="Y20" s="115" t="str">
        <f>IFERROR(INDEX(Расходка[Наименование расходного материала],MATCH(Расходка[[#This Row],[№]],Поиск_расходки[Индекс8],0)),"")</f>
        <v>Oscor 7F</v>
      </c>
      <c r="Z20" s="115" t="str">
        <f>IFERROR(INDEX(Расходка[Наименование расходного материала],MATCH(Расходка[[#This Row],[№]],Поиск_расходки[Индекс9],0)),"")</f>
        <v>Oscor 7F</v>
      </c>
      <c r="AA20" s="115" t="str">
        <f>IFERROR(INDEX(Расходка[Наименование расходного материала],MATCH(Расходка[[#This Row],[№]],Поиск_расходки[Индекс10],0)),"")</f>
        <v>Oscor 7F</v>
      </c>
      <c r="AB20" s="115" t="str">
        <f>IFERROR(INDEX(Расходка[Наименование расходного материала],MATCH(Расходка[[#This Row],[№]],Поиск_расходки[Индекс11],0)),"")</f>
        <v>Oscor 7F</v>
      </c>
      <c r="AC20" s="115" t="str">
        <f>IFERROR(INDEX(Расходка[Наименование расходного материала],MATCH(Расходка[[#This Row],[№]],Поиск_расходки[Индекс12],0)),"")</f>
        <v>Oscor 7F</v>
      </c>
      <c r="AD20" s="115" t="str">
        <f>IFERROR(INDEX(Расходка[Наименование расходного материала],MATCH(Расходка[[#This Row],[№]],Поиск_расходки[Индекс13],0)),"")</f>
        <v>Oscor 7F</v>
      </c>
      <c r="AF20" s="4" t="s">
        <v>5</v>
      </c>
      <c r="AG20" s="4" t="s">
        <v>421</v>
      </c>
      <c r="AI20" t="s">
        <v>308</v>
      </c>
    </row>
    <row r="21" spans="1:35" x14ac:dyDescent="0.25">
      <c r="A21">
        <v>20</v>
      </c>
      <c r="B21" t="s">
        <v>306</v>
      </c>
      <c r="C21" s="1" t="s">
        <v>509</v>
      </c>
      <c r="E21" s="116">
        <f>IF(ISNUMBER(SEARCH('Карта учёта'!$B$13,Расходка[[#This Row],[Наименование расходного материала]])),MAX($E$1:E20)+1,0)</f>
        <v>0</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учёта'!$B$17,Расходка[[#This Row],[Наименование расходного материала]])),MAX($I$1:I20)+1,0)</f>
        <v>0</v>
      </c>
      <c r="J21" s="116">
        <f>IF(ISNUMBER(SEARCH('Карта учёта'!$B$18,Расходка[[#This Row],[Наименование расходного материала]])),MAX($J$1:J20)+1,0)</f>
        <v>0</v>
      </c>
      <c r="K21" s="116">
        <f>IF(ISNUMBER(SEARCH('Карта учёта'!$B$19,Расходка[[#This Row],[Наименование расходного материала]])),MAX($K$1:K20)+1,0)</f>
        <v>20</v>
      </c>
      <c r="L21" s="116">
        <f>IF(ISNUMBER(SEARCH('Карта учёта'!$B$20,Расходка[[#This Row],[Наименование расходного материала]])),MAX($L$1:L20)+1,0)</f>
        <v>20</v>
      </c>
      <c r="M21" s="116">
        <f>IF(ISNUMBER(SEARCH('Карта учёта'!$B$21,Расходка[[#This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"МИМ". Тюмень</v>
      </c>
      <c r="Y21" s="115" t="str">
        <f>IFERROR(INDEX(Расходка[Наименование расходного материала],MATCH(Расходка[[#This Row],[№]],Поиск_расходки[Индекс8],0)),"")</f>
        <v>"МИМ". Тюмень</v>
      </c>
      <c r="Z21" s="115" t="str">
        <f>IFERROR(INDEX(Расходка[Наименование расходного материала],MATCH(Расходка[[#This Row],[№]],Поиск_расходки[Индекс9],0)),"")</f>
        <v>"МИМ". Тюмень</v>
      </c>
      <c r="AA21" s="115" t="str">
        <f>IFERROR(INDEX(Расходка[Наименование расходного материала],MATCH(Расходка[[#This Row],[№]],Поиск_расходки[Индекс10],0)),"")</f>
        <v>"МИМ". Тюмень</v>
      </c>
      <c r="AB21" s="115" t="str">
        <f>IFERROR(INDEX(Расходка[Наименование расходного материала],MATCH(Расходка[[#This Row],[№]],Поиск_расходки[Индекс11],0)),"")</f>
        <v>"МИМ". Тюмень</v>
      </c>
      <c r="AC21" s="115" t="str">
        <f>IFERROR(INDEX(Расходка[Наименование расходного материала],MATCH(Расходка[[#This Row],[№]],Поиск_расходки[Индекс12],0)),"")</f>
        <v>"МИМ". Тюмень</v>
      </c>
      <c r="AD21" s="115" t="str">
        <f>IFERROR(INDEX(Расходка[Наименование расходного материала],MATCH(Расходка[[#This Row],[№]],Поиск_расходки[Индекс13],0)),"")</f>
        <v>"МИМ". Тюмень</v>
      </c>
      <c r="AF21" s="4" t="s">
        <v>5</v>
      </c>
      <c r="AG21" s="4" t="s">
        <v>422</v>
      </c>
    </row>
    <row r="22" spans="1:35" x14ac:dyDescent="0.25">
      <c r="A22">
        <v>21</v>
      </c>
      <c r="B22" t="s">
        <v>306</v>
      </c>
      <c r="C22" s="1" t="s">
        <v>306</v>
      </c>
      <c r="E22" s="116">
        <f>IF(ISNUMBER(SEARCH('Карта учёта'!$B$13,Расходка[[#This Row],[Наименование расходного материала]])),MAX($E$1:E21)+1,0)</f>
        <v>1</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учёта'!$B$17,Расходка[[#This Row],[Наименование расходного материала]])),MAX($I$1:I21)+1,0)</f>
        <v>0</v>
      </c>
      <c r="J22" s="116">
        <f>IF(ISNUMBER(SEARCH('Карта учёта'!$B$18,Расходка[[#This Row],[Наименование расходного материала]])),MAX($J$1:J21)+1,0)</f>
        <v>0</v>
      </c>
      <c r="K22" s="116">
        <f>IF(ISNUMBER(SEARCH('Карта учёта'!$B$19,Расходка[[#This Row],[Наименование расходного материала]])),MAX($K$1:K21)+1,0)</f>
        <v>21</v>
      </c>
      <c r="L22" s="116">
        <f>IF(ISNUMBER(SEARCH('Карта учёта'!$B$20,Расходка[[#This Row],[Наименование расходного материала]])),MAX($L$1:L21)+1,0)</f>
        <v>21</v>
      </c>
      <c r="M22" s="116">
        <f>IF(ISNUMBER(SEARCH('Карта учёта'!$B$21,Расходка[[#This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Индефлятор</v>
      </c>
      <c r="Y22" s="115" t="str">
        <f>IFERROR(INDEX(Расходка[Наименование расходного материала],MATCH(Расходка[[#This Row],[№]],Поиск_расходки[Индекс8],0)),"")</f>
        <v>Индефлятор</v>
      </c>
      <c r="Z22" s="115" t="str">
        <f>IFERROR(INDEX(Расходка[Наименование расходного материала],MATCH(Расходка[[#This Row],[№]],Поиск_расходки[Индекс9],0)),"")</f>
        <v>Индефлятор</v>
      </c>
      <c r="AA22" s="115" t="str">
        <f>IFERROR(INDEX(Расходка[Наименование расходного материала],MATCH(Расходка[[#This Row],[№]],Поиск_расходки[Индекс10],0)),"")</f>
        <v>Индефлятор</v>
      </c>
      <c r="AB22" s="115" t="str">
        <f>IFERROR(INDEX(Расходка[Наименование расходного материала],MATCH(Расходка[[#This Row],[№]],Поиск_расходки[Индекс11],0)),"")</f>
        <v>Индефлятор</v>
      </c>
      <c r="AC22" s="115" t="str">
        <f>IFERROR(INDEX(Расходка[Наименование расходного материала],MATCH(Расходка[[#This Row],[№]],Поиск_расходки[Индекс12],0)),"")</f>
        <v>Индефлятор</v>
      </c>
      <c r="AD22" s="115" t="str">
        <f>IFERROR(INDEX(Расходка[Наименование расходного материала],MATCH(Расходка[[#This Row],[№]],Поиск_расходки[Индекс13],0)),"")</f>
        <v>Индефлятор</v>
      </c>
      <c r="AF22" s="4" t="s">
        <v>5</v>
      </c>
      <c r="AG22" s="4" t="s">
        <v>423</v>
      </c>
    </row>
    <row r="23" spans="1:35" x14ac:dyDescent="0.25">
      <c r="A23">
        <v>22</v>
      </c>
      <c r="B23" t="s">
        <v>3</v>
      </c>
      <c r="C23" t="s">
        <v>321</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учёта'!$B$17,Расходка[[#This Row],[Наименование расходного материала]])),MAX($I$1:I22)+1,0)</f>
        <v>0</v>
      </c>
      <c r="J23" s="116">
        <f>IF(ISNUMBER(SEARCH('Карта учёта'!$B$18,Расходка[[#This Row],[Наименование расходного материала]])),MAX($J$1:J22)+1,0)</f>
        <v>0</v>
      </c>
      <c r="K23" s="116">
        <f>IF(ISNUMBER(SEARCH('Карта учёта'!$B$19,Расходка[[#This Row],[Наименование расходного материала]])),MAX($K$1:K22)+1,0)</f>
        <v>22</v>
      </c>
      <c r="L23" s="116">
        <f>IF(ISNUMBER(SEARCH('Карта учёта'!$B$20,Расходка[[#This Row],[Наименование расходного материала]])),MAX($L$1:L22)+1,0)</f>
        <v>22</v>
      </c>
      <c r="M23" s="116">
        <f>IF(ISNUMBER(SEARCH('Карта учёта'!$B$21,Расходка[[#This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Cougar LS Hydro-Track®</v>
      </c>
      <c r="Y23" s="115" t="str">
        <f>IFERROR(INDEX(Расходка[Наименование расходного материала],MATCH(Расходка[[#This Row],[№]],Поиск_расходки[Индекс8],0)),"")</f>
        <v>Cougar LS Hydro-Track®</v>
      </c>
      <c r="Z23" s="115" t="str">
        <f>IFERROR(INDEX(Расходка[Наименование расходного материала],MATCH(Расходка[[#This Row],[№]],Поиск_расходки[Индекс9],0)),"")</f>
        <v>Cougar LS Hydro-Track®</v>
      </c>
      <c r="AA23" s="115" t="str">
        <f>IFERROR(INDEX(Расходка[Наименование расходного материала],MATCH(Расходка[[#This Row],[№]],Поиск_расходки[Индекс10],0)),"")</f>
        <v>Cougar LS Hydro-Track®</v>
      </c>
      <c r="AB23" s="115" t="str">
        <f>IFERROR(INDEX(Расходка[Наименование расходного материала],MATCH(Расходка[[#This Row],[№]],Поиск_расходки[Индекс11],0)),"")</f>
        <v>Cougar LS Hydro-Track®</v>
      </c>
      <c r="AC23" s="115" t="str">
        <f>IFERROR(INDEX(Расходка[Наименование расходного материала],MATCH(Расходка[[#This Row],[№]],Поиск_расходки[Индекс12],0)),"")</f>
        <v>Cougar LS Hydro-Track®</v>
      </c>
      <c r="AD23" s="115" t="str">
        <f>IFERROR(INDEX(Расходка[Наименование расходного материала],MATCH(Расходка[[#This Row],[№]],Поиск_расходки[Индекс13],0)),"")</f>
        <v>Cougar LS Hydro-Track®</v>
      </c>
      <c r="AF23" s="4" t="s">
        <v>5</v>
      </c>
      <c r="AG23" s="4" t="s">
        <v>424</v>
      </c>
    </row>
    <row r="24" spans="1:35" x14ac:dyDescent="0.25">
      <c r="A24">
        <v>23</v>
      </c>
      <c r="B24" t="s">
        <v>3</v>
      </c>
      <c r="C24" t="s">
        <v>342</v>
      </c>
      <c r="E24" s="116">
        <f>IF(ISNUMBER(SEARCH('Карта учёта'!$B$13,Расходка[[#This Row],[Наименование расходного материала]])),MAX($E$1:E23)+1,0)</f>
        <v>0</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0</v>
      </c>
      <c r="I24" s="116">
        <f>IF(ISNUMBER(SEARCH('Карта учёта'!$B$17,Расходка[[#This Row],[Наименование расходного материала]])),MAX($I$1:I23)+1,0)</f>
        <v>0</v>
      </c>
      <c r="J24" s="116">
        <f>IF(ISNUMBER(SEARCH('Карта учёта'!$B$18,Расходка[[#This Row],[Наименование расходного материала]])),MAX($J$1:J23)+1,0)</f>
        <v>0</v>
      </c>
      <c r="K24" s="116">
        <f>IF(ISNUMBER(SEARCH('Карта учёта'!$B$19,Расходка[[#This Row],[Наименование расходного материала]])),MAX($K$1:K23)+1,0)</f>
        <v>23</v>
      </c>
      <c r="L24" s="116">
        <f>IF(ISNUMBER(SEARCH('Карта учёта'!$B$20,Расходка[[#This Row],[Наименование расходного материала]])),MAX($L$1:L23)+1,0)</f>
        <v>23</v>
      </c>
      <c r="M24" s="116">
        <f>IF(ISNUMBER(SEARCH('Карта учёта'!$B$21,Расходка[[#This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Cougar XT Hydro-Track®</v>
      </c>
      <c r="Y24" s="115" t="str">
        <f>IFERROR(INDEX(Расходка[Наименование расходного материала],MATCH(Расходка[[#This Row],[№]],Поиск_расходки[Индекс8],0)),"")</f>
        <v>Cougar XT Hydro-Track®</v>
      </c>
      <c r="Z24" s="115" t="str">
        <f>IFERROR(INDEX(Расходка[Наименование расходного материала],MATCH(Расходка[[#This Row],[№]],Поиск_расходки[Индекс9],0)),"")</f>
        <v>Cougar XT Hydro-Track®</v>
      </c>
      <c r="AA24" s="115" t="str">
        <f>IFERROR(INDEX(Расходка[Наименование расходного материала],MATCH(Расходка[[#This Row],[№]],Поиск_расходки[Индекс10],0)),"")</f>
        <v>Cougar XT Hydro-Track®</v>
      </c>
      <c r="AB24" s="115" t="str">
        <f>IFERROR(INDEX(Расходка[Наименование расходного материала],MATCH(Расходка[[#This Row],[№]],Поиск_расходки[Индекс11],0)),"")</f>
        <v>Cougar XT Hydro-Track®</v>
      </c>
      <c r="AC24" s="115" t="str">
        <f>IFERROR(INDEX(Расходка[Наименование расходного материала],MATCH(Расходка[[#This Row],[№]],Поиск_расходки[Индекс12],0)),"")</f>
        <v>Cougar XT Hydro-Track®</v>
      </c>
      <c r="AD24" s="115" t="str">
        <f>IFERROR(INDEX(Расходка[Наименование расходного материала],MATCH(Расходка[[#This Row],[№]],Поиск_расходки[Индекс13],0)),"")</f>
        <v>Cougar XT Hydro-Track®</v>
      </c>
      <c r="AF24" s="4" t="s">
        <v>5</v>
      </c>
      <c r="AG24" s="4" t="s">
        <v>425</v>
      </c>
    </row>
    <row r="25" spans="1:35" x14ac:dyDescent="0.25">
      <c r="A25">
        <v>24</v>
      </c>
      <c r="B25" t="s">
        <v>3</v>
      </c>
      <c r="C25" t="s">
        <v>314</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0</v>
      </c>
      <c r="H25" s="116">
        <f>IF(ISNUMBER(SEARCH('Карта учёта'!$B$16,Расходка[[#This Row],[Наименование расходного материала]])),MAX($H$1:H24)+1,0)</f>
        <v>0</v>
      </c>
      <c r="I25" s="116">
        <f>IF(ISNUMBER(SEARCH('Карта учёта'!$B$17,Расходка[[#This Row],[Наименование расходного материала]])),MAX($I$1:I24)+1,0)</f>
        <v>0</v>
      </c>
      <c r="J25" s="116">
        <f>IF(ISNUMBER(SEARCH('Карта учёта'!$B$18,Расходка[[#This Row],[Наименование расходного материала]])),MAX($J$1:J24)+1,0)</f>
        <v>1</v>
      </c>
      <c r="K25" s="116">
        <f>IF(ISNUMBER(SEARCH('Карта учёта'!$B$19,Расходка[[#This Row],[Наименование расходного материала]])),MAX($K$1:K24)+1,0)</f>
        <v>24</v>
      </c>
      <c r="L25" s="116">
        <f>IF(ISNUMBER(SEARCH('Карта учёта'!$B$20,Расходка[[#This Row],[Наименование расходного материала]])),MAX($L$1:L24)+1,0)</f>
        <v>24</v>
      </c>
      <c r="M25" s="116">
        <f>IF(ISNUMBER(SEARCH('Карта учёта'!$B$21,Расходка[[#This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Fielder</v>
      </c>
      <c r="Y25" s="115" t="str">
        <f>IFERROR(INDEX(Расходка[Наименование расходного материала],MATCH(Расходка[[#This Row],[№]],Поиск_расходки[Индекс8],0)),"")</f>
        <v>Fielder</v>
      </c>
      <c r="Z25" s="115" t="str">
        <f>IFERROR(INDEX(Расходка[Наименование расходного материала],MATCH(Расходка[[#This Row],[№]],Поиск_расходки[Индекс9],0)),"")</f>
        <v>Fielder</v>
      </c>
      <c r="AA25" s="115" t="str">
        <f>IFERROR(INDEX(Расходка[Наименование расходного материала],MATCH(Расходка[[#This Row],[№]],Поиск_расходки[Индекс10],0)),"")</f>
        <v>Fielder</v>
      </c>
      <c r="AB25" s="115" t="str">
        <f>IFERROR(INDEX(Расходка[Наименование расходного материала],MATCH(Расходка[[#This Row],[№]],Поиск_расходки[Индекс11],0)),"")</f>
        <v>Fielder</v>
      </c>
      <c r="AC25" s="115" t="str">
        <f>IFERROR(INDEX(Расходка[Наименование расходного материала],MATCH(Расходка[[#This Row],[№]],Поиск_расходки[Индекс12],0)),"")</f>
        <v>Fielder</v>
      </c>
      <c r="AD25" s="115" t="str">
        <f>IFERROR(INDEX(Расходка[Наименование расходного материала],MATCH(Расходка[[#This Row],[№]],Поиск_расходки[Индекс13],0)),"")</f>
        <v>Fielder</v>
      </c>
      <c r="AF25" s="4" t="s">
        <v>5</v>
      </c>
      <c r="AG25" s="4" t="s">
        <v>426</v>
      </c>
    </row>
    <row r="26" spans="1:35" x14ac:dyDescent="0.25">
      <c r="A26">
        <v>25</v>
      </c>
      <c r="B26" t="s">
        <v>3</v>
      </c>
      <c r="C26" t="s">
        <v>376</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0</v>
      </c>
      <c r="H26" s="116">
        <f>IF(ISNUMBER(SEARCH('Карта учёта'!$B$16,Расходка[[#This Row],[Наименование расходного материала]])),MAX($H$1:H25)+1,0)</f>
        <v>0</v>
      </c>
      <c r="I26" s="116">
        <f>IF(ISNUMBER(SEARCH('Карта учёта'!$B$17,Расходка[[#This Row],[Наименование расходного материала]])),MAX($I$1:I25)+1,0)</f>
        <v>0</v>
      </c>
      <c r="J26" s="116">
        <f>IF(ISNUMBER(SEARCH('Карта учёта'!$B$18,Расходка[[#This Row],[Наименование расходного материала]])),MAX($J$1:J25)+1,0)</f>
        <v>2</v>
      </c>
      <c r="K26" s="116">
        <f>IF(ISNUMBER(SEARCH('Карта учёта'!$B$19,Расходка[[#This Row],[Наименование расходного материала]])),MAX($K$1:K25)+1,0)</f>
        <v>25</v>
      </c>
      <c r="L26" s="116">
        <f>IF(ISNUMBER(SEARCH('Карта учёта'!$B$20,Расходка[[#This Row],[Наименование расходного материала]])),MAX($L$1:L25)+1,0)</f>
        <v>25</v>
      </c>
      <c r="M26" s="116">
        <f>IF(ISNUMBER(SEARCH('Карта учёта'!$B$21,Расходка[[#This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Fielder XT-A</v>
      </c>
      <c r="Y26" s="115" t="str">
        <f>IFERROR(INDEX(Расходка[Наименование расходного материала],MATCH(Расходка[[#This Row],[№]],Поиск_расходки[Индекс8],0)),"")</f>
        <v>Fielder XT-A</v>
      </c>
      <c r="Z26" s="115" t="str">
        <f>IFERROR(INDEX(Расходка[Наименование расходного материала],MATCH(Расходка[[#This Row],[№]],Поиск_расходки[Индекс9],0)),"")</f>
        <v>Fielder XT-A</v>
      </c>
      <c r="AA26" s="115" t="str">
        <f>IFERROR(INDEX(Расходка[Наименование расходного материала],MATCH(Расходка[[#This Row],[№]],Поиск_расходки[Индекс10],0)),"")</f>
        <v>Fielder XT-A</v>
      </c>
      <c r="AB26" s="115" t="str">
        <f>IFERROR(INDEX(Расходка[Наименование расходного материала],MATCH(Расходка[[#This Row],[№]],Поиск_расходки[Индекс11],0)),"")</f>
        <v>Fielder XT-A</v>
      </c>
      <c r="AC26" s="115" t="str">
        <f>IFERROR(INDEX(Расходка[Наименование расходного материала],MATCH(Расходка[[#This Row],[№]],Поиск_расходки[Индекс12],0)),"")</f>
        <v>Fielder XT-A</v>
      </c>
      <c r="AD26" s="115" t="str">
        <f>IFERROR(INDEX(Расходка[Наименование расходного материала],MATCH(Расходка[[#This Row],[№]],Поиск_расходки[Индекс13],0)),"")</f>
        <v>Fielder XT-A</v>
      </c>
      <c r="AF26" s="4" t="s">
        <v>5</v>
      </c>
      <c r="AG26" s="4" t="s">
        <v>427</v>
      </c>
    </row>
    <row r="27" spans="1:35" x14ac:dyDescent="0.25">
      <c r="A27">
        <v>26</v>
      </c>
      <c r="B27" t="s">
        <v>3</v>
      </c>
      <c r="C27" t="s">
        <v>377</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учёта'!$B$17,Расходка[[#This Row],[Наименование расходного материала]])),MAX($I$1:I26)+1,0)</f>
        <v>0</v>
      </c>
      <c r="J27" s="116">
        <f>IF(ISNUMBER(SEARCH('Карта учёта'!$B$18,Расходка[[#This Row],[Наименование расходного материала]])),MAX($J$1:J26)+1,0)</f>
        <v>3</v>
      </c>
      <c r="K27" s="116">
        <f>IF(ISNUMBER(SEARCH('Карта учёта'!$B$19,Расходка[[#This Row],[Наименование расходного материала]])),MAX($K$1:K26)+1,0)</f>
        <v>26</v>
      </c>
      <c r="L27" s="116">
        <f>IF(ISNUMBER(SEARCH('Карта учёта'!$B$20,Расходка[[#This Row],[Наименование расходного материала]])),MAX($L$1:L26)+1,0)</f>
        <v>26</v>
      </c>
      <c r="M27" s="116">
        <f>IF(ISNUMBER(SEARCH('Карта учёта'!$B$21,Расходка[[#This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Fielder XT-R</v>
      </c>
      <c r="Y27" s="115" t="str">
        <f>IFERROR(INDEX(Расходка[Наименование расходного материала],MATCH(Расходка[[#This Row],[№]],Поиск_расходки[Индекс8],0)),"")</f>
        <v>Fielder XT-R</v>
      </c>
      <c r="Z27" s="115" t="str">
        <f>IFERROR(INDEX(Расходка[Наименование расходного материала],MATCH(Расходка[[#This Row],[№]],Поиск_расходки[Индекс9],0)),"")</f>
        <v>Fielder XT-R</v>
      </c>
      <c r="AA27" s="115" t="str">
        <f>IFERROR(INDEX(Расходка[Наименование расходного материала],MATCH(Расходка[[#This Row],[№]],Поиск_расходки[Индекс10],0)),"")</f>
        <v>Fielder XT-R</v>
      </c>
      <c r="AB27" s="115" t="str">
        <f>IFERROR(INDEX(Расходка[Наименование расходного материала],MATCH(Расходка[[#This Row],[№]],Поиск_расходки[Индекс11],0)),"")</f>
        <v>Fielder XT-R</v>
      </c>
      <c r="AC27" s="115" t="str">
        <f>IFERROR(INDEX(Расходка[Наименование расходного материала],MATCH(Расходка[[#This Row],[№]],Поиск_расходки[Индекс12],0)),"")</f>
        <v>Fielder XT-R</v>
      </c>
      <c r="AD27" s="115" t="str">
        <f>IFERROR(INDEX(Расходка[Наименование расходного материала],MATCH(Расходка[[#This Row],[№]],Поиск_расходки[Индекс13],0)),"")</f>
        <v>Fielder XT-R</v>
      </c>
      <c r="AF27" s="4" t="s">
        <v>5</v>
      </c>
      <c r="AG27" s="4" t="s">
        <v>428</v>
      </c>
    </row>
    <row r="28" spans="1:35" x14ac:dyDescent="0.25">
      <c r="A28">
        <v>27</v>
      </c>
      <c r="B28" t="s">
        <v>3</v>
      </c>
      <c r="C28" s="1" t="s">
        <v>359</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учёта'!$B$17,Расходка[[#This Row],[Наименование расходного материала]])),MAX($I$1:I27)+1,0)</f>
        <v>0</v>
      </c>
      <c r="J28" s="116">
        <f>IF(ISNUMBER(SEARCH('Карта учёта'!$B$18,Расходка[[#This Row],[Наименование расходного материала]])),MAX($J$1:J27)+1,0)</f>
        <v>0</v>
      </c>
      <c r="K28" s="116">
        <f>IF(ISNUMBER(SEARCH('Карта учёта'!$B$19,Расходка[[#This Row],[Наименование расходного материала]])),MAX($K$1:K27)+1,0)</f>
        <v>27</v>
      </c>
      <c r="L28" s="116">
        <f>IF(ISNUMBER(SEARCH('Карта учёта'!$B$20,Расходка[[#This Row],[Наименование расходного материала]])),MAX($L$1:L27)+1,0)</f>
        <v>27</v>
      </c>
      <c r="M28" s="116">
        <f>IF(ISNUMBER(SEARCH('Карта учёта'!$B$21,Расходка[[#This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Gaia Second</v>
      </c>
      <c r="Y28" s="115" t="str">
        <f>IFERROR(INDEX(Расходка[Наименование расходного материала],MATCH(Расходка[[#This Row],[№]],Поиск_расходки[Индекс8],0)),"")</f>
        <v>Gaia Second</v>
      </c>
      <c r="Z28" s="115" t="str">
        <f>IFERROR(INDEX(Расходка[Наименование расходного материала],MATCH(Расходка[[#This Row],[№]],Поиск_расходки[Индекс9],0)),"")</f>
        <v>Gaia Second</v>
      </c>
      <c r="AA28" s="115" t="str">
        <f>IFERROR(INDEX(Расходка[Наименование расходного материала],MATCH(Расходка[[#This Row],[№]],Поиск_расходки[Индекс10],0)),"")</f>
        <v>Gaia Second</v>
      </c>
      <c r="AB28" s="115" t="str">
        <f>IFERROR(INDEX(Расходка[Наименование расходного материала],MATCH(Расходка[[#This Row],[№]],Поиск_расходки[Индекс11],0)),"")</f>
        <v>Gaia Second</v>
      </c>
      <c r="AC28" s="115" t="str">
        <f>IFERROR(INDEX(Расходка[Наименование расходного материала],MATCH(Расходка[[#This Row],[№]],Поиск_расходки[Индекс12],0)),"")</f>
        <v>Gaia Second</v>
      </c>
      <c r="AD28" s="115" t="str">
        <f>IFERROR(INDEX(Расходка[Наименование расходного материала],MATCH(Расходка[[#This Row],[№]],Поиск_расходки[Индекс13],0)),"")</f>
        <v>Gaia Second</v>
      </c>
      <c r="AF28" s="4" t="s">
        <v>5</v>
      </c>
      <c r="AG28" s="4" t="s">
        <v>429</v>
      </c>
    </row>
    <row r="29" spans="1:35" x14ac:dyDescent="0.25">
      <c r="A29">
        <v>28</v>
      </c>
      <c r="B29" t="s">
        <v>3</v>
      </c>
      <c r="C29" s="1" t="s">
        <v>372</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учёта'!$B$17,Расходка[[#This Row],[Наименование расходного материала]])),MAX($I$1:I28)+1,0)</f>
        <v>0</v>
      </c>
      <c r="J29" s="116">
        <f>IF(ISNUMBER(SEARCH('Карта учёта'!$B$18,Расходка[[#This Row],[Наименование расходного материала]])),MAX($J$1:J28)+1,0)</f>
        <v>0</v>
      </c>
      <c r="K29" s="116">
        <f>IF(ISNUMBER(SEARCH('Карта учёта'!$B$19,Расходка[[#This Row],[Наименование расходного материала]])),MAX($K$1:K28)+1,0)</f>
        <v>28</v>
      </c>
      <c r="L29" s="116">
        <f>IF(ISNUMBER(SEARCH('Карта учёта'!$B$20,Расходка[[#This Row],[Наименование расходного материала]])),MAX($L$1:L28)+1,0)</f>
        <v>28</v>
      </c>
      <c r="M29" s="116">
        <f>IF(ISNUMBER(SEARCH('Карта учёта'!$B$21,Расходка[[#This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Gaia Third</v>
      </c>
      <c r="Y29" s="115" t="str">
        <f>IFERROR(INDEX(Расходка[Наименование расходного материала],MATCH(Расходка[[#This Row],[№]],Поиск_расходки[Индекс8],0)),"")</f>
        <v>Gaia Third</v>
      </c>
      <c r="Z29" s="115" t="str">
        <f>IFERROR(INDEX(Расходка[Наименование расходного материала],MATCH(Расходка[[#This Row],[№]],Поиск_расходки[Индекс9],0)),"")</f>
        <v>Gaia Third</v>
      </c>
      <c r="AA29" s="115" t="str">
        <f>IFERROR(INDEX(Расходка[Наименование расходного материала],MATCH(Расходка[[#This Row],[№]],Поиск_расходки[Индекс10],0)),"")</f>
        <v>Gaia Third</v>
      </c>
      <c r="AB29" s="115" t="str">
        <f>IFERROR(INDEX(Расходка[Наименование расходного материала],MATCH(Расходка[[#This Row],[№]],Поиск_расходки[Индекс11],0)),"")</f>
        <v>Gaia Third</v>
      </c>
      <c r="AC29" s="115" t="str">
        <f>IFERROR(INDEX(Расходка[Наименование расходного материала],MATCH(Расходка[[#This Row],[№]],Поиск_расходки[Индекс12],0)),"")</f>
        <v>Gaia Third</v>
      </c>
      <c r="AD29" s="115" t="str">
        <f>IFERROR(INDEX(Расходка[Наименование расходного материала],MATCH(Расходка[[#This Row],[№]],Поиск_расходки[Индекс13],0)),"")</f>
        <v>Gaia Third</v>
      </c>
      <c r="AF29" s="4" t="s">
        <v>5</v>
      </c>
      <c r="AG29" s="4" t="s">
        <v>430</v>
      </c>
    </row>
    <row r="30" spans="1:35" x14ac:dyDescent="0.25">
      <c r="A30">
        <v>29</v>
      </c>
      <c r="B30" t="s">
        <v>3</v>
      </c>
      <c r="C30" s="1" t="s">
        <v>322</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учёта'!$B$17,Расходка[[#This Row],[Наименование расходного материала]])),MAX($I$1:I29)+1,0)</f>
        <v>0</v>
      </c>
      <c r="J30" s="116">
        <f>IF(ISNUMBER(SEARCH('Карта учёта'!$B$18,Расходка[[#This Row],[Наименование расходного материала]])),MAX($J$1:J29)+1,0)</f>
        <v>0</v>
      </c>
      <c r="K30" s="116">
        <f>IF(ISNUMBER(SEARCH('Карта учёта'!$B$19,Расходка[[#This Row],[Наименование расходного материала]])),MAX($K$1:K29)+1,0)</f>
        <v>29</v>
      </c>
      <c r="L30" s="116">
        <f>IF(ISNUMBER(SEARCH('Карта учёта'!$B$20,Расходка[[#This Row],[Наименование расходного материала]])),MAX($L$1:L29)+1,0)</f>
        <v>29</v>
      </c>
      <c r="M30" s="116">
        <f>IF(ISNUMBER(SEARCH('Карта учёта'!$B$21,Расходка[[#This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Intuition</v>
      </c>
      <c r="Y30" s="115" t="str">
        <f>IFERROR(INDEX(Расходка[Наименование расходного материала],MATCH(Расходка[[#This Row],[№]],Поиск_расходки[Индекс8],0)),"")</f>
        <v>Intuition</v>
      </c>
      <c r="Z30" s="115" t="str">
        <f>IFERROR(INDEX(Расходка[Наименование расходного материала],MATCH(Расходка[[#This Row],[№]],Поиск_расходки[Индекс9],0)),"")</f>
        <v>Intuition</v>
      </c>
      <c r="AA30" s="115" t="str">
        <f>IFERROR(INDEX(Расходка[Наименование расходного материала],MATCH(Расходка[[#This Row],[№]],Поиск_расходки[Индекс10],0)),"")</f>
        <v>Intuition</v>
      </c>
      <c r="AB30" s="115" t="str">
        <f>IFERROR(INDEX(Расходка[Наименование расходного материала],MATCH(Расходка[[#This Row],[№]],Поиск_расходки[Индекс11],0)),"")</f>
        <v>Intuition</v>
      </c>
      <c r="AC30" s="115" t="str">
        <f>IFERROR(INDEX(Расходка[Наименование расходного материала],MATCH(Расходка[[#This Row],[№]],Поиск_расходки[Индекс12],0)),"")</f>
        <v>Intuition</v>
      </c>
      <c r="AD30" s="115" t="str">
        <f>IFERROR(INDEX(Расходка[Наименование расходного материала],MATCH(Расходка[[#This Row],[№]],Поиск_расходки[Индекс13],0)),"")</f>
        <v>Intuition</v>
      </c>
      <c r="AF30" s="4" t="s">
        <v>5</v>
      </c>
      <c r="AG30" s="4" t="s">
        <v>492</v>
      </c>
    </row>
    <row r="31" spans="1:35" x14ac:dyDescent="0.25">
      <c r="A31">
        <v>30</v>
      </c>
      <c r="B31" t="s">
        <v>3</v>
      </c>
      <c r="C31" t="s">
        <v>318</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учёта'!$B$17,Расходка[[#This Row],[Наименование расходного материала]])),MAX($I$1:I30)+1,0)</f>
        <v>0</v>
      </c>
      <c r="J31" s="116">
        <f>IF(ISNUMBER(SEARCH('Карта учёта'!$B$18,Расходка[[#This Row],[Наименование расходного материала]])),MAX($J$1:J30)+1,0)</f>
        <v>0</v>
      </c>
      <c r="K31" s="116">
        <f>IF(ISNUMBER(SEARCH('Карта учёта'!$B$19,Расходка[[#This Row],[Наименование расходного материала]])),MAX($K$1:K30)+1,0)</f>
        <v>30</v>
      </c>
      <c r="L31" s="116">
        <f>IF(ISNUMBER(SEARCH('Карта учёта'!$B$20,Расходка[[#This Row],[Наименование расходного материала]])),MAX($L$1:L30)+1,0)</f>
        <v>30</v>
      </c>
      <c r="M31" s="116">
        <f>IF(ISNUMBER(SEARCH('Карта учёта'!$B$21,Расходка[[#This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ProVia 3 Hydro-Track®</v>
      </c>
      <c r="Y31" s="115" t="str">
        <f>IFERROR(INDEX(Расходка[Наименование расходного материала],MATCH(Расходка[[#This Row],[№]],Поиск_расходки[Индекс8],0)),"")</f>
        <v>ProVia 3 Hydro-Track®</v>
      </c>
      <c r="Z31" s="115" t="str">
        <f>IFERROR(INDEX(Расходка[Наименование расходного материала],MATCH(Расходка[[#This Row],[№]],Поиск_расходки[Индекс9],0)),"")</f>
        <v>ProVia 3 Hydro-Track®</v>
      </c>
      <c r="AA31" s="115" t="str">
        <f>IFERROR(INDEX(Расходка[Наименование расходного материала],MATCH(Расходка[[#This Row],[№]],Поиск_расходки[Индекс10],0)),"")</f>
        <v>ProVia 3 Hydro-Track®</v>
      </c>
      <c r="AB31" s="115" t="str">
        <f>IFERROR(INDEX(Расходка[Наименование расходного материала],MATCH(Расходка[[#This Row],[№]],Поиск_расходки[Индекс11],0)),"")</f>
        <v>ProVia 3 Hydro-Track®</v>
      </c>
      <c r="AC31" s="115" t="str">
        <f>IFERROR(INDEX(Расходка[Наименование расходного материала],MATCH(Расходка[[#This Row],[№]],Поиск_расходки[Индекс12],0)),"")</f>
        <v>ProVia 3 Hydro-Track®</v>
      </c>
      <c r="AD31" s="115" t="str">
        <f>IFERROR(INDEX(Расходка[Наименование расходного материала],MATCH(Расходка[[#This Row],[№]],Поиск_расходки[Индекс13],0)),"")</f>
        <v>ProVia 3 Hydro-Track®</v>
      </c>
      <c r="AF31" s="4" t="s">
        <v>5</v>
      </c>
      <c r="AG31" s="4" t="s">
        <v>431</v>
      </c>
    </row>
    <row r="32" spans="1:35" x14ac:dyDescent="0.25">
      <c r="A32">
        <v>31</v>
      </c>
      <c r="B32" t="s">
        <v>3</v>
      </c>
      <c r="C32" t="s">
        <v>319</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учёта'!$B$17,Расходка[[#This Row],[Наименование расходного материала]])),MAX($I$1:I31)+1,0)</f>
        <v>0</v>
      </c>
      <c r="J32" s="116">
        <f>IF(ISNUMBER(SEARCH('Карта учёта'!$B$18,Расходка[[#This Row],[Наименование расходного материала]])),MAX($J$1:J31)+1,0)</f>
        <v>0</v>
      </c>
      <c r="K32" s="116">
        <f>IF(ISNUMBER(SEARCH('Карта учёта'!$B$19,Расходка[[#This Row],[Наименование расходного материала]])),MAX($K$1:K31)+1,0)</f>
        <v>31</v>
      </c>
      <c r="L32" s="116">
        <f>IF(ISNUMBER(SEARCH('Карта учёта'!$B$20,Расходка[[#This Row],[Наименование расходного материала]])),MAX($L$1:L31)+1,0)</f>
        <v>31</v>
      </c>
      <c r="M32" s="116">
        <f>IF(ISNUMBER(SEARCH('Карта учёта'!$B$21,Расходка[[#This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ProVia 6 Hydro-Track®</v>
      </c>
      <c r="Y32" s="115" t="str">
        <f>IFERROR(INDEX(Расходка[Наименование расходного материала],MATCH(Расходка[[#This Row],[№]],Поиск_расходки[Индекс8],0)),"")</f>
        <v>ProVia 6 Hydro-Track®</v>
      </c>
      <c r="Z32" s="115" t="str">
        <f>IFERROR(INDEX(Расходка[Наименование расходного материала],MATCH(Расходка[[#This Row],[№]],Поиск_расходки[Индекс9],0)),"")</f>
        <v>ProVia 6 Hydro-Track®</v>
      </c>
      <c r="AA32" s="115" t="str">
        <f>IFERROR(INDEX(Расходка[Наименование расходного материала],MATCH(Расходка[[#This Row],[№]],Поиск_расходки[Индекс10],0)),"")</f>
        <v>ProVia 6 Hydro-Track®</v>
      </c>
      <c r="AB32" s="115" t="str">
        <f>IFERROR(INDEX(Расходка[Наименование расходного материала],MATCH(Расходка[[#This Row],[№]],Поиск_расходки[Индекс11],0)),"")</f>
        <v>ProVia 6 Hydro-Track®</v>
      </c>
      <c r="AC32" s="115" t="str">
        <f>IFERROR(INDEX(Расходка[Наименование расходного материала],MATCH(Расходка[[#This Row],[№]],Поиск_расходки[Индекс12],0)),"")</f>
        <v>ProVia 6 Hydro-Track®</v>
      </c>
      <c r="AD32" s="115" t="str">
        <f>IFERROR(INDEX(Расходка[Наименование расходного материала],MATCH(Расходка[[#This Row],[№]],Поиск_расходки[Индекс13],0)),"")</f>
        <v>ProVia 6 Hydro-Track®</v>
      </c>
      <c r="AF32" s="4" t="s">
        <v>5</v>
      </c>
      <c r="AG32" s="4" t="s">
        <v>432</v>
      </c>
    </row>
    <row r="33" spans="1:33" x14ac:dyDescent="0.25">
      <c r="A33">
        <v>32</v>
      </c>
      <c r="B33" t="s">
        <v>3</v>
      </c>
      <c r="C33" t="s">
        <v>320</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учёта'!$B$17,Расходка[[#This Row],[Наименование расходного материала]])),MAX($I$1:I32)+1,0)</f>
        <v>0</v>
      </c>
      <c r="J33" s="116">
        <f>IF(ISNUMBER(SEARCH('Карта учёта'!$B$18,Расходка[[#This Row],[Наименование расходного материала]])),MAX($J$1:J32)+1,0)</f>
        <v>0</v>
      </c>
      <c r="K33" s="116">
        <f>IF(ISNUMBER(SEARCH('Карта учёта'!$B$19,Расходка[[#This Row],[Наименование расходного материала]])),MAX($K$1:K32)+1,0)</f>
        <v>32</v>
      </c>
      <c r="L33" s="116">
        <f>IF(ISNUMBER(SEARCH('Карта учёта'!$B$20,Расходка[[#This Row],[Наименование расходного материала]])),MAX($L$1:L32)+1,0)</f>
        <v>32</v>
      </c>
      <c r="M33" s="116">
        <f>IF(ISNUMBER(SEARCH('Карта учёта'!$B$21,Расходка[[#This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ProVia 9 Hydro-Track®</v>
      </c>
      <c r="Y33" s="115" t="str">
        <f>IFERROR(INDEX(Расходка[Наименование расходного материала],MATCH(Расходка[[#This Row],[№]],Поиск_расходки[Индекс8],0)),"")</f>
        <v>ProVia 9 Hydro-Track®</v>
      </c>
      <c r="Z33" s="115" t="str">
        <f>IFERROR(INDEX(Расходка[Наименование расходного материала],MATCH(Расходка[[#This Row],[№]],Поиск_расходки[Индекс9],0)),"")</f>
        <v>ProVia 9 Hydro-Track®</v>
      </c>
      <c r="AA33" s="115" t="str">
        <f>IFERROR(INDEX(Расходка[Наименование расходного материала],MATCH(Расходка[[#This Row],[№]],Поиск_расходки[Индекс10],0)),"")</f>
        <v>ProVia 9 Hydro-Track®</v>
      </c>
      <c r="AB33" s="115" t="str">
        <f>IFERROR(INDEX(Расходка[Наименование расходного материала],MATCH(Расходка[[#This Row],[№]],Поиск_расходки[Индекс11],0)),"")</f>
        <v>ProVia 9 Hydro-Track®</v>
      </c>
      <c r="AC33" s="115" t="str">
        <f>IFERROR(INDEX(Расходка[Наименование расходного материала],MATCH(Расходка[[#This Row],[№]],Поиск_расходки[Индекс12],0)),"")</f>
        <v>ProVia 9 Hydro-Track®</v>
      </c>
      <c r="AD33" s="115" t="str">
        <f>IFERROR(INDEX(Расходка[Наименование расходного материала],MATCH(Расходка[[#This Row],[№]],Поиск_расходки[Индекс13],0)),"")</f>
        <v>ProVia 9 Hydro-Track®</v>
      </c>
      <c r="AF33" s="4" t="s">
        <v>5</v>
      </c>
      <c r="AG33" s="4" t="s">
        <v>433</v>
      </c>
    </row>
    <row r="34" spans="1:33" x14ac:dyDescent="0.25">
      <c r="A34">
        <v>33</v>
      </c>
      <c r="B34" t="s">
        <v>3</v>
      </c>
      <c r="C34" t="s">
        <v>316</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учёта'!$B$17,Расходка[[#This Row],[Наименование расходного материала]])),MAX($I$1:I33)+1,0)</f>
        <v>0</v>
      </c>
      <c r="J34" s="116">
        <f>IF(ISNUMBER(SEARCH('Карта учёта'!$B$18,Расходка[[#This Row],[Наименование расходного материала]])),MAX($J$1:J33)+1,0)</f>
        <v>0</v>
      </c>
      <c r="K34" s="116">
        <f>IF(ISNUMBER(SEARCH('Карта учёта'!$B$19,Расходка[[#This Row],[Наименование расходного материала]])),MAX($K$1:K33)+1,0)</f>
        <v>33</v>
      </c>
      <c r="L34" s="116">
        <f>IF(ISNUMBER(SEARCH('Карта учёта'!$B$20,Расходка[[#This Row],[Наименование расходного материала]])),MAX($L$1:L33)+1,0)</f>
        <v>33</v>
      </c>
      <c r="M34" s="116">
        <f>IF(ISNUMBER(SEARCH('Карта учёта'!$B$21,Расходка[[#This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Rinato</v>
      </c>
      <c r="Y34" s="115" t="str">
        <f>IFERROR(INDEX(Расходка[Наименование расходного материала],MATCH(Расходка[[#This Row],[№]],Поиск_расходки[Индекс8],0)),"")</f>
        <v>Rinato</v>
      </c>
      <c r="Z34" s="115" t="str">
        <f>IFERROR(INDEX(Расходка[Наименование расходного материала],MATCH(Расходка[[#This Row],[№]],Поиск_расходки[Индекс9],0)),"")</f>
        <v>Rinato</v>
      </c>
      <c r="AA34" s="115" t="str">
        <f>IFERROR(INDEX(Расходка[Наименование расходного материала],MATCH(Расходка[[#This Row],[№]],Поиск_расходки[Индекс10],0)),"")</f>
        <v>Rinato</v>
      </c>
      <c r="AB34" s="115" t="str">
        <f>IFERROR(INDEX(Расходка[Наименование расходного материала],MATCH(Расходка[[#This Row],[№]],Поиск_расходки[Индекс11],0)),"")</f>
        <v>Rinato</v>
      </c>
      <c r="AC34" s="115" t="str">
        <f>IFERROR(INDEX(Расходка[Наименование расходного материала],MATCH(Расходка[[#This Row],[№]],Поиск_расходки[Индекс12],0)),"")</f>
        <v>Rinato</v>
      </c>
      <c r="AD34" s="115" t="str">
        <f>IFERROR(INDEX(Расходка[Наименование расходного материала],MATCH(Расходка[[#This Row],[№]],Поиск_расходки[Индекс13],0)),"")</f>
        <v>Rinato</v>
      </c>
      <c r="AF34" s="4" t="s">
        <v>5</v>
      </c>
      <c r="AG34" s="4" t="s">
        <v>434</v>
      </c>
    </row>
    <row r="35" spans="1:33" x14ac:dyDescent="0.25">
      <c r="A35">
        <v>34</v>
      </c>
      <c r="B35" t="s">
        <v>3</v>
      </c>
      <c r="C35" s="1" t="s">
        <v>353</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учёта'!$B$17,Расходка[[#This Row],[Наименование расходного материала]])),MAX($I$1:I34)+1,0)</f>
        <v>0</v>
      </c>
      <c r="J35" s="116">
        <f>IF(ISNUMBER(SEARCH('Карта учёта'!$B$18,Расходка[[#This Row],[Наименование расходного материала]])),MAX($J$1:J34)+1,0)</f>
        <v>0</v>
      </c>
      <c r="K35" s="116">
        <f>IF(ISNUMBER(SEARCH('Карта учёта'!$B$19,Расходка[[#This Row],[Наименование расходного материала]])),MAX($K$1:K34)+1,0)</f>
        <v>34</v>
      </c>
      <c r="L35" s="116">
        <f>IF(ISNUMBER(SEARCH('Карта учёта'!$B$20,Расходка[[#This Row],[Наименование расходного материала]])),MAX($L$1:L34)+1,0)</f>
        <v>34</v>
      </c>
      <c r="M35" s="116">
        <f>IF(ISNUMBER(SEARCH('Карта учёта'!$B$21,Расходка[[#This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Runthrough NS (Floppy)</v>
      </c>
      <c r="Y35" s="115" t="str">
        <f>IFERROR(INDEX(Расходка[Наименование расходного материала],MATCH(Расходка[[#This Row],[№]],Поиск_расходки[Индекс8],0)),"")</f>
        <v>Runthrough NS (Floppy)</v>
      </c>
      <c r="Z35" s="115" t="str">
        <f>IFERROR(INDEX(Расходка[Наименование расходного материала],MATCH(Расходка[[#This Row],[№]],Поиск_расходки[Индекс9],0)),"")</f>
        <v>Runthrough NS (Floppy)</v>
      </c>
      <c r="AA35" s="115" t="str">
        <f>IFERROR(INDEX(Расходка[Наименование расходного материала],MATCH(Расходка[[#This Row],[№]],Поиск_расходки[Индекс10],0)),"")</f>
        <v>Runthrough NS (Floppy)</v>
      </c>
      <c r="AB35" s="115" t="str">
        <f>IFERROR(INDEX(Расходка[Наименование расходного материала],MATCH(Расходка[[#This Row],[№]],Поиск_расходки[Индекс11],0)),"")</f>
        <v>Runthrough NS (Floppy)</v>
      </c>
      <c r="AC35" s="115" t="str">
        <f>IFERROR(INDEX(Расходка[Наименование расходного материала],MATCH(Расходка[[#This Row],[№]],Поиск_расходки[Индекс12],0)),"")</f>
        <v>Runthrough NS (Floppy)</v>
      </c>
      <c r="AD35" s="115" t="str">
        <f>IFERROR(INDEX(Расходка[Наименование расходного материала],MATCH(Расходка[[#This Row],[№]],Поиск_расходки[Индекс13],0)),"")</f>
        <v>Runthrough NS (Floppy)</v>
      </c>
      <c r="AF35" s="4" t="s">
        <v>5</v>
      </c>
      <c r="AG35" s="4" t="s">
        <v>493</v>
      </c>
    </row>
    <row r="36" spans="1:33" x14ac:dyDescent="0.25">
      <c r="A36">
        <v>35</v>
      </c>
      <c r="B36" t="s">
        <v>3</v>
      </c>
      <c r="C36" s="1" t="s">
        <v>361</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учёта'!$B$17,Расходка[[#This Row],[Наименование расходного материала]])),MAX($I$1:I35)+1,0)</f>
        <v>0</v>
      </c>
      <c r="J36" s="116">
        <f>IF(ISNUMBER(SEARCH('Карта учёта'!$B$18,Расходка[[#This Row],[Наименование расходного материала]])),MAX($J$1:J35)+1,0)</f>
        <v>0</v>
      </c>
      <c r="K36" s="116">
        <f>IF(ISNUMBER(SEARCH('Карта учёта'!$B$19,Расходка[[#This Row],[Наименование расходного материала]])),MAX($K$1:K35)+1,0)</f>
        <v>35</v>
      </c>
      <c r="L36" s="116">
        <f>IF(ISNUMBER(SEARCH('Карта учёта'!$B$20,Расходка[[#This Row],[Наименование расходного материала]])),MAX($L$1:L35)+1,0)</f>
        <v>35</v>
      </c>
      <c r="M36" s="116">
        <f>IF(ISNUMBER(SEARCH('Карта учёта'!$B$21,Расходка[[#This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Runthrough NS Hypercoat</v>
      </c>
      <c r="Y36" s="115" t="str">
        <f>IFERROR(INDEX(Расходка[Наименование расходного материала],MATCH(Расходка[[#This Row],[№]],Поиск_расходки[Индекс8],0)),"")</f>
        <v>Runthrough NS Hypercoat</v>
      </c>
      <c r="Z36" s="115" t="str">
        <f>IFERROR(INDEX(Расходка[Наименование расходного материала],MATCH(Расходка[[#This Row],[№]],Поиск_расходки[Индекс9],0)),"")</f>
        <v>Runthrough NS Hypercoat</v>
      </c>
      <c r="AA36" s="115" t="str">
        <f>IFERROR(INDEX(Расходка[Наименование расходного материала],MATCH(Расходка[[#This Row],[№]],Поиск_расходки[Индекс10],0)),"")</f>
        <v>Runthrough NS Hypercoat</v>
      </c>
      <c r="AB36" s="115" t="str">
        <f>IFERROR(INDEX(Расходка[Наименование расходного материала],MATCH(Расходка[[#This Row],[№]],Поиск_расходки[Индекс11],0)),"")</f>
        <v>Runthrough NS Hypercoat</v>
      </c>
      <c r="AC36" s="115" t="str">
        <f>IFERROR(INDEX(Расходка[Наименование расходного материала],MATCH(Расходка[[#This Row],[№]],Поиск_расходки[Индекс12],0)),"")</f>
        <v>Runthrough NS Hypercoat</v>
      </c>
      <c r="AD36" s="115" t="str">
        <f>IFERROR(INDEX(Расходка[Наименование расходного материала],MATCH(Расходка[[#This Row],[№]],Поиск_расходки[Индекс13],0)),"")</f>
        <v>Runthrough NS Hypercoat</v>
      </c>
      <c r="AF36" s="4" t="s">
        <v>5</v>
      </c>
      <c r="AG36" s="4" t="s">
        <v>435</v>
      </c>
    </row>
    <row r="37" spans="1:33" x14ac:dyDescent="0.25">
      <c r="A37">
        <v>36</v>
      </c>
      <c r="B37" t="s">
        <v>3</v>
      </c>
      <c r="C37" s="1" t="s">
        <v>360</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учёта'!$B$17,Расходка[[#This Row],[Наименование расходного материала]])),MAX($I$1:I36)+1,0)</f>
        <v>0</v>
      </c>
      <c r="J37" s="116">
        <f>IF(ISNUMBER(SEARCH('Карта учёта'!$B$18,Расходка[[#This Row],[Наименование расходного материала]])),MAX($J$1:J36)+1,0)</f>
        <v>0</v>
      </c>
      <c r="K37" s="116">
        <f>IF(ISNUMBER(SEARCH('Карта учёта'!$B$19,Расходка[[#This Row],[Наименование расходного материала]])),MAX($K$1:K36)+1,0)</f>
        <v>36</v>
      </c>
      <c r="L37" s="116">
        <f>IF(ISNUMBER(SEARCH('Карта учёта'!$B$20,Расходка[[#This Row],[Наименование расходного материала]])),MAX($L$1:L36)+1,0)</f>
        <v>36</v>
      </c>
      <c r="M37" s="116">
        <f>IF(ISNUMBER(SEARCH('Карта учёта'!$B$21,Расходка[[#This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Runthrough NS Intermediate</v>
      </c>
      <c r="Y37" s="115" t="str">
        <f>IFERROR(INDEX(Расходка[Наименование расходного материала],MATCH(Расходка[[#This Row],[№]],Поиск_расходки[Индекс8],0)),"")</f>
        <v>Runthrough NS Intermediate</v>
      </c>
      <c r="Z37" s="115" t="str">
        <f>IFERROR(INDEX(Расходка[Наименование расходного материала],MATCH(Расходка[[#This Row],[№]],Поиск_расходки[Индекс9],0)),"")</f>
        <v>Runthrough NS Intermediate</v>
      </c>
      <c r="AA37" s="115" t="str">
        <f>IFERROR(INDEX(Расходка[Наименование расходного материала],MATCH(Расходка[[#This Row],[№]],Поиск_расходки[Индекс10],0)),"")</f>
        <v>Runthrough NS Intermediate</v>
      </c>
      <c r="AB37" s="115" t="str">
        <f>IFERROR(INDEX(Расходка[Наименование расходного материала],MATCH(Расходка[[#This Row],[№]],Поиск_расходки[Индекс11],0)),"")</f>
        <v>Runthrough NS Intermediate</v>
      </c>
      <c r="AC37" s="115" t="str">
        <f>IFERROR(INDEX(Расходка[Наименование расходного материала],MATCH(Расходка[[#This Row],[№]],Поиск_расходки[Индекс12],0)),"")</f>
        <v>Runthrough NS Intermediate</v>
      </c>
      <c r="AD37" s="115" t="str">
        <f>IFERROR(INDEX(Расходка[Наименование расходного материала],MATCH(Расходка[[#This Row],[№]],Поиск_расходки[Индекс13],0)),"")</f>
        <v>Runthrough NS Intermediate</v>
      </c>
      <c r="AF37" s="4" t="s">
        <v>6</v>
      </c>
      <c r="AG37" s="4" t="s">
        <v>408</v>
      </c>
    </row>
    <row r="38" spans="1:33" x14ac:dyDescent="0.25">
      <c r="A38">
        <v>37</v>
      </c>
      <c r="B38" t="s">
        <v>3</v>
      </c>
      <c r="C38" t="s">
        <v>315</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учёта'!$B$17,Расходка[[#This Row],[Наименование расходного материала]])),MAX($I$1:I37)+1,0)</f>
        <v>0</v>
      </c>
      <c r="J38" s="116">
        <f>IF(ISNUMBER(SEARCH('Карта учёта'!$B$18,Расходка[[#This Row],[Наименование расходного материала]])),MAX($J$1:J37)+1,0)</f>
        <v>0</v>
      </c>
      <c r="K38" s="116">
        <f>IF(ISNUMBER(SEARCH('Карта учёта'!$B$19,Расходка[[#This Row],[Наименование расходного материала]])),MAX($K$1:K37)+1,0)</f>
        <v>37</v>
      </c>
      <c r="L38" s="116">
        <f>IF(ISNUMBER(SEARCH('Карта учёта'!$B$20,Расходка[[#This Row],[Наименование расходного материала]])),MAX($L$1:L37)+1,0)</f>
        <v>37</v>
      </c>
      <c r="M38" s="116">
        <f>IF(ISNUMBER(SEARCH('Карта учёта'!$B$21,Расходка[[#This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Sion</v>
      </c>
      <c r="Y38" s="115" t="str">
        <f>IFERROR(INDEX(Расходка[Наименование расходного материала],MATCH(Расходка[[#This Row],[№]],Поиск_расходки[Индекс8],0)),"")</f>
        <v>Sion</v>
      </c>
      <c r="Z38" s="115" t="str">
        <f>IFERROR(INDEX(Расходка[Наименование расходного материала],MATCH(Расходка[[#This Row],[№]],Поиск_расходки[Индекс9],0)),"")</f>
        <v>Sion</v>
      </c>
      <c r="AA38" s="115" t="str">
        <f>IFERROR(INDEX(Расходка[Наименование расходного материала],MATCH(Расходка[[#This Row],[№]],Поиск_расходки[Индекс10],0)),"")</f>
        <v>Sion</v>
      </c>
      <c r="AB38" s="115" t="str">
        <f>IFERROR(INDEX(Расходка[Наименование расходного материала],MATCH(Расходка[[#This Row],[№]],Поиск_расходки[Индекс11],0)),"")</f>
        <v>Sion</v>
      </c>
      <c r="AC38" s="115" t="str">
        <f>IFERROR(INDEX(Расходка[Наименование расходного материала],MATCH(Расходка[[#This Row],[№]],Поиск_расходки[Индекс12],0)),"")</f>
        <v>Sion</v>
      </c>
      <c r="AD38" s="115" t="str">
        <f>IFERROR(INDEX(Расходка[Наименование расходного материала],MATCH(Расходка[[#This Row],[№]],Поиск_расходки[Индекс13],0)),"")</f>
        <v>Sion</v>
      </c>
      <c r="AF38" s="4" t="s">
        <v>6</v>
      </c>
      <c r="AG38" s="4" t="s">
        <v>495</v>
      </c>
    </row>
    <row r="39" spans="1:33" x14ac:dyDescent="0.25">
      <c r="A39">
        <v>38</v>
      </c>
      <c r="B39" t="s">
        <v>3</v>
      </c>
      <c r="C39" t="s">
        <v>380</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учёта'!$B$17,Расходка[[#This Row],[Наименование расходного материала]])),MAX($I$1:I38)+1,0)</f>
        <v>0</v>
      </c>
      <c r="J39" s="116">
        <f>IF(ISNUMBER(SEARCH('Карта учёта'!$B$18,Расходка[[#This Row],[Наименование расходного материала]])),MAX($J$1:J38)+1,0)</f>
        <v>0</v>
      </c>
      <c r="K39" s="116">
        <f>IF(ISNUMBER(SEARCH('Карта учёта'!$B$19,Расходка[[#This Row],[Наименование расходного материала]])),MAX($K$1:K38)+1,0)</f>
        <v>38</v>
      </c>
      <c r="L39" s="116">
        <f>IF(ISNUMBER(SEARCH('Карта учёта'!$B$20,Расходка[[#This Row],[Наименование расходного материала]])),MAX($L$1:L38)+1,0)</f>
        <v>38</v>
      </c>
      <c r="M39" s="116">
        <f>IF(ISNUMBER(SEARCH('Карта учёта'!$B$21,Расходка[[#This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Sion Black</v>
      </c>
      <c r="Y39" s="115" t="str">
        <f>IFERROR(INDEX(Расходка[Наименование расходного материала],MATCH(Расходка[[#This Row],[№]],Поиск_расходки[Индекс8],0)),"")</f>
        <v>Sion Black</v>
      </c>
      <c r="Z39" s="115" t="str">
        <f>IFERROR(INDEX(Расходка[Наименование расходного материала],MATCH(Расходка[[#This Row],[№]],Поиск_расходки[Индекс9],0)),"")</f>
        <v>Sion Black</v>
      </c>
      <c r="AA39" s="115" t="str">
        <f>IFERROR(INDEX(Расходка[Наименование расходного материала],MATCH(Расходка[[#This Row],[№]],Поиск_расходки[Индекс10],0)),"")</f>
        <v>Sion Black</v>
      </c>
      <c r="AB39" s="115" t="str">
        <f>IFERROR(INDEX(Расходка[Наименование расходного материала],MATCH(Расходка[[#This Row],[№]],Поиск_расходки[Индекс11],0)),"")</f>
        <v>Sion Black</v>
      </c>
      <c r="AC39" s="115" t="str">
        <f>IFERROR(INDEX(Расходка[Наименование расходного материала],MATCH(Расходка[[#This Row],[№]],Поиск_расходки[Индекс12],0)),"")</f>
        <v>Sion Black</v>
      </c>
      <c r="AD39" s="115" t="str">
        <f>IFERROR(INDEX(Расходка[Наименование расходного материала],MATCH(Расходка[[#This Row],[№]],Поиск_расходки[Индекс13],0)),"")</f>
        <v>Sion Black</v>
      </c>
      <c r="AF39" s="4" t="s">
        <v>6</v>
      </c>
      <c r="AG39" s="4" t="s">
        <v>436</v>
      </c>
    </row>
    <row r="40" spans="1:33" x14ac:dyDescent="0.25">
      <c r="A40">
        <v>39</v>
      </c>
      <c r="B40" t="s">
        <v>3</v>
      </c>
      <c r="C40" s="1" t="s">
        <v>375</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учёта'!$B$17,Расходка[[#This Row],[Наименование расходного материала]])),MAX($I$1:I39)+1,0)</f>
        <v>0</v>
      </c>
      <c r="J40" s="116">
        <f>IF(ISNUMBER(SEARCH('Карта учёта'!$B$18,Расходка[[#This Row],[Наименование расходного материала]])),MAX($J$1:J39)+1,0)</f>
        <v>0</v>
      </c>
      <c r="K40" s="116">
        <f>IF(ISNUMBER(SEARCH('Карта учёта'!$B$19,Расходка[[#This Row],[Наименование расходного материала]])),MAX($K$1:K39)+1,0)</f>
        <v>39</v>
      </c>
      <c r="L40" s="116">
        <f>IF(ISNUMBER(SEARCH('Карта учёта'!$B$20,Расходка[[#This Row],[Наименование расходного материала]])),MAX($L$1:L39)+1,0)</f>
        <v>39</v>
      </c>
      <c r="M40" s="116">
        <f>IF(ISNUMBER(SEARCH('Карта учёта'!$B$21,Расходка[[#This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Sion Blue</v>
      </c>
      <c r="Y40" s="115" t="str">
        <f>IFERROR(INDEX(Расходка[Наименование расходного материала],MATCH(Расходка[[#This Row],[№]],Поиск_расходки[Индекс8],0)),"")</f>
        <v>Sion Blue</v>
      </c>
      <c r="Z40" s="115" t="str">
        <f>IFERROR(INDEX(Расходка[Наименование расходного материала],MATCH(Расходка[[#This Row],[№]],Поиск_расходки[Индекс9],0)),"")</f>
        <v>Sion Blue</v>
      </c>
      <c r="AA40" s="115" t="str">
        <f>IFERROR(INDEX(Расходка[Наименование расходного материала],MATCH(Расходка[[#This Row],[№]],Поиск_расходки[Индекс10],0)),"")</f>
        <v>Sion Blue</v>
      </c>
      <c r="AB40" s="115" t="str">
        <f>IFERROR(INDEX(Расходка[Наименование расходного материала],MATCH(Расходка[[#This Row],[№]],Поиск_расходки[Индекс11],0)),"")</f>
        <v>Sion Blue</v>
      </c>
      <c r="AC40" s="115" t="str">
        <f>IFERROR(INDEX(Расходка[Наименование расходного материала],MATCH(Расходка[[#This Row],[№]],Поиск_расходки[Индекс12],0)),"")</f>
        <v>Sion Blue</v>
      </c>
      <c r="AD40" s="115" t="str">
        <f>IFERROR(INDEX(Расходка[Наименование расходного материала],MATCH(Расходка[[#This Row],[№]],Поиск_расходки[Индекс13],0)),"")</f>
        <v>Sion Blue</v>
      </c>
      <c r="AF40" s="4" t="s">
        <v>6</v>
      </c>
      <c r="AG40" s="4" t="s">
        <v>437</v>
      </c>
    </row>
    <row r="41" spans="1:33" x14ac:dyDescent="0.25">
      <c r="A41">
        <v>40</v>
      </c>
      <c r="B41" t="s">
        <v>3</v>
      </c>
      <c r="C41" t="s">
        <v>317</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учёта'!$B$17,Расходка[[#This Row],[Наименование расходного материала]])),MAX($I$1:I40)+1,0)</f>
        <v>0</v>
      </c>
      <c r="J41" s="116">
        <f>IF(ISNUMBER(SEARCH('Карта учёта'!$B$18,Расходка[[#This Row],[Наименование расходного материала]])),MAX($J$1:J40)+1,0)</f>
        <v>0</v>
      </c>
      <c r="K41" s="116">
        <f>IF(ISNUMBER(SEARCH('Карта учёта'!$B$19,Расходка[[#This Row],[Наименование расходного материала]])),MAX($K$1:K40)+1,0)</f>
        <v>40</v>
      </c>
      <c r="L41" s="116">
        <f>IF(ISNUMBER(SEARCH('Карта учёта'!$B$20,Расходка[[#This Row],[Наименование расходного материала]])),MAX($L$1:L40)+1,0)</f>
        <v>40</v>
      </c>
      <c r="M41" s="116">
        <f>IF(ISNUMBER(SEARCH('Карта учёта'!$B$21,Расходка[[#This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Thunder</v>
      </c>
      <c r="Y41" s="115" t="str">
        <f>IFERROR(INDEX(Расходка[Наименование расходного материала],MATCH(Расходка[[#This Row],[№]],Поиск_расходки[Индекс8],0)),"")</f>
        <v>Thunder</v>
      </c>
      <c r="Z41" s="115" t="str">
        <f>IFERROR(INDEX(Расходка[Наименование расходного материала],MATCH(Расходка[[#This Row],[№]],Поиск_расходки[Индекс9],0)),"")</f>
        <v>Thunder</v>
      </c>
      <c r="AA41" s="115" t="str">
        <f>IFERROR(INDEX(Расходка[Наименование расходного материала],MATCH(Расходка[[#This Row],[№]],Поиск_расходки[Индекс10],0)),"")</f>
        <v>Thunder</v>
      </c>
      <c r="AB41" s="115" t="str">
        <f>IFERROR(INDEX(Расходка[Наименование расходного материала],MATCH(Расходка[[#This Row],[№]],Поиск_расходки[Индекс11],0)),"")</f>
        <v>Thunder</v>
      </c>
      <c r="AC41" s="115" t="str">
        <f>IFERROR(INDEX(Расходка[Наименование расходного материала],MATCH(Расходка[[#This Row],[№]],Поиск_расходки[Индекс12],0)),"")</f>
        <v>Thunder</v>
      </c>
      <c r="AD41" s="115" t="str">
        <f>IFERROR(INDEX(Расходка[Наименование расходного материала],MATCH(Расходка[[#This Row],[№]],Поиск_расходки[Индекс13],0)),"")</f>
        <v>Thunder</v>
      </c>
      <c r="AF41" s="4" t="s">
        <v>6</v>
      </c>
      <c r="AG41" s="4" t="s">
        <v>438</v>
      </c>
    </row>
    <row r="42" spans="1:33" x14ac:dyDescent="0.25">
      <c r="A42">
        <v>41</v>
      </c>
      <c r="B42" t="s">
        <v>3</v>
      </c>
      <c r="C42" t="s">
        <v>362</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учёта'!$B$17,Расходка[[#This Row],[Наименование расходного материала]])),MAX($I$1:I41)+1,0)</f>
        <v>0</v>
      </c>
      <c r="J42" s="116">
        <f>IF(ISNUMBER(SEARCH('Карта учёта'!$B$18,Расходка[[#This Row],[Наименование расходного материала]])),MAX($J$1:J41)+1,0)</f>
        <v>0</v>
      </c>
      <c r="K42" s="116">
        <f>IF(ISNUMBER(SEARCH('Карта учёта'!$B$19,Расходка[[#This Row],[Наименование расходного материала]])),MAX($K$1:K41)+1,0)</f>
        <v>41</v>
      </c>
      <c r="L42" s="116">
        <f>IF(ISNUMBER(SEARCH('Карта учёта'!$B$20,Расходка[[#This Row],[Наименование расходного материала]])),MAX($L$1:L41)+1,0)</f>
        <v>41</v>
      </c>
      <c r="M42" s="116">
        <f>IF(ISNUMBER(SEARCH('Карта учёта'!$B$21,Расходка[[#This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Whisper MS</v>
      </c>
      <c r="Y42" s="115" t="str">
        <f>IFERROR(INDEX(Расходка[Наименование расходного материала],MATCH(Расходка[[#This Row],[№]],Поиск_расходки[Индекс8],0)),"")</f>
        <v>Whisper MS</v>
      </c>
      <c r="Z42" s="115" t="str">
        <f>IFERROR(INDEX(Расходка[Наименование расходного материала],MATCH(Расходка[[#This Row],[№]],Поиск_расходки[Индекс9],0)),"")</f>
        <v>Whisper MS</v>
      </c>
      <c r="AA42" s="115" t="str">
        <f>IFERROR(INDEX(Расходка[Наименование расходного материала],MATCH(Расходка[[#This Row],[№]],Поиск_расходки[Индекс10],0)),"")</f>
        <v>Whisper MS</v>
      </c>
      <c r="AB42" s="115" t="str">
        <f>IFERROR(INDEX(Расходка[Наименование расходного материала],MATCH(Расходка[[#This Row],[№]],Поиск_расходки[Индекс11],0)),"")</f>
        <v>Whisper MS</v>
      </c>
      <c r="AC42" s="115" t="str">
        <f>IFERROR(INDEX(Расходка[Наименование расходного материала],MATCH(Расходка[[#This Row],[№]],Поиск_расходки[Индекс12],0)),"")</f>
        <v>Whisper MS</v>
      </c>
      <c r="AD42" s="115" t="str">
        <f>IFERROR(INDEX(Расходка[Наименование расходного материала],MATCH(Расходка[[#This Row],[№]],Поиск_расходки[Индекс13],0)),"")</f>
        <v>Whisper MS</v>
      </c>
      <c r="AF42" s="4" t="s">
        <v>6</v>
      </c>
      <c r="AG42" s="4" t="s">
        <v>439</v>
      </c>
    </row>
    <row r="43" spans="1:33" x14ac:dyDescent="0.25">
      <c r="A43">
        <v>42</v>
      </c>
      <c r="B43" t="s">
        <v>3</v>
      </c>
      <c r="C43" t="s">
        <v>363</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учёта'!$B$17,Расходка[[#This Row],[Наименование расходного материала]])),MAX($I$1:I42)+1,0)</f>
        <v>0</v>
      </c>
      <c r="J43" s="116">
        <f>IF(ISNUMBER(SEARCH('Карта учёта'!$B$18,Расходка[[#This Row],[Наименование расходного материала]])),MAX($J$1:J42)+1,0)</f>
        <v>0</v>
      </c>
      <c r="K43" s="116">
        <f>IF(ISNUMBER(SEARCH('Карта учёта'!$B$19,Расходка[[#This Row],[Наименование расходного материала]])),MAX($K$1:K42)+1,0)</f>
        <v>42</v>
      </c>
      <c r="L43" s="116">
        <f>IF(ISNUMBER(SEARCH('Карта учёта'!$B$20,Расходка[[#This Row],[Наименование расходного материала]])),MAX($L$1:L42)+1,0)</f>
        <v>42</v>
      </c>
      <c r="M43" s="116">
        <f>IF(ISNUMBER(SEARCH('Карта учёта'!$B$21,Расходка[[#This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Winn 200T</v>
      </c>
      <c r="Y43" s="115" t="str">
        <f>IFERROR(INDEX(Расходка[Наименование расходного материала],MATCH(Расходка[[#This Row],[№]],Поиск_расходки[Индекс8],0)),"")</f>
        <v>Winn 200T</v>
      </c>
      <c r="Z43" s="115" t="str">
        <f>IFERROR(INDEX(Расходка[Наименование расходного материала],MATCH(Расходка[[#This Row],[№]],Поиск_расходки[Индекс9],0)),"")</f>
        <v>Winn 200T</v>
      </c>
      <c r="AA43" s="115" t="str">
        <f>IFERROR(INDEX(Расходка[Наименование расходного материала],MATCH(Расходка[[#This Row],[№]],Поиск_расходки[Индекс10],0)),"")</f>
        <v>Winn 200T</v>
      </c>
      <c r="AB43" s="115" t="str">
        <f>IFERROR(INDEX(Расходка[Наименование расходного материала],MATCH(Расходка[[#This Row],[№]],Поиск_расходки[Индекс11],0)),"")</f>
        <v>Winn 200T</v>
      </c>
      <c r="AC43" s="115" t="str">
        <f>IFERROR(INDEX(Расходка[Наименование расходного материала],MATCH(Расходка[[#This Row],[№]],Поиск_расходки[Индекс12],0)),"")</f>
        <v>Winn 200T</v>
      </c>
      <c r="AD43" s="115" t="str">
        <f>IFERROR(INDEX(Расходка[Наименование расходного материала],MATCH(Расходка[[#This Row],[№]],Поиск_расходки[Индекс13],0)),"")</f>
        <v>Winn 200T</v>
      </c>
      <c r="AF43" s="4" t="s">
        <v>6</v>
      </c>
      <c r="AG43" s="4" t="s">
        <v>412</v>
      </c>
    </row>
    <row r="44" spans="1:33" x14ac:dyDescent="0.25">
      <c r="A44">
        <v>43</v>
      </c>
      <c r="B44" t="s">
        <v>3</v>
      </c>
      <c r="C44" t="s">
        <v>346</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учёта'!$B$17,Расходка[[#This Row],[Наименование расходного материала]])),MAX($I$1:I43)+1,0)</f>
        <v>0</v>
      </c>
      <c r="J44" s="116">
        <f>IF(ISNUMBER(SEARCH('Карта учёта'!$B$18,Расходка[[#This Row],[Наименование расходного материала]])),MAX($J$1:J43)+1,0)</f>
        <v>0</v>
      </c>
      <c r="K44" s="116">
        <f>IF(ISNUMBER(SEARCH('Карта учёта'!$B$19,Расходка[[#This Row],[Наименование расходного материала]])),MAX($K$1:K43)+1,0)</f>
        <v>43</v>
      </c>
      <c r="L44" s="116">
        <f>IF(ISNUMBER(SEARCH('Карта учёта'!$B$20,Расходка[[#This Row],[Наименование расходного материала]])),MAX($L$1:L43)+1,0)</f>
        <v>43</v>
      </c>
      <c r="M44" s="116">
        <f>IF(ISNUMBER(SEARCH('Карта учёта'!$B$21,Расходка[[#This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Проводник коронарный  1g, Angioline</v>
      </c>
      <c r="Y44" s="115" t="str">
        <f>IFERROR(INDEX(Расходка[Наименование расходного материала],MATCH(Расходка[[#This Row],[№]],Поиск_расходки[Индекс8],0)),"")</f>
        <v>Проводник коронарный  1g, Angioline</v>
      </c>
      <c r="Z44" s="115" t="str">
        <f>IFERROR(INDEX(Расходка[Наименование расходного материала],MATCH(Расходка[[#This Row],[№]],Поиск_расходки[Индекс9],0)),"")</f>
        <v>Проводник коронарный  1g, Angioline</v>
      </c>
      <c r="AA44" s="115" t="str">
        <f>IFERROR(INDEX(Расходка[Наименование расходного материала],MATCH(Расходка[[#This Row],[№]],Поиск_расходки[Индекс10],0)),"")</f>
        <v>Проводник коронарный  1g, Angioline</v>
      </c>
      <c r="AB44" s="115" t="str">
        <f>IFERROR(INDEX(Расходка[Наименование расходного материала],MATCH(Расходка[[#This Row],[№]],Поиск_расходки[Индекс11],0)),"")</f>
        <v>Проводник коронарный  1g, Angioline</v>
      </c>
      <c r="AC44" s="115" t="str">
        <f>IFERROR(INDEX(Расходка[Наименование расходного материала],MATCH(Расходка[[#This Row],[№]],Поиск_расходки[Индекс12],0)),"")</f>
        <v>Проводник коронарный  1g, Angioline</v>
      </c>
      <c r="AD44" s="115" t="str">
        <f>IFERROR(INDEX(Расходка[Наименование расходного материала],MATCH(Расходка[[#This Row],[№]],Поиск_расходки[Индекс13],0)),"")</f>
        <v>Проводник коронарный  1g, Angioline</v>
      </c>
      <c r="AF44" s="4" t="s">
        <v>6</v>
      </c>
      <c r="AG44" s="4" t="s">
        <v>440</v>
      </c>
    </row>
    <row r="45" spans="1:33" x14ac:dyDescent="0.25">
      <c r="A45">
        <v>44</v>
      </c>
      <c r="B45" t="s">
        <v>3</v>
      </c>
      <c r="C45" t="s">
        <v>96</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учёта'!$B$17,Расходка[[#This Row],[Наименование расходного материала]])),MAX($I$1:I44)+1,0)</f>
        <v>0</v>
      </c>
      <c r="J45" s="116">
        <f>IF(ISNUMBER(SEARCH('Карта учёта'!$B$18,Расходка[[#This Row],[Наименование расходного материала]])),MAX($J$1:J44)+1,0)</f>
        <v>0</v>
      </c>
      <c r="K45" s="116">
        <f>IF(ISNUMBER(SEARCH('Карта учёта'!$B$19,Расходка[[#This Row],[Наименование расходного материала]])),MAX($K$1:K44)+1,0)</f>
        <v>44</v>
      </c>
      <c r="L45" s="116">
        <f>IF(ISNUMBER(SEARCH('Карта учёта'!$B$20,Расходка[[#This Row],[Наименование расходного материала]])),MAX($L$1:L44)+1,0)</f>
        <v>44</v>
      </c>
      <c r="M45" s="116">
        <f>IF(ISNUMBER(SEARCH('Карта учёта'!$B$21,Расходка[[#This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Проводник коронарный  3g, Angioline</v>
      </c>
      <c r="Y45" s="115" t="str">
        <f>IFERROR(INDEX(Расходка[Наименование расходного материала],MATCH(Расходка[[#This Row],[№]],Поиск_расходки[Индекс8],0)),"")</f>
        <v>Проводник коронарный  3g, Angioline</v>
      </c>
      <c r="Z45" s="115" t="str">
        <f>IFERROR(INDEX(Расходка[Наименование расходного материала],MATCH(Расходка[[#This Row],[№]],Поиск_расходки[Индекс9],0)),"")</f>
        <v>Проводник коронарный  3g, Angioline</v>
      </c>
      <c r="AA45" s="115" t="str">
        <f>IFERROR(INDEX(Расходка[Наименование расходного материала],MATCH(Расходка[[#This Row],[№]],Поиск_расходки[Индекс10],0)),"")</f>
        <v>Проводник коронарный  3g, Angioline</v>
      </c>
      <c r="AB45" s="115" t="str">
        <f>IFERROR(INDEX(Расходка[Наименование расходного материала],MATCH(Расходка[[#This Row],[№]],Поиск_расходки[Индекс11],0)),"")</f>
        <v>Проводник коронарный  3g, Angioline</v>
      </c>
      <c r="AC45" s="115" t="str">
        <f>IFERROR(INDEX(Расходка[Наименование расходного материала],MATCH(Расходка[[#This Row],[№]],Поиск_расходки[Индекс12],0)),"")</f>
        <v>Проводник коронарный  3g, Angioline</v>
      </c>
      <c r="AD45" s="115" t="str">
        <f>IFERROR(INDEX(Расходка[Наименование расходного материала],MATCH(Расходка[[#This Row],[№]],Поиск_расходки[Индекс13],0)),"")</f>
        <v>Проводник коронарный  3g, Angioline</v>
      </c>
      <c r="AF45" s="4" t="s">
        <v>6</v>
      </c>
      <c r="AG45" s="4" t="s">
        <v>441</v>
      </c>
    </row>
    <row r="46" spans="1:33" x14ac:dyDescent="0.25">
      <c r="A46">
        <v>45</v>
      </c>
      <c r="B46" t="s">
        <v>6</v>
      </c>
      <c r="C46" s="1" t="s">
        <v>278</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учёта'!$B$17,Расходка[[#This Row],[Наименование расходного материала]])),MAX($I$1:I45)+1,0)</f>
        <v>0</v>
      </c>
      <c r="J46" s="116">
        <f>IF(ISNUMBER(SEARCH('Карта учёта'!$B$18,Расходка[[#This Row],[Наименование расходного материала]])),MAX($J$1:J45)+1,0)</f>
        <v>0</v>
      </c>
      <c r="K46" s="116">
        <f>IF(ISNUMBER(SEARCH('Карта учёта'!$B$19,Расходка[[#This Row],[Наименование расходного материала]])),MAX($K$1:K45)+1,0)</f>
        <v>45</v>
      </c>
      <c r="L46" s="116">
        <f>IF(ISNUMBER(SEARCH('Карта учёта'!$B$20,Расходка[[#This Row],[Наименование расходного материала]])),MAX($L$1:L45)+1,0)</f>
        <v>45</v>
      </c>
      <c r="M46" s="116">
        <f>IF(ISNUMBER(SEARCH('Карта учёта'!$B$21,Расходка[[#This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BMS, Integtity</v>
      </c>
      <c r="Y46" s="115" t="str">
        <f>IFERROR(INDEX(Расходка[Наименование расходного материала],MATCH(Расходка[[#This Row],[№]],Поиск_расходки[Индекс8],0)),"")</f>
        <v>BMS, Integtity</v>
      </c>
      <c r="Z46" s="115" t="str">
        <f>IFERROR(INDEX(Расходка[Наименование расходного материала],MATCH(Расходка[[#This Row],[№]],Поиск_расходки[Индекс9],0)),"")</f>
        <v>BMS, Integtity</v>
      </c>
      <c r="AA46" s="115" t="str">
        <f>IFERROR(INDEX(Расходка[Наименование расходного материала],MATCH(Расходка[[#This Row],[№]],Поиск_расходки[Индекс10],0)),"")</f>
        <v>BMS, Integtity</v>
      </c>
      <c r="AB46" s="115" t="str">
        <f>IFERROR(INDEX(Расходка[Наименование расходного материала],MATCH(Расходка[[#This Row],[№]],Поиск_расходки[Индекс11],0)),"")</f>
        <v>BMS, Integtity</v>
      </c>
      <c r="AC46" s="115" t="str">
        <f>IFERROR(INDEX(Расходка[Наименование расходного материала],MATCH(Расходка[[#This Row],[№]],Поиск_расходки[Индекс12],0)),"")</f>
        <v>BMS, Integtity</v>
      </c>
      <c r="AD46" s="115" t="str">
        <f>IFERROR(INDEX(Расходка[Наименование расходного материала],MATCH(Расходка[[#This Row],[№]],Поиск_расходки[Индекс13],0)),"")</f>
        <v>BMS, Integtity</v>
      </c>
      <c r="AF46" s="4" t="s">
        <v>6</v>
      </c>
      <c r="AG46" s="4" t="s">
        <v>442</v>
      </c>
    </row>
    <row r="47" spans="1:33" x14ac:dyDescent="0.25">
      <c r="A47">
        <v>46</v>
      </c>
      <c r="B47" t="s">
        <v>6</v>
      </c>
      <c r="C47" s="158" t="s">
        <v>345</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учёта'!$B$17,Расходка[[#This Row],[Наименование расходного материала]])),MAX($I$1:I46)+1,0)</f>
        <v>0</v>
      </c>
      <c r="J47" s="116">
        <f>IF(ISNUMBER(SEARCH('Карта учёта'!$B$18,Расходка[[#This Row],[Наименование расходного материала]])),MAX($J$1:J46)+1,0)</f>
        <v>0</v>
      </c>
      <c r="K47" s="116">
        <f>IF(ISNUMBER(SEARCH('Карта учёта'!$B$19,Расходка[[#This Row],[Наименование расходного материала]])),MAX($K$1:K46)+1,0)</f>
        <v>46</v>
      </c>
      <c r="L47" s="116">
        <f>IF(ISNUMBER(SEARCH('Карта учёта'!$B$20,Расходка[[#This Row],[Наименование расходного материала]])),MAX($L$1:L46)+1,0)</f>
        <v>46</v>
      </c>
      <c r="M47" s="116">
        <f>IF(ISNUMBER(SEARCH('Карта учёта'!$B$21,Расходка[[#This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DES, Calipso</v>
      </c>
      <c r="Y47" s="115" t="str">
        <f>IFERROR(INDEX(Расходка[Наименование расходного материала],MATCH(Расходка[[#This Row],[№]],Поиск_расходки[Индекс8],0)),"")</f>
        <v>DES, Calipso</v>
      </c>
      <c r="Z47" s="115" t="str">
        <f>IFERROR(INDEX(Расходка[Наименование расходного материала],MATCH(Расходка[[#This Row],[№]],Поиск_расходки[Индекс9],0)),"")</f>
        <v>DES, Calipso</v>
      </c>
      <c r="AA47" s="115" t="str">
        <f>IFERROR(INDEX(Расходка[Наименование расходного материала],MATCH(Расходка[[#This Row],[№]],Поиск_расходки[Индекс10],0)),"")</f>
        <v>DES, Calipso</v>
      </c>
      <c r="AB47" s="115" t="str">
        <f>IFERROR(INDEX(Расходка[Наименование расходного материала],MATCH(Расходка[[#This Row],[№]],Поиск_расходки[Индекс11],0)),"")</f>
        <v>DES, Calipso</v>
      </c>
      <c r="AC47" s="115" t="str">
        <f>IFERROR(INDEX(Расходка[Наименование расходного материала],MATCH(Расходка[[#This Row],[№]],Поиск_расходки[Индекс12],0)),"")</f>
        <v>DES, Calipso</v>
      </c>
      <c r="AD47" s="115" t="str">
        <f>IFERROR(INDEX(Расходка[Наименование расходного материала],MATCH(Расходка[[#This Row],[№]],Поиск_расходки[Индекс13],0)),"")</f>
        <v>DES, Calipso</v>
      </c>
      <c r="AF47" s="4" t="s">
        <v>6</v>
      </c>
      <c r="AG47" s="4" t="s">
        <v>443</v>
      </c>
    </row>
    <row r="48" spans="1:33" x14ac:dyDescent="0.25">
      <c r="A48">
        <v>47</v>
      </c>
      <c r="B48" t="s">
        <v>6</v>
      </c>
      <c r="C48" s="158" t="s">
        <v>344</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учёта'!$B$17,Расходка[[#This Row],[Наименование расходного материала]])),MAX($I$1:I47)+1,0)</f>
        <v>0</v>
      </c>
      <c r="J48" s="116">
        <f>IF(ISNUMBER(SEARCH('Карта учёта'!$B$18,Расходка[[#This Row],[Наименование расходного материала]])),MAX($J$1:J47)+1,0)</f>
        <v>0</v>
      </c>
      <c r="K48" s="116">
        <f>IF(ISNUMBER(SEARCH('Карта учёта'!$B$19,Расходка[[#This Row],[Наименование расходного материала]])),MAX($K$1:K47)+1,0)</f>
        <v>47</v>
      </c>
      <c r="L48" s="116">
        <f>IF(ISNUMBER(SEARCH('Карта учёта'!$B$20,Расходка[[#This Row],[Наименование расходного материала]])),MAX($L$1:L47)+1,0)</f>
        <v>47</v>
      </c>
      <c r="M48" s="116">
        <f>IF(ISNUMBER(SEARCH('Карта учёта'!$B$21,Расходка[[#This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DES, NanoMed</v>
      </c>
      <c r="Y48" s="115" t="str">
        <f>IFERROR(INDEX(Расходка[Наименование расходного материала],MATCH(Расходка[[#This Row],[№]],Поиск_расходки[Индекс8],0)),"")</f>
        <v>DES, NanoMed</v>
      </c>
      <c r="Z48" s="115" t="str">
        <f>IFERROR(INDEX(Расходка[Наименование расходного материала],MATCH(Расходка[[#This Row],[№]],Поиск_расходки[Индекс9],0)),"")</f>
        <v>DES, NanoMed</v>
      </c>
      <c r="AA48" s="115" t="str">
        <f>IFERROR(INDEX(Расходка[Наименование расходного материала],MATCH(Расходка[[#This Row],[№]],Поиск_расходки[Индекс10],0)),"")</f>
        <v>DES, NanoMed</v>
      </c>
      <c r="AB48" s="115" t="str">
        <f>IFERROR(INDEX(Расходка[Наименование расходного материала],MATCH(Расходка[[#This Row],[№]],Поиск_расходки[Индекс11],0)),"")</f>
        <v>DES, NanoMed</v>
      </c>
      <c r="AC48" s="115" t="str">
        <f>IFERROR(INDEX(Расходка[Наименование расходного материала],MATCH(Расходка[[#This Row],[№]],Поиск_расходки[Индекс12],0)),"")</f>
        <v>DES, NanoMed</v>
      </c>
      <c r="AD48" s="115" t="str">
        <f>IFERROR(INDEX(Расходка[Наименование расходного материала],MATCH(Расходка[[#This Row],[№]],Поиск_расходки[Индекс13],0)),"")</f>
        <v>DES, NanoMed</v>
      </c>
      <c r="AF48" s="4" t="s">
        <v>6</v>
      </c>
      <c r="AG48" s="4" t="s">
        <v>444</v>
      </c>
    </row>
    <row r="49" spans="1:33" x14ac:dyDescent="0.25">
      <c r="A49">
        <v>48</v>
      </c>
      <c r="B49" t="s">
        <v>6</v>
      </c>
      <c r="C49" s="131" t="s">
        <v>323</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учёта'!$B$17,Расходка[[#This Row],[Наименование расходного материала]])),MAX($I$1:I48)+1,0)</f>
        <v>1</v>
      </c>
      <c r="J49" s="116">
        <f>IF(ISNUMBER(SEARCH('Карта учёта'!$B$18,Расходка[[#This Row],[Наименование расходного материала]])),MAX($J$1:J48)+1,0)</f>
        <v>0</v>
      </c>
      <c r="K49" s="116">
        <f>IF(ISNUMBER(SEARCH('Карта учёта'!$B$19,Расходка[[#This Row],[Наименование расходного материала]])),MAX($K$1:K48)+1,0)</f>
        <v>48</v>
      </c>
      <c r="L49" s="116">
        <f>IF(ISNUMBER(SEARCH('Карта учёта'!$B$20,Расходка[[#This Row],[Наименование расходного материала]])),MAX($L$1:L48)+1,0)</f>
        <v>48</v>
      </c>
      <c r="M49" s="116">
        <f>IF(ISNUMBER(SEARCH('Карта учёта'!$B$21,Расходка[[#This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DES, Resolute Integtity</v>
      </c>
      <c r="Y49" s="115" t="str">
        <f>IFERROR(INDEX(Расходка[Наименование расходного материала],MATCH(Расходка[[#This Row],[№]],Поиск_расходки[Индекс8],0)),"")</f>
        <v>DES, Resolute Integtity</v>
      </c>
      <c r="Z49" s="115" t="str">
        <f>IFERROR(INDEX(Расходка[Наименование расходного материала],MATCH(Расходка[[#This Row],[№]],Поиск_расходки[Индекс9],0)),"")</f>
        <v>DES, Resolute Integtity</v>
      </c>
      <c r="AA49" s="115" t="str">
        <f>IFERROR(INDEX(Расходка[Наименование расходного материала],MATCH(Расходка[[#This Row],[№]],Поиск_расходки[Индекс10],0)),"")</f>
        <v>DES, Resolute Integtity</v>
      </c>
      <c r="AB49" s="115" t="str">
        <f>IFERROR(INDEX(Расходка[Наименование расходного материала],MATCH(Расходка[[#This Row],[№]],Поиск_расходки[Индекс11],0)),"")</f>
        <v>DES, Resolute Integtity</v>
      </c>
      <c r="AC49" s="115" t="str">
        <f>IFERROR(INDEX(Расходка[Наименование расходного материала],MATCH(Расходка[[#This Row],[№]],Поиск_расходки[Индекс12],0)),"")</f>
        <v>DES, Resolute Integtity</v>
      </c>
      <c r="AD49" s="115" t="str">
        <f>IFERROR(INDEX(Расходка[Наименование расходного материала],MATCH(Расходка[[#This Row],[№]],Поиск_расходки[Индекс13],0)),"")</f>
        <v>DES, Resolute Integtity</v>
      </c>
      <c r="AF49" s="4" t="s">
        <v>6</v>
      </c>
      <c r="AG49" s="4" t="s">
        <v>445</v>
      </c>
    </row>
    <row r="50" spans="1:33" x14ac:dyDescent="0.25">
      <c r="A50">
        <v>49</v>
      </c>
      <c r="B50" t="s">
        <v>6</v>
      </c>
      <c r="C50" t="s">
        <v>357</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учёта'!$B$17,Расходка[[#This Row],[Наименование расходного материала]])),MAX($I$1:I49)+1,0)</f>
        <v>0</v>
      </c>
      <c r="J50" s="116">
        <f>IF(ISNUMBER(SEARCH('Карта учёта'!$B$18,Расходка[[#This Row],[Наименование расходного материала]])),MAX($J$1:J49)+1,0)</f>
        <v>0</v>
      </c>
      <c r="K50" s="116">
        <f>IF(ISNUMBER(SEARCH('Карта учёта'!$B$19,Расходка[[#This Row],[Наименование расходного материала]])),MAX($K$1:K49)+1,0)</f>
        <v>49</v>
      </c>
      <c r="L50" s="116">
        <f>IF(ISNUMBER(SEARCH('Карта учёта'!$B$20,Расходка[[#This Row],[Наименование расходного материала]])),MAX($L$1:L49)+1,0)</f>
        <v>49</v>
      </c>
      <c r="M50" s="116">
        <f>IF(ISNUMBER(SEARCH('Карта учёта'!$B$21,Расходка[[#This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DES, Yukon Chrome PC</v>
      </c>
      <c r="Y50" s="115" t="str">
        <f>IFERROR(INDEX(Расходка[Наименование расходного материала],MATCH(Расходка[[#This Row],[№]],Поиск_расходки[Индекс8],0)),"")</f>
        <v>DES, Yukon Chrome PC</v>
      </c>
      <c r="Z50" s="115" t="str">
        <f>IFERROR(INDEX(Расходка[Наименование расходного материала],MATCH(Расходка[[#This Row],[№]],Поиск_расходки[Индекс9],0)),"")</f>
        <v>DES, Yukon Chrome PC</v>
      </c>
      <c r="AA50" s="115" t="str">
        <f>IFERROR(INDEX(Расходка[Наименование расходного материала],MATCH(Расходка[[#This Row],[№]],Поиск_расходки[Индекс10],0)),"")</f>
        <v>DES, Yukon Chrome PC</v>
      </c>
      <c r="AB50" s="115" t="str">
        <f>IFERROR(INDEX(Расходка[Наименование расходного материала],MATCH(Расходка[[#This Row],[№]],Поиск_расходки[Индекс11],0)),"")</f>
        <v>DES, Yukon Chrome PC</v>
      </c>
      <c r="AC50" s="115" t="str">
        <f>IFERROR(INDEX(Расходка[Наименование расходного материала],MATCH(Расходка[[#This Row],[№]],Поиск_расходки[Индекс12],0)),"")</f>
        <v>DES, Yukon Chrome PC</v>
      </c>
      <c r="AD50" s="115" t="str">
        <f>IFERROR(INDEX(Расходка[Наименование расходного материала],MATCH(Расходка[[#This Row],[№]],Поиск_расходки[Индекс13],0)),"")</f>
        <v>DES, Yukon Chrome PC</v>
      </c>
      <c r="AF50" s="4" t="s">
        <v>6</v>
      </c>
      <c r="AG50" s="4" t="s">
        <v>446</v>
      </c>
    </row>
    <row r="51" spans="1:33" x14ac:dyDescent="0.25">
      <c r="A51">
        <v>50</v>
      </c>
      <c r="B51" t="s">
        <v>6</v>
      </c>
      <c r="C51" s="162" t="s">
        <v>388</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учёта'!$B$17,Расходка[[#This Row],[Наименование расходного материала]])),MAX($I$1:I50)+1,0)</f>
        <v>0</v>
      </c>
      <c r="J51" s="116">
        <f>IF(ISNUMBER(SEARCH('Карта учёта'!$B$18,Расходка[[#This Row],[Наименование расходного материала]])),MAX($J$1:J50)+1,0)</f>
        <v>0</v>
      </c>
      <c r="K51" s="116">
        <f>IF(ISNUMBER(SEARCH('Карта учёта'!$B$19,Расходка[[#This Row],[Наименование расходного материала]])),MAX($K$1:K50)+1,0)</f>
        <v>50</v>
      </c>
      <c r="L51" s="116">
        <f>IF(ISNUMBER(SEARCH('Карта учёта'!$B$20,Расходка[[#This Row],[Наименование расходного материала]])),MAX($L$1:L50)+1,0)</f>
        <v>50</v>
      </c>
      <c r="M51" s="116">
        <f>IF(ISNUMBER(SEARCH('Карта учёта'!$B$21,Расходка[[#This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DES, Firehawk</v>
      </c>
      <c r="Y51" s="115" t="str">
        <f>IFERROR(INDEX(Расходка[Наименование расходного материала],MATCH(Расходка[[#This Row],[№]],Поиск_расходки[Индекс8],0)),"")</f>
        <v>DES, Firehawk</v>
      </c>
      <c r="Z51" s="115" t="str">
        <f>IFERROR(INDEX(Расходка[Наименование расходного материала],MATCH(Расходка[[#This Row],[№]],Поиск_расходки[Индекс9],0)),"")</f>
        <v>DES, Firehawk</v>
      </c>
      <c r="AA51" s="115" t="str">
        <f>IFERROR(INDEX(Расходка[Наименование расходного материала],MATCH(Расходка[[#This Row],[№]],Поиск_расходки[Индекс10],0)),"")</f>
        <v>DES, Firehawk</v>
      </c>
      <c r="AB51" s="115" t="str">
        <f>IFERROR(INDEX(Расходка[Наименование расходного материала],MATCH(Расходка[[#This Row],[№]],Поиск_расходки[Индекс11],0)),"")</f>
        <v>DES, Firehawk</v>
      </c>
      <c r="AC51" s="115" t="str">
        <f>IFERROR(INDEX(Расходка[Наименование расходного материала],MATCH(Расходка[[#This Row],[№]],Поиск_расходки[Индекс12],0)),"")</f>
        <v>DES, Firehawk</v>
      </c>
      <c r="AD51" s="115" t="str">
        <f>IFERROR(INDEX(Расходка[Наименование расходного материала],MATCH(Расходка[[#This Row],[№]],Поиск_расходки[Индекс13],0)),"")</f>
        <v>DES, Firehawk</v>
      </c>
      <c r="AF51" s="4" t="s">
        <v>6</v>
      </c>
      <c r="AG51" s="4" t="s">
        <v>447</v>
      </c>
    </row>
    <row r="52" spans="1:33" x14ac:dyDescent="0.25">
      <c r="A52">
        <v>51</v>
      </c>
      <c r="B52" t="s">
        <v>6</v>
      </c>
      <c r="C52" t="s">
        <v>387</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учёта'!$B$17,Расходка[[#This Row],[Наименование расходного материала]])),MAX($I$1:I51)+1,0)</f>
        <v>0</v>
      </c>
      <c r="J52" s="116">
        <f>IF(ISNUMBER(SEARCH('Карта учёта'!$B$18,Расходка[[#This Row],[Наименование расходного материала]])),MAX($J$1:J51)+1,0)</f>
        <v>0</v>
      </c>
      <c r="K52" s="116">
        <f>IF(ISNUMBER(SEARCH('Карта учёта'!$B$19,Расходка[[#This Row],[Наименование расходного материала]])),MAX($K$1:K51)+1,0)</f>
        <v>51</v>
      </c>
      <c r="L52" s="116">
        <f>IF(ISNUMBER(SEARCH('Карта учёта'!$B$20,Расходка[[#This Row],[Наименование расходного материала]])),MAX($L$1:L51)+1,0)</f>
        <v>51</v>
      </c>
      <c r="M52" s="116">
        <f>IF(ISNUMBER(SEARCH('Карта учёта'!$B$21,Расходка[[#This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DES, Resolute Onyx</v>
      </c>
      <c r="Y52" s="115" t="str">
        <f>IFERROR(INDEX(Расходка[Наименование расходного материала],MATCH(Расходка[[#This Row],[№]],Поиск_расходки[Индекс8],0)),"")</f>
        <v>DES, Resolute Onyx</v>
      </c>
      <c r="Z52" s="115" t="str">
        <f>IFERROR(INDEX(Расходка[Наименование расходного материала],MATCH(Расходка[[#This Row],[№]],Поиск_расходки[Индекс9],0)),"")</f>
        <v>DES, Resolute Onyx</v>
      </c>
      <c r="AA52" s="115" t="str">
        <f>IFERROR(INDEX(Расходка[Наименование расходного материала],MATCH(Расходка[[#This Row],[№]],Поиск_расходки[Индекс10],0)),"")</f>
        <v>DES, Resolute Onyx</v>
      </c>
      <c r="AB52" s="115" t="str">
        <f>IFERROR(INDEX(Расходка[Наименование расходного материала],MATCH(Расходка[[#This Row],[№]],Поиск_расходки[Индекс11],0)),"")</f>
        <v>DES, Resolute Onyx</v>
      </c>
      <c r="AC52" s="115" t="str">
        <f>IFERROR(INDEX(Расходка[Наименование расходного материала],MATCH(Расходка[[#This Row],[№]],Поиск_расходки[Индекс12],0)),"")</f>
        <v>DES, Resolute Onyx</v>
      </c>
      <c r="AD52" s="115" t="str">
        <f>IFERROR(INDEX(Расходка[Наименование расходного материала],MATCH(Расходка[[#This Row],[№]],Поиск_расходки[Индекс13],0)),"")</f>
        <v>DES, Resolute Onyx</v>
      </c>
      <c r="AF52" s="4" t="s">
        <v>6</v>
      </c>
      <c r="AG52" s="4" t="s">
        <v>448</v>
      </c>
    </row>
    <row r="53" spans="1:33" x14ac:dyDescent="0.25">
      <c r="A53">
        <v>52</v>
      </c>
      <c r="B53" t="s">
        <v>95</v>
      </c>
      <c r="C53" s="1" t="s">
        <v>324</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учёта'!$B$17,Расходка[[#This Row],[Наименование расходного материала]])),MAX($I$1:I52)+1,0)</f>
        <v>0</v>
      </c>
      <c r="J53" s="116">
        <f>IF(ISNUMBER(SEARCH('Карта учёта'!$B$18,Расходка[[#This Row],[Наименование расходного материала]])),MAX($J$1:J52)+1,0)</f>
        <v>0</v>
      </c>
      <c r="K53" s="116">
        <f>IF(ISNUMBER(SEARCH('Карта учёта'!$B$19,Расходка[[#This Row],[Наименование расходного материала]])),MAX($K$1:K52)+1,0)</f>
        <v>52</v>
      </c>
      <c r="L53" s="116">
        <f>IF(ISNUMBER(SEARCH('Карта учёта'!$B$20,Расходка[[#This Row],[Наименование расходного материала]])),MAX($L$1:L52)+1,0)</f>
        <v>52</v>
      </c>
      <c r="M53" s="116">
        <f>IF(ISNUMBER(SEARCH('Карта учёта'!$B$21,Расходка[[#This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Guidezilla™ II 6F</v>
      </c>
      <c r="Y53" s="115" t="str">
        <f>IFERROR(INDEX(Расходка[Наименование расходного материала],MATCH(Расходка[[#This Row],[№]],Поиск_расходки[Индекс8],0)),"")</f>
        <v>Guidezilla™ II 6F</v>
      </c>
      <c r="Z53" s="115" t="str">
        <f>IFERROR(INDEX(Расходка[Наименование расходного материала],MATCH(Расходка[[#This Row],[№]],Поиск_расходки[Индекс9],0)),"")</f>
        <v>Guidezilla™ II 6F</v>
      </c>
      <c r="AA53" s="115" t="str">
        <f>IFERROR(INDEX(Расходка[Наименование расходного материала],MATCH(Расходка[[#This Row],[№]],Поиск_расходки[Индекс10],0)),"")</f>
        <v>Guidezilla™ II 6F</v>
      </c>
      <c r="AB53" s="115" t="str">
        <f>IFERROR(INDEX(Расходка[Наименование расходного материала],MATCH(Расходка[[#This Row],[№]],Поиск_расходки[Индекс11],0)),"")</f>
        <v>Guidezilla™ II 6F</v>
      </c>
      <c r="AC53" s="115" t="str">
        <f>IFERROR(INDEX(Расходка[Наименование расходного материала],MATCH(Расходка[[#This Row],[№]],Поиск_расходки[Индекс12],0)),"")</f>
        <v>Guidezilla™ II 6F</v>
      </c>
      <c r="AD53" s="115" t="str">
        <f>IFERROR(INDEX(Расходка[Наименование расходного материала],MATCH(Расходка[[#This Row],[№]],Поиск_расходки[Индекс13],0)),"")</f>
        <v>Guidezilla™ II 6F</v>
      </c>
      <c r="AF53" s="4" t="s">
        <v>6</v>
      </c>
      <c r="AG53" s="4" t="s">
        <v>449</v>
      </c>
    </row>
    <row r="54" spans="1:33" x14ac:dyDescent="0.25">
      <c r="A54">
        <v>53</v>
      </c>
      <c r="B54" t="s">
        <v>95</v>
      </c>
      <c r="C54" s="1" t="s">
        <v>343</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учёта'!$B$17,Расходка[[#This Row],[Наименование расходного материала]])),MAX($I$1:I53)+1,0)</f>
        <v>0</v>
      </c>
      <c r="J54" s="116">
        <f>IF(ISNUMBER(SEARCH('Карта учёта'!$B$18,Расходка[[#This Row],[Наименование расходного материала]])),MAX($J$1:J53)+1,0)</f>
        <v>0</v>
      </c>
      <c r="K54" s="116">
        <f>IF(ISNUMBER(SEARCH('Карта учёта'!$B$19,Расходка[[#This Row],[Наименование расходного материала]])),MAX($K$1:K53)+1,0)</f>
        <v>53</v>
      </c>
      <c r="L54" s="116">
        <f>IF(ISNUMBER(SEARCH('Карта учёта'!$B$20,Расходка[[#This Row],[Наименование расходного материала]])),MAX($L$1:L53)+1,0)</f>
        <v>53</v>
      </c>
      <c r="M54" s="116">
        <f>IF(ISNUMBER(SEARCH('Карта учёта'!$B$21,Расходка[[#This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Telescope ™ II 6F</v>
      </c>
      <c r="Y54" s="115" t="str">
        <f>IFERROR(INDEX(Расходка[Наименование расходного материала],MATCH(Расходка[[#This Row],[№]],Поиск_расходки[Индекс8],0)),"")</f>
        <v>Telescope ™ II 6F</v>
      </c>
      <c r="Z54" s="115" t="str">
        <f>IFERROR(INDEX(Расходка[Наименование расходного материала],MATCH(Расходка[[#This Row],[№]],Поиск_расходки[Индекс9],0)),"")</f>
        <v>Telescope ™ II 6F</v>
      </c>
      <c r="AA54" s="115" t="str">
        <f>IFERROR(INDEX(Расходка[Наименование расходного материала],MATCH(Расходка[[#This Row],[№]],Поиск_расходки[Индекс10],0)),"")</f>
        <v>Telescope ™ II 6F</v>
      </c>
      <c r="AB54" s="115" t="str">
        <f>IFERROR(INDEX(Расходка[Наименование расходного материала],MATCH(Расходка[[#This Row],[№]],Поиск_расходки[Индекс11],0)),"")</f>
        <v>Telescope ™ II 6F</v>
      </c>
      <c r="AC54" s="115" t="str">
        <f>IFERROR(INDEX(Расходка[Наименование расходного материала],MATCH(Расходка[[#This Row],[№]],Поиск_расходки[Индекс12],0)),"")</f>
        <v>Telescope ™ II 6F</v>
      </c>
      <c r="AD54" s="115" t="str">
        <f>IFERROR(INDEX(Расходка[Наименование расходного материала],MATCH(Расходка[[#This Row],[№]],Поиск_расходки[Индекс13],0)),"")</f>
        <v>Telescope ™ II 6F</v>
      </c>
      <c r="AF54" s="4" t="s">
        <v>6</v>
      </c>
      <c r="AG54" s="4" t="s">
        <v>450</v>
      </c>
    </row>
    <row r="55" spans="1:33" x14ac:dyDescent="0.25">
      <c r="A55">
        <v>54</v>
      </c>
      <c r="B55" t="s">
        <v>4</v>
      </c>
      <c r="C55" t="s">
        <v>350</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учёта'!$B$17,Расходка[[#This Row],[Наименование расходного материала]])),MAX($I$1:I54)+1,0)</f>
        <v>0</v>
      </c>
      <c r="J55" s="116">
        <f>IF(ISNUMBER(SEARCH('Карта учёта'!$B$18,Расходка[[#This Row],[Наименование расходного материала]])),MAX($J$1:J54)+1,0)</f>
        <v>0</v>
      </c>
      <c r="K55" s="116">
        <f>IF(ISNUMBER(SEARCH('Карта учёта'!$B$19,Расходка[[#This Row],[Наименование расходного материала]])),MAX($K$1:K54)+1,0)</f>
        <v>54</v>
      </c>
      <c r="L55" s="116">
        <f>IF(ISNUMBER(SEARCH('Карта учёта'!$B$20,Расходка[[#This Row],[Наименование расходного материала]])),MAX($L$1:L54)+1,0)</f>
        <v>54</v>
      </c>
      <c r="M55" s="116">
        <f>IF(ISNUMBER(SEARCH('Карта учёта'!$B$21,Расходка[[#This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Launcher 6F AL 1</v>
      </c>
      <c r="Y55" s="115" t="str">
        <f>IFERROR(INDEX(Расходка[Наименование расходного материала],MATCH(Расходка[[#This Row],[№]],Поиск_расходки[Индекс8],0)),"")</f>
        <v>Launcher 6F AL 1</v>
      </c>
      <c r="Z55" s="115" t="str">
        <f>IFERROR(INDEX(Расходка[Наименование расходного материала],MATCH(Расходка[[#This Row],[№]],Поиск_расходки[Индекс9],0)),"")</f>
        <v>Launcher 6F AL 1</v>
      </c>
      <c r="AA55" s="115" t="str">
        <f>IFERROR(INDEX(Расходка[Наименование расходного материала],MATCH(Расходка[[#This Row],[№]],Поиск_расходки[Индекс10],0)),"")</f>
        <v>Launcher 6F AL 1</v>
      </c>
      <c r="AB55" s="115" t="str">
        <f>IFERROR(INDEX(Расходка[Наименование расходного материала],MATCH(Расходка[[#This Row],[№]],Поиск_расходки[Индекс11],0)),"")</f>
        <v>Launcher 6F AL 1</v>
      </c>
      <c r="AC55" s="115" t="str">
        <f>IFERROR(INDEX(Расходка[Наименование расходного материала],MATCH(Расходка[[#This Row],[№]],Поиск_расходки[Индекс12],0)),"")</f>
        <v>Launcher 6F AL 1</v>
      </c>
      <c r="AD55" s="115" t="str">
        <f>IFERROR(INDEX(Расходка[Наименование расходного материала],MATCH(Расходка[[#This Row],[№]],Поиск_расходки[Индекс13],0)),"")</f>
        <v>Launcher 6F AL 1</v>
      </c>
      <c r="AF55" s="4" t="s">
        <v>6</v>
      </c>
      <c r="AG55" s="4" t="s">
        <v>451</v>
      </c>
    </row>
    <row r="56" spans="1:33" x14ac:dyDescent="0.25">
      <c r="A56">
        <v>55</v>
      </c>
      <c r="B56" t="s">
        <v>4</v>
      </c>
      <c r="C56" t="s">
        <v>351</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0</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учёта'!$B$17,Расходка[[#This Row],[Наименование расходного материала]])),MAX($I$1:I55)+1,0)</f>
        <v>0</v>
      </c>
      <c r="J56" s="116">
        <f>IF(ISNUMBER(SEARCH('Карта учёта'!$B$18,Расходка[[#This Row],[Наименование расходного материала]])),MAX($J$1:J55)+1,0)</f>
        <v>0</v>
      </c>
      <c r="K56" s="116">
        <f>IF(ISNUMBER(SEARCH('Карта учёта'!$B$19,Расходка[[#This Row],[Наименование расходного материала]])),MAX($K$1:K55)+1,0)</f>
        <v>55</v>
      </c>
      <c r="L56" s="116">
        <f>IF(ISNUMBER(SEARCH('Карта учёта'!$B$20,Расходка[[#This Row],[Наименование расходного материала]])),MAX($L$1:L55)+1,0)</f>
        <v>55</v>
      </c>
      <c r="M56" s="116">
        <f>IF(ISNUMBER(SEARCH('Карта учёта'!$B$21,Расходка[[#This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Launcher 6F AL 2</v>
      </c>
      <c r="Y56" s="115" t="str">
        <f>IFERROR(INDEX(Расходка[Наименование расходного материала],MATCH(Расходка[[#This Row],[№]],Поиск_расходки[Индекс8],0)),"")</f>
        <v>Launcher 6F AL 2</v>
      </c>
      <c r="Z56" s="115" t="str">
        <f>IFERROR(INDEX(Расходка[Наименование расходного материала],MATCH(Расходка[[#This Row],[№]],Поиск_расходки[Индекс9],0)),"")</f>
        <v>Launcher 6F AL 2</v>
      </c>
      <c r="AA56" s="115" t="str">
        <f>IFERROR(INDEX(Расходка[Наименование расходного материала],MATCH(Расходка[[#This Row],[№]],Поиск_расходки[Индекс10],0)),"")</f>
        <v>Launcher 6F AL 2</v>
      </c>
      <c r="AB56" s="115" t="str">
        <f>IFERROR(INDEX(Расходка[Наименование расходного материала],MATCH(Расходка[[#This Row],[№]],Поиск_расходки[Индекс11],0)),"")</f>
        <v>Launcher 6F AL 2</v>
      </c>
      <c r="AC56" s="115" t="str">
        <f>IFERROR(INDEX(Расходка[Наименование расходного материала],MATCH(Расходка[[#This Row],[№]],Поиск_расходки[Индекс12],0)),"")</f>
        <v>Launcher 6F AL 2</v>
      </c>
      <c r="AD56" s="115" t="str">
        <f>IFERROR(INDEX(Расходка[Наименование расходного материала],MATCH(Расходка[[#This Row],[№]],Поиск_расходки[Индекс13],0)),"")</f>
        <v>Launcher 6F AL 2</v>
      </c>
      <c r="AF56" s="4" t="s">
        <v>6</v>
      </c>
      <c r="AG56" s="4" t="s">
        <v>452</v>
      </c>
    </row>
    <row r="57" spans="1:33" x14ac:dyDescent="0.25">
      <c r="A57">
        <v>56</v>
      </c>
      <c r="B57" t="s">
        <v>4</v>
      </c>
      <c r="C57" t="s">
        <v>325</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учёта'!$B$17,Расходка[[#This Row],[Наименование расходного материала]])),MAX($I$1:I56)+1,0)</f>
        <v>0</v>
      </c>
      <c r="J57" s="116">
        <f>IF(ISNUMBER(SEARCH('Карта учёта'!$B$18,Расходка[[#This Row],[Наименование расходного материала]])),MAX($J$1:J56)+1,0)</f>
        <v>0</v>
      </c>
      <c r="K57" s="116">
        <f>IF(ISNUMBER(SEARCH('Карта учёта'!$B$19,Расходка[[#This Row],[Наименование расходного материала]])),MAX($K$1:K56)+1,0)</f>
        <v>56</v>
      </c>
      <c r="L57" s="116">
        <f>IF(ISNUMBER(SEARCH('Карта учёта'!$B$20,Расходка[[#This Row],[Наименование расходного материала]])),MAX($L$1:L56)+1,0)</f>
        <v>56</v>
      </c>
      <c r="M57" s="116">
        <f>IF(ISNUMBER(SEARCH('Карта учёта'!$B$21,Расходка[[#This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Launcher 6F EBU 3.5</v>
      </c>
      <c r="Y57" s="115" t="str">
        <f>IFERROR(INDEX(Расходка[Наименование расходного материала],MATCH(Расходка[[#This Row],[№]],Поиск_расходки[Индекс8],0)),"")</f>
        <v>Launcher 6F EBU 3.5</v>
      </c>
      <c r="Z57" s="115" t="str">
        <f>IFERROR(INDEX(Расходка[Наименование расходного материала],MATCH(Расходка[[#This Row],[№]],Поиск_расходки[Индекс9],0)),"")</f>
        <v>Launcher 6F EBU 3.5</v>
      </c>
      <c r="AA57" s="115" t="str">
        <f>IFERROR(INDEX(Расходка[Наименование расходного материала],MATCH(Расходка[[#This Row],[№]],Поиск_расходки[Индекс10],0)),"")</f>
        <v>Launcher 6F EBU 3.5</v>
      </c>
      <c r="AB57" s="115" t="str">
        <f>IFERROR(INDEX(Расходка[Наименование расходного материала],MATCH(Расходка[[#This Row],[№]],Поиск_расходки[Индекс11],0)),"")</f>
        <v>Launcher 6F EBU 3.5</v>
      </c>
      <c r="AC57" s="115" t="str">
        <f>IFERROR(INDEX(Расходка[Наименование расходного материала],MATCH(Расходка[[#This Row],[№]],Поиск_расходки[Индекс12],0)),"")</f>
        <v>Launcher 6F EBU 3.5</v>
      </c>
      <c r="AD57" s="115" t="str">
        <f>IFERROR(INDEX(Расходка[Наименование расходного материала],MATCH(Расходка[[#This Row],[№]],Поиск_расходки[Индекс13],0)),"")</f>
        <v>Launcher 6F EBU 3.5</v>
      </c>
      <c r="AF57" s="4" t="s">
        <v>6</v>
      </c>
      <c r="AG57" s="4" t="s">
        <v>453</v>
      </c>
    </row>
    <row r="58" spans="1:33" x14ac:dyDescent="0.25">
      <c r="A58">
        <v>57</v>
      </c>
      <c r="B58" t="s">
        <v>4</v>
      </c>
      <c r="C58" t="s">
        <v>326</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учёта'!$B$17,Расходка[[#This Row],[Наименование расходного материала]])),MAX($I$1:I57)+1,0)</f>
        <v>0</v>
      </c>
      <c r="J58" s="116">
        <f>IF(ISNUMBER(SEARCH('Карта учёта'!$B$18,Расходка[[#This Row],[Наименование расходного материала]])),MAX($J$1:J57)+1,0)</f>
        <v>0</v>
      </c>
      <c r="K58" s="116">
        <f>IF(ISNUMBER(SEARCH('Карта учёта'!$B$19,Расходка[[#This Row],[Наименование расходного материала]])),MAX($K$1:K57)+1,0)</f>
        <v>57</v>
      </c>
      <c r="L58" s="116">
        <f>IF(ISNUMBER(SEARCH('Карта учёта'!$B$20,Расходка[[#This Row],[Наименование расходного материала]])),MAX($L$1:L57)+1,0)</f>
        <v>57</v>
      </c>
      <c r="M58" s="116">
        <f>IF(ISNUMBER(SEARCH('Карта учёта'!$B$21,Расходка[[#This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Launcher 6F EBU 4.0</v>
      </c>
      <c r="Y58" s="115" t="str">
        <f>IFERROR(INDEX(Расходка[Наименование расходного материала],MATCH(Расходка[[#This Row],[№]],Поиск_расходки[Индекс8],0)),"")</f>
        <v>Launcher 6F EBU 4.0</v>
      </c>
      <c r="Z58" s="115" t="str">
        <f>IFERROR(INDEX(Расходка[Наименование расходного материала],MATCH(Расходка[[#This Row],[№]],Поиск_расходки[Индекс9],0)),"")</f>
        <v>Launcher 6F EBU 4.0</v>
      </c>
      <c r="AA58" s="115" t="str">
        <f>IFERROR(INDEX(Расходка[Наименование расходного материала],MATCH(Расходка[[#This Row],[№]],Поиск_расходки[Индекс10],0)),"")</f>
        <v>Launcher 6F EBU 4.0</v>
      </c>
      <c r="AB58" s="115" t="str">
        <f>IFERROR(INDEX(Расходка[Наименование расходного материала],MATCH(Расходка[[#This Row],[№]],Поиск_расходки[Индекс11],0)),"")</f>
        <v>Launcher 6F EBU 4.0</v>
      </c>
      <c r="AC58" s="115" t="str">
        <f>IFERROR(INDEX(Расходка[Наименование расходного материала],MATCH(Расходка[[#This Row],[№]],Поиск_расходки[Индекс12],0)),"")</f>
        <v>Launcher 6F EBU 4.0</v>
      </c>
      <c r="AD58" s="115" t="str">
        <f>IFERROR(INDEX(Расходка[Наименование расходного материала],MATCH(Расходка[[#This Row],[№]],Поиск_расходки[Индекс13],0)),"")</f>
        <v>Launcher 6F EBU 4.0</v>
      </c>
      <c r="AF58" s="4" t="s">
        <v>6</v>
      </c>
      <c r="AG58" s="4" t="s">
        <v>454</v>
      </c>
    </row>
    <row r="59" spans="1:33" x14ac:dyDescent="0.25">
      <c r="A59">
        <v>58</v>
      </c>
      <c r="B59" t="s">
        <v>4</v>
      </c>
      <c r="C59" t="s">
        <v>327</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учёта'!$B$17,Расходка[[#This Row],[Наименование расходного материала]])),MAX($I$1:I58)+1,0)</f>
        <v>0</v>
      </c>
      <c r="J59" s="116">
        <f>IF(ISNUMBER(SEARCH('Карта учёта'!$B$18,Расходка[[#This Row],[Наименование расходного материала]])),MAX($J$1:J58)+1,0)</f>
        <v>0</v>
      </c>
      <c r="K59" s="116">
        <f>IF(ISNUMBER(SEARCH('Карта учёта'!$B$19,Расходка[[#This Row],[Наименование расходного материала]])),MAX($K$1:K58)+1,0)</f>
        <v>58</v>
      </c>
      <c r="L59" s="116">
        <f>IF(ISNUMBER(SEARCH('Карта учёта'!$B$20,Расходка[[#This Row],[Наименование расходного материала]])),MAX($L$1:L58)+1,0)</f>
        <v>58</v>
      </c>
      <c r="M59" s="116">
        <f>IF(ISNUMBER(SEARCH('Карта учёта'!$B$21,Расходка[[#This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Launcher 6F JL 3.5</v>
      </c>
      <c r="Y59" s="115" t="str">
        <f>IFERROR(INDEX(Расходка[Наименование расходного материала],MATCH(Расходка[[#This Row],[№]],Поиск_расходки[Индекс8],0)),"")</f>
        <v>Launcher 6F JL 3.5</v>
      </c>
      <c r="Z59" s="115" t="str">
        <f>IFERROR(INDEX(Расходка[Наименование расходного материала],MATCH(Расходка[[#This Row],[№]],Поиск_расходки[Индекс9],0)),"")</f>
        <v>Launcher 6F JL 3.5</v>
      </c>
      <c r="AA59" s="115" t="str">
        <f>IFERROR(INDEX(Расходка[Наименование расходного материала],MATCH(Расходка[[#This Row],[№]],Поиск_расходки[Индекс10],0)),"")</f>
        <v>Launcher 6F JL 3.5</v>
      </c>
      <c r="AB59" s="115" t="str">
        <f>IFERROR(INDEX(Расходка[Наименование расходного материала],MATCH(Расходка[[#This Row],[№]],Поиск_расходки[Индекс11],0)),"")</f>
        <v>Launcher 6F JL 3.5</v>
      </c>
      <c r="AC59" s="115" t="str">
        <f>IFERROR(INDEX(Расходка[Наименование расходного материала],MATCH(Расходка[[#This Row],[№]],Поиск_расходки[Индекс12],0)),"")</f>
        <v>Launcher 6F JL 3.5</v>
      </c>
      <c r="AD59" s="115" t="str">
        <f>IFERROR(INDEX(Расходка[Наименование расходного материала],MATCH(Расходка[[#This Row],[№]],Поиск_расходки[Индекс13],0)),"")</f>
        <v>Launcher 6F JL 3.5</v>
      </c>
      <c r="AF59" s="4" t="s">
        <v>6</v>
      </c>
      <c r="AG59" s="4" t="s">
        <v>455</v>
      </c>
    </row>
    <row r="60" spans="1:33" x14ac:dyDescent="0.25">
      <c r="A60">
        <v>59</v>
      </c>
      <c r="B60" t="s">
        <v>4</v>
      </c>
      <c r="C60" t="s">
        <v>328</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учёта'!$B$17,Расходка[[#This Row],[Наименование расходного материала]])),MAX($I$1:I59)+1,0)</f>
        <v>0</v>
      </c>
      <c r="J60" s="116">
        <f>IF(ISNUMBER(SEARCH('Карта учёта'!$B$18,Расходка[[#This Row],[Наименование расходного материала]])),MAX($J$1:J59)+1,0)</f>
        <v>0</v>
      </c>
      <c r="K60" s="116">
        <f>IF(ISNUMBER(SEARCH('Карта учёта'!$B$19,Расходка[[#This Row],[Наименование расходного материала]])),MAX($K$1:K59)+1,0)</f>
        <v>59</v>
      </c>
      <c r="L60" s="116">
        <f>IF(ISNUMBER(SEARCH('Карта учёта'!$B$20,Расходка[[#This Row],[Наименование расходного материала]])),MAX($L$1:L59)+1,0)</f>
        <v>59</v>
      </c>
      <c r="M60" s="116">
        <f>IF(ISNUMBER(SEARCH('Карта учёта'!$B$21,Расходка[[#This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Launcher 6F JL 4.0</v>
      </c>
      <c r="Y60" s="115" t="str">
        <f>IFERROR(INDEX(Расходка[Наименование расходного материала],MATCH(Расходка[[#This Row],[№]],Поиск_расходки[Индекс8],0)),"")</f>
        <v>Launcher 6F JL 4.0</v>
      </c>
      <c r="Z60" s="115" t="str">
        <f>IFERROR(INDEX(Расходка[Наименование расходного материала],MATCH(Расходка[[#This Row],[№]],Поиск_расходки[Индекс9],0)),"")</f>
        <v>Launcher 6F JL 4.0</v>
      </c>
      <c r="AA60" s="115" t="str">
        <f>IFERROR(INDEX(Расходка[Наименование расходного материала],MATCH(Расходка[[#This Row],[№]],Поиск_расходки[Индекс10],0)),"")</f>
        <v>Launcher 6F JL 4.0</v>
      </c>
      <c r="AB60" s="115" t="str">
        <f>IFERROR(INDEX(Расходка[Наименование расходного материала],MATCH(Расходка[[#This Row],[№]],Поиск_расходки[Индекс11],0)),"")</f>
        <v>Launcher 6F JL 4.0</v>
      </c>
      <c r="AC60" s="115" t="str">
        <f>IFERROR(INDEX(Расходка[Наименование расходного материала],MATCH(Расходка[[#This Row],[№]],Поиск_расходки[Индекс12],0)),"")</f>
        <v>Launcher 6F JL 4.0</v>
      </c>
      <c r="AD60" s="115" t="str">
        <f>IFERROR(INDEX(Расходка[Наименование расходного материала],MATCH(Расходка[[#This Row],[№]],Поиск_расходки[Индекс13],0)),"")</f>
        <v>Launcher 6F JL 4.0</v>
      </c>
      <c r="AF60" s="4" t="s">
        <v>6</v>
      </c>
      <c r="AG60" s="4" t="s">
        <v>456</v>
      </c>
    </row>
    <row r="61" spans="1:33" x14ac:dyDescent="0.25">
      <c r="A61">
        <v>60</v>
      </c>
      <c r="B61" t="s">
        <v>4</v>
      </c>
      <c r="C61" t="s">
        <v>334</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учёта'!$B$17,Расходка[[#This Row],[Наименование расходного материала]])),MAX($I$1:I60)+1,0)</f>
        <v>0</v>
      </c>
      <c r="J61" s="116">
        <f>IF(ISNUMBER(SEARCH('Карта учёта'!$B$18,Расходка[[#This Row],[Наименование расходного материала]])),MAX($J$1:J60)+1,0)</f>
        <v>0</v>
      </c>
      <c r="K61" s="116">
        <f>IF(ISNUMBER(SEARCH('Карта учёта'!$B$19,Расходка[[#This Row],[Наименование расходного материала]])),MAX($K$1:K60)+1,0)</f>
        <v>60</v>
      </c>
      <c r="L61" s="116">
        <f>IF(ISNUMBER(SEARCH('Карта учёта'!$B$20,Расходка[[#This Row],[Наименование расходного материала]])),MAX($L$1:L60)+1,0)</f>
        <v>60</v>
      </c>
      <c r="M61" s="116">
        <f>IF(ISNUMBER(SEARCH('Карта учёта'!$B$21,Расходка[[#This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Launcher 6F JL 4.5</v>
      </c>
      <c r="Y61" s="115" t="str">
        <f>IFERROR(INDEX(Расходка[Наименование расходного материала],MATCH(Расходка[[#This Row],[№]],Поиск_расходки[Индекс8],0)),"")</f>
        <v>Launcher 6F JL 4.5</v>
      </c>
      <c r="Z61" s="115" t="str">
        <f>IFERROR(INDEX(Расходка[Наименование расходного материала],MATCH(Расходка[[#This Row],[№]],Поиск_расходки[Индекс9],0)),"")</f>
        <v>Launcher 6F JL 4.5</v>
      </c>
      <c r="AA61" s="115" t="str">
        <f>IFERROR(INDEX(Расходка[Наименование расходного материала],MATCH(Расходка[[#This Row],[№]],Поиск_расходки[Индекс10],0)),"")</f>
        <v>Launcher 6F JL 4.5</v>
      </c>
      <c r="AB61" s="115" t="str">
        <f>IFERROR(INDEX(Расходка[Наименование расходного материала],MATCH(Расходка[[#This Row],[№]],Поиск_расходки[Индекс11],0)),"")</f>
        <v>Launcher 6F JL 4.5</v>
      </c>
      <c r="AC61" s="115" t="str">
        <f>IFERROR(INDEX(Расходка[Наименование расходного материала],MATCH(Расходка[[#This Row],[№]],Поиск_расходки[Индекс12],0)),"")</f>
        <v>Launcher 6F JL 4.5</v>
      </c>
      <c r="AD61" s="115" t="str">
        <f>IFERROR(INDEX(Расходка[Наименование расходного материала],MATCH(Расходка[[#This Row],[№]],Поиск_расходки[Индекс13],0)),"")</f>
        <v>Launcher 6F JL 4.5</v>
      </c>
      <c r="AF61" s="4" t="s">
        <v>6</v>
      </c>
      <c r="AG61" s="4" t="s">
        <v>417</v>
      </c>
    </row>
    <row r="62" spans="1:33" x14ac:dyDescent="0.25">
      <c r="A62">
        <v>61</v>
      </c>
      <c r="B62" t="s">
        <v>4</v>
      </c>
      <c r="C62" t="s">
        <v>329</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учёта'!$B$17,Расходка[[#This Row],[Наименование расходного материала]])),MAX($I$1:I61)+1,0)</f>
        <v>0</v>
      </c>
      <c r="J62" s="116">
        <f>IF(ISNUMBER(SEARCH('Карта учёта'!$B$18,Расходка[[#This Row],[Наименование расходного материала]])),MAX($J$1:J61)+1,0)</f>
        <v>0</v>
      </c>
      <c r="K62" s="116">
        <f>IF(ISNUMBER(SEARCH('Карта учёта'!$B$19,Расходка[[#This Row],[Наименование расходного материала]])),MAX($K$1:K61)+1,0)</f>
        <v>61</v>
      </c>
      <c r="L62" s="116">
        <f>IF(ISNUMBER(SEARCH('Карта учёта'!$B$20,Расходка[[#This Row],[Наименование расходного материала]])),MAX($L$1:L61)+1,0)</f>
        <v>61</v>
      </c>
      <c r="M62" s="116">
        <f>IF(ISNUMBER(SEARCH('Карта учёта'!$B$21,Расходка[[#This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Launcher 6F JR 3.5</v>
      </c>
      <c r="Y62" s="115" t="str">
        <f>IFERROR(INDEX(Расходка[Наименование расходного материала],MATCH(Расходка[[#This Row],[№]],Поиск_расходки[Индекс8],0)),"")</f>
        <v>Launcher 6F JR 3.5</v>
      </c>
      <c r="Z62" s="115" t="str">
        <f>IFERROR(INDEX(Расходка[Наименование расходного материала],MATCH(Расходка[[#This Row],[№]],Поиск_расходки[Индекс9],0)),"")</f>
        <v>Launcher 6F JR 3.5</v>
      </c>
      <c r="AA62" s="115" t="str">
        <f>IFERROR(INDEX(Расходка[Наименование расходного материала],MATCH(Расходка[[#This Row],[№]],Поиск_расходки[Индекс10],0)),"")</f>
        <v>Launcher 6F JR 3.5</v>
      </c>
      <c r="AB62" s="115" t="str">
        <f>IFERROR(INDEX(Расходка[Наименование расходного материала],MATCH(Расходка[[#This Row],[№]],Поиск_расходки[Индекс11],0)),"")</f>
        <v>Launcher 6F JR 3.5</v>
      </c>
      <c r="AC62" s="115" t="str">
        <f>IFERROR(INDEX(Расходка[Наименование расходного материала],MATCH(Расходка[[#This Row],[№]],Поиск_расходки[Индекс12],0)),"")</f>
        <v>Launcher 6F JR 3.5</v>
      </c>
      <c r="AD62" s="115" t="str">
        <f>IFERROR(INDEX(Расходка[Наименование расходного материала],MATCH(Расходка[[#This Row],[№]],Поиск_расходки[Индекс13],0)),"")</f>
        <v>Launcher 6F JR 3.5</v>
      </c>
      <c r="AF62" s="4" t="s">
        <v>6</v>
      </c>
      <c r="AG62" s="4" t="s">
        <v>457</v>
      </c>
    </row>
    <row r="63" spans="1:33" x14ac:dyDescent="0.25">
      <c r="A63">
        <v>62</v>
      </c>
      <c r="B63" t="s">
        <v>4</v>
      </c>
      <c r="C63" t="s">
        <v>330</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1</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учёта'!$B$17,Расходка[[#This Row],[Наименование расходного материала]])),MAX($I$1:I62)+1,0)</f>
        <v>0</v>
      </c>
      <c r="J63" s="116">
        <f>IF(ISNUMBER(SEARCH('Карта учёта'!$B$18,Расходка[[#This Row],[Наименование расходного материала]])),MAX($J$1:J62)+1,0)</f>
        <v>0</v>
      </c>
      <c r="K63" s="116">
        <f>IF(ISNUMBER(SEARCH('Карта учёта'!$B$19,Расходка[[#This Row],[Наименование расходного материала]])),MAX($K$1:K62)+1,0)</f>
        <v>62</v>
      </c>
      <c r="L63" s="116">
        <f>IF(ISNUMBER(SEARCH('Карта учёта'!$B$20,Расходка[[#This Row],[Наименование расходного материала]])),MAX($L$1:L62)+1,0)</f>
        <v>62</v>
      </c>
      <c r="M63" s="116">
        <f>IF(ISNUMBER(SEARCH('Карта учёта'!$B$21,Расходка[[#This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Launcher 6F JR 4.0</v>
      </c>
      <c r="Y63" s="115" t="str">
        <f>IFERROR(INDEX(Расходка[Наименование расходного материала],MATCH(Расходка[[#This Row],[№]],Поиск_расходки[Индекс8],0)),"")</f>
        <v>Launcher 6F JR 4.0</v>
      </c>
      <c r="Z63" s="115" t="str">
        <f>IFERROR(INDEX(Расходка[Наименование расходного материала],MATCH(Расходка[[#This Row],[№]],Поиск_расходки[Индекс9],0)),"")</f>
        <v>Launcher 6F JR 4.0</v>
      </c>
      <c r="AA63" s="115" t="str">
        <f>IFERROR(INDEX(Расходка[Наименование расходного материала],MATCH(Расходка[[#This Row],[№]],Поиск_расходки[Индекс10],0)),"")</f>
        <v>Launcher 6F JR 4.0</v>
      </c>
      <c r="AB63" s="115" t="str">
        <f>IFERROR(INDEX(Расходка[Наименование расходного материала],MATCH(Расходка[[#This Row],[№]],Поиск_расходки[Индекс11],0)),"")</f>
        <v>Launcher 6F JR 4.0</v>
      </c>
      <c r="AC63" s="115" t="str">
        <f>IFERROR(INDEX(Расходка[Наименование расходного материала],MATCH(Расходка[[#This Row],[№]],Поиск_расходки[Индекс12],0)),"")</f>
        <v>Launcher 6F JR 4.0</v>
      </c>
      <c r="AD63" s="115" t="str">
        <f>IFERROR(INDEX(Расходка[Наименование расходного материала],MATCH(Расходка[[#This Row],[№]],Поиск_расходки[Индекс13],0)),"")</f>
        <v>Launcher 6F JR 4.0</v>
      </c>
      <c r="AF63" s="4" t="s">
        <v>6</v>
      </c>
      <c r="AG63" s="4" t="s">
        <v>458</v>
      </c>
    </row>
    <row r="64" spans="1:33" x14ac:dyDescent="0.25">
      <c r="A64">
        <v>63</v>
      </c>
      <c r="B64" t="s">
        <v>4</v>
      </c>
      <c r="C64" t="s">
        <v>340</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учёта'!$B$17,Расходка[[#This Row],[Наименование расходного материала]])),MAX($I$1:I63)+1,0)</f>
        <v>0</v>
      </c>
      <c r="J64" s="116">
        <f>IF(ISNUMBER(SEARCH('Карта учёта'!$B$18,Расходка[[#This Row],[Наименование расходного материала]])),MAX($J$1:J63)+1,0)</f>
        <v>0</v>
      </c>
      <c r="K64" s="116">
        <f>IF(ISNUMBER(SEARCH('Карта учёта'!$B$19,Расходка[[#This Row],[Наименование расходного материала]])),MAX($K$1:K63)+1,0)</f>
        <v>63</v>
      </c>
      <c r="L64" s="116">
        <f>IF(ISNUMBER(SEARCH('Карта учёта'!$B$20,Расходка[[#This Row],[Наименование расходного материала]])),MAX($L$1:L63)+1,0)</f>
        <v>63</v>
      </c>
      <c r="M64" s="116">
        <f>IF(ISNUMBER(SEARCH('Карта учёта'!$B$21,Расходка[[#This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Launcher 7F JL 3.5</v>
      </c>
      <c r="Y64" s="115" t="str">
        <f>IFERROR(INDEX(Расходка[Наименование расходного материала],MATCH(Расходка[[#This Row],[№]],Поиск_расходки[Индекс8],0)),"")</f>
        <v>Launcher 7F JL 3.5</v>
      </c>
      <c r="Z64" s="115" t="str">
        <f>IFERROR(INDEX(Расходка[Наименование расходного материала],MATCH(Расходка[[#This Row],[№]],Поиск_расходки[Индекс9],0)),"")</f>
        <v>Launcher 7F JL 3.5</v>
      </c>
      <c r="AA64" s="115" t="str">
        <f>IFERROR(INDEX(Расходка[Наименование расходного материала],MATCH(Расходка[[#This Row],[№]],Поиск_расходки[Индекс10],0)),"")</f>
        <v>Launcher 7F JL 3.5</v>
      </c>
      <c r="AB64" s="115" t="str">
        <f>IFERROR(INDEX(Расходка[Наименование расходного материала],MATCH(Расходка[[#This Row],[№]],Поиск_расходки[Индекс11],0)),"")</f>
        <v>Launcher 7F JL 3.5</v>
      </c>
      <c r="AC64" s="115" t="str">
        <f>IFERROR(INDEX(Расходка[Наименование расходного материала],MATCH(Расходка[[#This Row],[№]],Поиск_расходки[Индекс12],0)),"")</f>
        <v>Launcher 7F JL 3.5</v>
      </c>
      <c r="AD64" s="115" t="str">
        <f>IFERROR(INDEX(Расходка[Наименование расходного материала],MATCH(Расходка[[#This Row],[№]],Поиск_расходки[Индекс13],0)),"")</f>
        <v>Launcher 7F JL 3.5</v>
      </c>
      <c r="AF64" s="4" t="s">
        <v>6</v>
      </c>
      <c r="AG64" s="4" t="s">
        <v>459</v>
      </c>
    </row>
    <row r="65" spans="1:33" x14ac:dyDescent="0.25">
      <c r="A65">
        <v>64</v>
      </c>
      <c r="B65" t="s">
        <v>4</v>
      </c>
      <c r="C65" t="s">
        <v>339</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учёта'!$B$17,Расходка[[#This Row],[Наименование расходного материала]])),MAX($I$1:I64)+1,0)</f>
        <v>0</v>
      </c>
      <c r="J65" s="116">
        <f>IF(ISNUMBER(SEARCH('Карта учёта'!$B$18,Расходка[[#This Row],[Наименование расходного материала]])),MAX($J$1:J64)+1,0)</f>
        <v>0</v>
      </c>
      <c r="K65" s="116">
        <f>IF(ISNUMBER(SEARCH('Карта учёта'!$B$19,Расходка[[#This Row],[Наименование расходного материала]])),MAX($K$1:K64)+1,0)</f>
        <v>64</v>
      </c>
      <c r="L65" s="116">
        <f>IF(ISNUMBER(SEARCH('Карта учёта'!$B$20,Расходка[[#This Row],[Наименование расходного материала]])),MAX($L$1:L64)+1,0)</f>
        <v>64</v>
      </c>
      <c r="M65" s="116">
        <f>IF(ISNUMBER(SEARCH('Карта учёта'!$B$21,Расходка[[#This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Launcher 7F JL 4.0</v>
      </c>
      <c r="Y65" s="115" t="str">
        <f>IFERROR(INDEX(Расходка[Наименование расходного материала],MATCH(Расходка[[#This Row],[№]],Поиск_расходки[Индекс8],0)),"")</f>
        <v>Launcher 7F JL 4.0</v>
      </c>
      <c r="Z65" s="115" t="str">
        <f>IFERROR(INDEX(Расходка[Наименование расходного материала],MATCH(Расходка[[#This Row],[№]],Поиск_расходки[Индекс9],0)),"")</f>
        <v>Launcher 7F JL 4.0</v>
      </c>
      <c r="AA65" s="115" t="str">
        <f>IFERROR(INDEX(Расходка[Наименование расходного материала],MATCH(Расходка[[#This Row],[№]],Поиск_расходки[Индекс10],0)),"")</f>
        <v>Launcher 7F JL 4.0</v>
      </c>
      <c r="AB65" s="115" t="str">
        <f>IFERROR(INDEX(Расходка[Наименование расходного материала],MATCH(Расходка[[#This Row],[№]],Поиск_расходки[Индекс11],0)),"")</f>
        <v>Launcher 7F JL 4.0</v>
      </c>
      <c r="AC65" s="115" t="str">
        <f>IFERROR(INDEX(Расходка[Наименование расходного материала],MATCH(Расходка[[#This Row],[№]],Поиск_расходки[Индекс12],0)),"")</f>
        <v>Launcher 7F JL 4.0</v>
      </c>
      <c r="AD65" s="115" t="str">
        <f>IFERROR(INDEX(Расходка[Наименование расходного материала],MATCH(Расходка[[#This Row],[№]],Поиск_расходки[Индекс13],0)),"")</f>
        <v>Launcher 7F JL 4.0</v>
      </c>
      <c r="AF65" s="4" t="s">
        <v>6</v>
      </c>
      <c r="AG65" s="4" t="s">
        <v>460</v>
      </c>
    </row>
    <row r="66" spans="1:33" x14ac:dyDescent="0.25">
      <c r="A66">
        <v>65</v>
      </c>
      <c r="B66" t="s">
        <v>301</v>
      </c>
      <c r="C66" s="1" t="s">
        <v>331</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учёта'!$B$17,Расходка[[#This Row],[Наименование расходного материала]])),MAX($I$1:I65)+1,0)</f>
        <v>0</v>
      </c>
      <c r="J66" s="116">
        <f>IF(ISNUMBER(SEARCH('Карта учёта'!$B$18,Расходка[[#This Row],[Наименование расходного материала]])),MAX($J$1:J65)+1,0)</f>
        <v>0</v>
      </c>
      <c r="K66" s="116">
        <f>IF(ISNUMBER(SEARCH('Карта учёта'!$B$19,Расходка[[#This Row],[Наименование расходного материала]])),MAX($K$1:K65)+1,0)</f>
        <v>65</v>
      </c>
      <c r="L66" s="116">
        <f>IF(ISNUMBER(SEARCH('Карта учёта'!$B$20,Расходка[[#This Row],[Наименование расходного материала]])),MAX($L$1:L65)+1,0)</f>
        <v>65</v>
      </c>
      <c r="M66" s="116">
        <f>IF(ISNUMBER(SEARCH('Карта учёта'!$B$21,Расходка[[#This Row],[Наименование расходного материала]])),MAX($M$1:M65)+1,0)</f>
        <v>65</v>
      </c>
      <c r="N66" s="116">
        <f>IF(ISNUMBER(SEARCH('Карта учёта'!$B$22,Расходка[[#This Row],[Наименование расходного материала]])),MAX($N$1:N65)+1,0)</f>
        <v>65</v>
      </c>
      <c r="O66" s="116">
        <f>IF(ISNUMBER(SEARCH('Карта учёта'!$B$23,Расходка[[#This Row],[Наименование расходного материала]])),MAX($O$1:O65)+1,0)</f>
        <v>65</v>
      </c>
      <c r="P66" s="116">
        <f>IF(ISNUMBER(SEARCH('Карта учёта'!$B$24,Расходка[[#This Row],[Наименование расходного материала]])),MAX($P$1:P65)+1,0)</f>
        <v>65</v>
      </c>
      <c r="Q66" s="116">
        <f>IF(ISNUMBER(SEARCH('Карта учёта'!$B$25,Расходка[[#This Row],[Наименование расходного материала]])),MAX($Q$1:Q65)+1,0)</f>
        <v>65</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Angio-Seal™ VIP</v>
      </c>
      <c r="Y66" s="115" t="str">
        <f>IFERROR(INDEX(Расходка[Наименование расходного материала],MATCH(Расходка[[#This Row],[№]],Поиск_расходки[Индекс8],0)),"")</f>
        <v>Angio-Seal™ VIP</v>
      </c>
      <c r="Z66" s="115" t="str">
        <f>IFERROR(INDEX(Расходка[Наименование расходного материала],MATCH(Расходка[[#This Row],[№]],Поиск_расходки[Индекс9],0)),"")</f>
        <v>Angio-Seal™ VIP</v>
      </c>
      <c r="AA66" s="115" t="str">
        <f>IFERROR(INDEX(Расходка[Наименование расходного материала],MATCH(Расходка[[#This Row],[№]],Поиск_расходки[Индекс10],0)),"")</f>
        <v>Angio-Seal™ VIP</v>
      </c>
      <c r="AB66" s="115" t="str">
        <f>IFERROR(INDEX(Расходка[Наименование расходного материала],MATCH(Расходка[[#This Row],[№]],Поиск_расходки[Индекс11],0)),"")</f>
        <v>Angio-Seal™ VIP</v>
      </c>
      <c r="AC66" s="115" t="str">
        <f>IFERROR(INDEX(Расходка[Наименование расходного материала],MATCH(Расходка[[#This Row],[№]],Поиск_расходки[Индекс12],0)),"")</f>
        <v>Angio-Seal™ VIP</v>
      </c>
      <c r="AD66" s="115" t="str">
        <f>IFERROR(INDEX(Расходка[Наименование расходного материала],MATCH(Расходка[[#This Row],[№]],Поиск_расходки[Индекс13],0)),"")</f>
        <v>Angio-Seal™ VIP</v>
      </c>
      <c r="AF66" s="4" t="s">
        <v>6</v>
      </c>
      <c r="AG66" s="4" t="s">
        <v>461</v>
      </c>
    </row>
    <row r="67" spans="1:33" x14ac:dyDescent="0.25">
      <c r="A67">
        <v>66</v>
      </c>
      <c r="E67" s="199">
        <f>IF(ISNUMBER(SEARCH('Карта учёта'!$B$13,Расходка[[#This Row],[Наименование расходного материала]])),MAX($E$1:E66)+1,0)</f>
        <v>0</v>
      </c>
      <c r="F67" s="199">
        <f>IF(ISNUMBER(SEARCH('Карта учёта'!$B$14,Расходка[[#This Row],[Наименование расходного материала]])),MAX($F$1:F66)+1,0)</f>
        <v>0</v>
      </c>
      <c r="G67" s="199">
        <f>IF(ISNUMBER(SEARCH('Карта учёта'!$B$15,Расходка[[#This Row],[Наименование расходного материала]])),MAX($G$1:G66)+1,0)</f>
        <v>0</v>
      </c>
      <c r="H67" s="199">
        <f>IF(ISNUMBER(SEARCH('Карта учёта'!$B$16,Расходка[[#This Row],[Наименование расходного материала]])),MAX($H$1:H66)+1,0)</f>
        <v>0</v>
      </c>
      <c r="I67" s="199">
        <f>IF(ISNUMBER(SEARCH('Карта учёта'!$B$17,Расходка[[#This Row],[Наименование расходного материала]])),MAX($I$1:I66)+1,0)</f>
        <v>0</v>
      </c>
      <c r="J67" s="199">
        <f>IF(ISNUMBER(SEARCH('Карта учёта'!$B$18,Расходка[[#This Row],[Наименование расходного материала]])),MAX($J$1:J66)+1,0)</f>
        <v>0</v>
      </c>
      <c r="K67" s="199">
        <f>IF(ISNUMBER(SEARCH('Карта учёта'!$B$19,Расходка[[#This Row],[Наименование расходного материала]])),MAX($K$1:K66)+1,0)</f>
        <v>0</v>
      </c>
      <c r="L67" s="199">
        <f>IF(ISNUMBER(SEARCH('Карта учёта'!$B$20,Расходка[[#This Row],[Наименование расходного материала]])),MAX($L$1:L66)+1,0)</f>
        <v>0</v>
      </c>
      <c r="M67" s="199">
        <f>IF(ISNUMBER(SEARCH('Карта учёта'!$B$21,Расходка[[#This Row],[Наименование расходного материала]])),MAX($M$1:M66)+1,0)</f>
        <v>0</v>
      </c>
      <c r="N67" s="199">
        <f>IF(ISNUMBER(SEARCH('Карта учёта'!$B$22,Расходка[[#This Row],[Наименование расходного материала]])),MAX($N$1:N66)+1,0)</f>
        <v>0</v>
      </c>
      <c r="O67" s="199">
        <f>IF(ISNUMBER(SEARCH('Карта учёта'!$B$23,Расходка[[#This Row],[Наименование расходного материала]])),MAX($O$1:O66)+1,0)</f>
        <v>0</v>
      </c>
      <c r="P67" s="199">
        <f>IF(ISNUMBER(SEARCH('Карта учёта'!$B$24,Расходка[[#This Row],[Наименование расходного материала]])),MAX($P$1:P66)+1,0)</f>
        <v>0</v>
      </c>
      <c r="Q67" s="199">
        <f>IF(ISNUMBER(SEARCH('Карта учёта'!$B$25,Расходка[[#This Row],[Наименование расходного материала]])),MAX($Q$1:Q66)+1,0)</f>
        <v>0</v>
      </c>
      <c r="R67" s="200" t="str">
        <f>IFERROR(INDEX(Расходка[Наименование расходного материала],MATCH(Расходка[[#This Row],[№]],Поиск_расходки[Индекс1],0)),"")</f>
        <v/>
      </c>
      <c r="S67" s="200" t="str">
        <f>IFERROR(INDEX(Расходка[Наименование расходного материала],MATCH(Расходка[[#This Row],[№]],Поиск_расходки[Индекс2],0)),"")</f>
        <v/>
      </c>
      <c r="T67" s="200" t="str">
        <f>IFERROR(INDEX(Расходка[Наименование расходного материала],MATCH(Расходка[[#This Row],[№]],Поиск_расходки[Индекс3],0)),"")</f>
        <v/>
      </c>
      <c r="U67" s="200" t="str">
        <f>IFERROR(INDEX(Расходка[Наименование расходного материала],MATCH(Расходка[[#This Row],[№]],Поиск_расходки[Индекс4],0)),"")</f>
        <v/>
      </c>
      <c r="V67" s="200" t="str">
        <f>IFERROR(INDEX(Расходка[Наименование расходного материала],MATCH(Расходка[[#This Row],[№]],Поиск_расходки[Индекс5],0)),"")</f>
        <v/>
      </c>
      <c r="W67" s="200" t="str">
        <f>IFERROR(INDEX(Расходка[Наименование расходного материала],MATCH(Расходка[[#This Row],[№]],Поиск_расходки[Индекс6],0)),"")</f>
        <v/>
      </c>
      <c r="X67" s="200" t="str">
        <f>IFERROR(INDEX(Расходка[Наименование расходного материала],MATCH(Расходка[[#This Row],[№]],Поиск_расходки[Индекс7],0)),"")</f>
        <v/>
      </c>
      <c r="Y67" s="200" t="str">
        <f>IFERROR(INDEX(Расходка[Наименование расходного материала],MATCH(Расходка[[#This Row],[№]],Поиск_расходки[Индекс8],0)),"")</f>
        <v/>
      </c>
      <c r="Z67" s="200" t="str">
        <f>IFERROR(INDEX(Расходка[Наименование расходного материала],MATCH(Расходка[[#This Row],[№]],Поиск_расходки[Индекс9],0)),"")</f>
        <v/>
      </c>
      <c r="AA67" s="200" t="str">
        <f>IFERROR(INDEX(Расходка[Наименование расходного материала],MATCH(Расходка[[#This Row],[№]],Поиск_расходки[Индекс10],0)),"")</f>
        <v/>
      </c>
      <c r="AB67" s="200" t="str">
        <f>IFERROR(INDEX(Расходка[Наименование расходного материала],MATCH(Расходка[[#This Row],[№]],Поиск_расходки[Индекс11],0)),"")</f>
        <v/>
      </c>
      <c r="AC67" s="200" t="str">
        <f>IFERROR(INDEX(Расходка[Наименование расходного материала],MATCH(Расходка[[#This Row],[№]],Поиск_расходки[Индекс12],0)),"")</f>
        <v/>
      </c>
      <c r="AD67" s="200" t="str">
        <f>IFERROR(INDEX(Расходка[Наименование расходного материала],MATCH(Расходка[[#This Row],[№]],Поиск_расходки[Индекс13],0)),"")</f>
        <v/>
      </c>
      <c r="AF67" s="4" t="s">
        <v>6</v>
      </c>
      <c r="AG67" s="4" t="s">
        <v>462</v>
      </c>
    </row>
    <row r="68" spans="1:33" x14ac:dyDescent="0.25">
      <c r="E68" s="199">
        <f>IF(ISNUMBER(SEARCH('Карта учёта'!$B$13,Расходка[[#This Row],[Наименование расходного материала]])),MAX($E$1:E67)+1,0)</f>
        <v>0</v>
      </c>
      <c r="F68" s="199">
        <f>IF(ISNUMBER(SEARCH('Карта учёта'!$B$14,Расходка[[#This Row],[Наименование расходного материала]])),MAX($F$1:F67)+1,0)</f>
        <v>0</v>
      </c>
      <c r="G68" s="199">
        <f>IF(ISNUMBER(SEARCH('Карта учёта'!$B$15,Расходка[[#This Row],[Наименование расходного материала]])),MAX($G$1:G67)+1,0)</f>
        <v>0</v>
      </c>
      <c r="H68" s="199">
        <f>IF(ISNUMBER(SEARCH('Карта учёта'!$B$16,Расходка[[#This Row],[Наименование расходного материала]])),MAX($H$1:H67)+1,0)</f>
        <v>0</v>
      </c>
      <c r="I68" s="199">
        <f>IF(ISNUMBER(SEARCH('Карта учёта'!$B$17,Расходка[[#This Row],[Наименование расходного материала]])),MAX($I$1:I67)+1,0)</f>
        <v>0</v>
      </c>
      <c r="J68" s="199">
        <f>IF(ISNUMBER(SEARCH('Карта учёта'!$B$18,Расходка[[#This Row],[Наименование расходного материала]])),MAX($J$1:J67)+1,0)</f>
        <v>0</v>
      </c>
      <c r="K68" s="199">
        <f>IF(ISNUMBER(SEARCH('Карта учёта'!$B$19,Расходка[[#This Row],[Наименование расходного материала]])),MAX($K$1:K67)+1,0)</f>
        <v>0</v>
      </c>
      <c r="L68" s="199">
        <f>IF(ISNUMBER(SEARCH('Карта учёта'!$B$20,Расходка[[#This Row],[Наименование расходного материала]])),MAX($L$1:L67)+1,0)</f>
        <v>0</v>
      </c>
      <c r="M68" s="199">
        <f>IF(ISNUMBER(SEARCH('Карта учёта'!$B$21,Расходка[[#This Row],[Наименование расходного материала]])),MAX($M$1:M67)+1,0)</f>
        <v>0</v>
      </c>
      <c r="N68" s="199">
        <f>IF(ISNUMBER(SEARCH('Карта учёта'!$B$22,Расходка[[#This Row],[Наименование расходного материала]])),MAX($N$1:N67)+1,0)</f>
        <v>0</v>
      </c>
      <c r="O68" s="199">
        <f>IF(ISNUMBER(SEARCH('Карта учёта'!$B$23,Расходка[[#This Row],[Наименование расходного материала]])),MAX($O$1:O67)+1,0)</f>
        <v>0</v>
      </c>
      <c r="P68" s="199">
        <f>IF(ISNUMBER(SEARCH('Карта учёта'!$B$24,Расходка[[#This Row],[Наименование расходного материала]])),MAX($P$1:P67)+1,0)</f>
        <v>0</v>
      </c>
      <c r="Q68" s="199">
        <f>IF(ISNUMBER(SEARCH('Карта учёта'!$B$25,Расходка[[#This Row],[Наименование расходного материала]])),MAX($Q$1:Q67)+1,0)</f>
        <v>0</v>
      </c>
      <c r="R68" s="200" t="str">
        <f>IFERROR(INDEX(Расходка[Наименование расходного материала],MATCH(Расходка[[#This Row],[№]],Поиск_расходки[Индекс1],0)),"")</f>
        <v/>
      </c>
      <c r="S68" s="200" t="str">
        <f>IFERROR(INDEX(Расходка[Наименование расходного материала],MATCH(Расходка[[#This Row],[№]],Поиск_расходки[Индекс2],0)),"")</f>
        <v/>
      </c>
      <c r="T68" s="200" t="str">
        <f>IFERROR(INDEX(Расходка[Наименование расходного материала],MATCH(Расходка[[#This Row],[№]],Поиск_расходки[Индекс3],0)),"")</f>
        <v/>
      </c>
      <c r="U68" s="200" t="str">
        <f>IFERROR(INDEX(Расходка[Наименование расходного материала],MATCH(Расходка[[#This Row],[№]],Поиск_расходки[Индекс4],0)),"")</f>
        <v/>
      </c>
      <c r="V68" s="200" t="str">
        <f>IFERROR(INDEX(Расходка[Наименование расходного материала],MATCH(Расходка[[#This Row],[№]],Поиск_расходки[Индекс5],0)),"")</f>
        <v/>
      </c>
      <c r="W68" s="200" t="str">
        <f>IFERROR(INDEX(Расходка[Наименование расходного материала],MATCH(Расходка[[#This Row],[№]],Поиск_расходки[Индекс6],0)),"")</f>
        <v/>
      </c>
      <c r="X68" s="200" t="str">
        <f>IFERROR(INDEX(Расходка[Наименование расходного материала],MATCH(Расходка[[#This Row],[№]],Поиск_расходки[Индекс7],0)),"")</f>
        <v/>
      </c>
      <c r="Y68" s="200" t="str">
        <f>IFERROR(INDEX(Расходка[Наименование расходного материала],MATCH(Расходка[[#This Row],[№]],Поиск_расходки[Индекс8],0)),"")</f>
        <v/>
      </c>
      <c r="Z68" s="200" t="str">
        <f>IFERROR(INDEX(Расходка[Наименование расходного материала],MATCH(Расходка[[#This Row],[№]],Поиск_расходки[Индекс9],0)),"")</f>
        <v/>
      </c>
      <c r="AA68" s="200" t="str">
        <f>IFERROR(INDEX(Расходка[Наименование расходного материала],MATCH(Расходка[[#This Row],[№]],Поиск_расходки[Индекс10],0)),"")</f>
        <v/>
      </c>
      <c r="AB68" s="200" t="str">
        <f>IFERROR(INDEX(Расходка[Наименование расходного материала],MATCH(Расходка[[#This Row],[№]],Поиск_расходки[Индекс11],0)),"")</f>
        <v/>
      </c>
      <c r="AC68" s="200" t="str">
        <f>IFERROR(INDEX(Расходка[Наименование расходного материала],MATCH(Расходка[[#This Row],[№]],Поиск_расходки[Индекс12],0)),"")</f>
        <v/>
      </c>
      <c r="AD68" s="200" t="str">
        <f>IFERROR(INDEX(Расходка[Наименование расходного материала],MATCH(Расходка[[#This Row],[№]],Поиск_расходки[Индекс13],0)),"")</f>
        <v/>
      </c>
      <c r="AF68" s="4" t="s">
        <v>6</v>
      </c>
      <c r="AG68" s="4" t="s">
        <v>463</v>
      </c>
    </row>
    <row r="69" spans="1:33" x14ac:dyDescent="0.25">
      <c r="E69" s="199">
        <f>IF(ISNUMBER(SEARCH('Карта учёта'!$B$13,Расходка[[#This Row],[Наименование расходного материала]])),MAX($E$1:E68)+1,0)</f>
        <v>0</v>
      </c>
      <c r="F69" s="199">
        <f>IF(ISNUMBER(SEARCH('Карта учёта'!$B$14,Расходка[[#This Row],[Наименование расходного материала]])),MAX($F$1:F68)+1,0)</f>
        <v>0</v>
      </c>
      <c r="G69" s="199">
        <f>IF(ISNUMBER(SEARCH('Карта учёта'!$B$15,Расходка[[#This Row],[Наименование расходного материала]])),MAX($G$1:G68)+1,0)</f>
        <v>0</v>
      </c>
      <c r="H69" s="199">
        <f>IF(ISNUMBER(SEARCH('Карта учёта'!$B$16,Расходка[[#This Row],[Наименование расходного материала]])),MAX($H$1:H68)+1,0)</f>
        <v>0</v>
      </c>
      <c r="I69" s="199">
        <f>IF(ISNUMBER(SEARCH('Карта учёта'!$B$17,Расходка[[#This Row],[Наименование расходного материала]])),MAX($I$1:I68)+1,0)</f>
        <v>0</v>
      </c>
      <c r="J69" s="199">
        <f>IF(ISNUMBER(SEARCH('Карта учёта'!$B$18,Расходка[[#This Row],[Наименование расходного материала]])),MAX($J$1:J68)+1,0)</f>
        <v>0</v>
      </c>
      <c r="K69" s="199">
        <f>IF(ISNUMBER(SEARCH('Карта учёта'!$B$19,Расходка[[#This Row],[Наименование расходного материала]])),MAX($K$1:K68)+1,0)</f>
        <v>0</v>
      </c>
      <c r="L69" s="199">
        <f>IF(ISNUMBER(SEARCH('Карта учёта'!$B$20,Расходка[[#This Row],[Наименование расходного материала]])),MAX($L$1:L68)+1,0)</f>
        <v>0</v>
      </c>
      <c r="M69" s="199">
        <f>IF(ISNUMBER(SEARCH('Карта учёта'!$B$21,Расходка[[#This Row],[Наименование расходного материала]])),MAX($M$1:M68)+1,0)</f>
        <v>0</v>
      </c>
      <c r="N69" s="199">
        <f>IF(ISNUMBER(SEARCH('Карта учёта'!$B$22,Расходка[[#This Row],[Наименование расходного материала]])),MAX($N$1:N68)+1,0)</f>
        <v>0</v>
      </c>
      <c r="O69" s="199">
        <f>IF(ISNUMBER(SEARCH('Карта учёта'!$B$23,Расходка[[#This Row],[Наименование расходного материала]])),MAX($O$1:O68)+1,0)</f>
        <v>0</v>
      </c>
      <c r="P69" s="199">
        <f>IF(ISNUMBER(SEARCH('Карта учёта'!$B$24,Расходка[[#This Row],[Наименование расходного материала]])),MAX($P$1:P68)+1,0)</f>
        <v>0</v>
      </c>
      <c r="Q69" s="199">
        <f>IF(ISNUMBER(SEARCH('Карта учёта'!$B$25,Расходка[[#This Row],[Наименование расходного материала]])),MAX($Q$1:Q68)+1,0)</f>
        <v>0</v>
      </c>
      <c r="R69" s="200" t="str">
        <f>IFERROR(INDEX(Расходка[Наименование расходного материала],MATCH(Расходка[[#This Row],[№]],Поиск_расходки[Индекс1],0)),"")</f>
        <v/>
      </c>
      <c r="S69" s="200" t="str">
        <f>IFERROR(INDEX(Расходка[Наименование расходного материала],MATCH(Расходка[[#This Row],[№]],Поиск_расходки[Индекс2],0)),"")</f>
        <v/>
      </c>
      <c r="T69" s="200" t="str">
        <f>IFERROR(INDEX(Расходка[Наименование расходного материала],MATCH(Расходка[[#This Row],[№]],Поиск_расходки[Индекс3],0)),"")</f>
        <v/>
      </c>
      <c r="U69" s="200" t="str">
        <f>IFERROR(INDEX(Расходка[Наименование расходного материала],MATCH(Расходка[[#This Row],[№]],Поиск_расходки[Индекс4],0)),"")</f>
        <v/>
      </c>
      <c r="V69" s="200" t="str">
        <f>IFERROR(INDEX(Расходка[Наименование расходного материала],MATCH(Расходка[[#This Row],[№]],Поиск_расходки[Индекс5],0)),"")</f>
        <v/>
      </c>
      <c r="W69" s="200" t="str">
        <f>IFERROR(INDEX(Расходка[Наименование расходного материала],MATCH(Расходка[[#This Row],[№]],Поиск_расходки[Индекс6],0)),"")</f>
        <v/>
      </c>
      <c r="X69" s="200" t="str">
        <f>IFERROR(INDEX(Расходка[Наименование расходного материала],MATCH(Расходка[[#This Row],[№]],Поиск_расходки[Индекс7],0)),"")</f>
        <v/>
      </c>
      <c r="Y69" s="200" t="str">
        <f>IFERROR(INDEX(Расходка[Наименование расходного материала],MATCH(Расходка[[#This Row],[№]],Поиск_расходки[Индекс8],0)),"")</f>
        <v/>
      </c>
      <c r="Z69" s="200" t="str">
        <f>IFERROR(INDEX(Расходка[Наименование расходного материала],MATCH(Расходка[[#This Row],[№]],Поиск_расходки[Индекс9],0)),"")</f>
        <v/>
      </c>
      <c r="AA69" s="200" t="str">
        <f>IFERROR(INDEX(Расходка[Наименование расходного материала],MATCH(Расходка[[#This Row],[№]],Поиск_расходки[Индекс10],0)),"")</f>
        <v/>
      </c>
      <c r="AB69" s="200" t="str">
        <f>IFERROR(INDEX(Расходка[Наименование расходного материала],MATCH(Расходка[[#This Row],[№]],Поиск_расходки[Индекс11],0)),"")</f>
        <v/>
      </c>
      <c r="AC69" s="200" t="str">
        <f>IFERROR(INDEX(Расходка[Наименование расходного материала],MATCH(Расходка[[#This Row],[№]],Поиск_расходки[Индекс12],0)),"")</f>
        <v/>
      </c>
      <c r="AD69" s="200" t="str">
        <f>IFERROR(INDEX(Расходка[Наименование расходного материала],MATCH(Расходка[[#This Row],[№]],Поиск_расходки[Индекс13],0)),"")</f>
        <v/>
      </c>
      <c r="AF69" s="4" t="s">
        <v>6</v>
      </c>
      <c r="AG69" s="4" t="s">
        <v>464</v>
      </c>
    </row>
    <row r="70" spans="1:33" x14ac:dyDescent="0.25">
      <c r="E70" s="199">
        <f>IF(ISNUMBER(SEARCH('Карта учёта'!$B$13,Расходка[[#This Row],[Наименование расходного материала]])),MAX($E$1:E69)+1,0)</f>
        <v>0</v>
      </c>
      <c r="F70" s="199">
        <f>IF(ISNUMBER(SEARCH('Карта учёта'!$B$14,Расходка[[#This Row],[Наименование расходного материала]])),MAX($F$1:F69)+1,0)</f>
        <v>0</v>
      </c>
      <c r="G70" s="199">
        <f>IF(ISNUMBER(SEARCH('Карта учёта'!$B$15,Расходка[[#This Row],[Наименование расходного материала]])),MAX($G$1:G69)+1,0)</f>
        <v>0</v>
      </c>
      <c r="H70" s="199">
        <f>IF(ISNUMBER(SEARCH('Карта учёта'!$B$16,Расходка[[#This Row],[Наименование расходного материала]])),MAX($H$1:H69)+1,0)</f>
        <v>0</v>
      </c>
      <c r="I70" s="199">
        <f>IF(ISNUMBER(SEARCH('Карта учёта'!$B$17,Расходка[[#This Row],[Наименование расходного материала]])),MAX($I$1:I69)+1,0)</f>
        <v>0</v>
      </c>
      <c r="J70" s="199">
        <f>IF(ISNUMBER(SEARCH('Карта учёта'!$B$18,Расходка[[#This Row],[Наименование расходного материала]])),MAX($J$1:J69)+1,0)</f>
        <v>0</v>
      </c>
      <c r="K70" s="199">
        <f>IF(ISNUMBER(SEARCH('Карта учёта'!$B$19,Расходка[[#This Row],[Наименование расходного материала]])),MAX($K$1:K69)+1,0)</f>
        <v>0</v>
      </c>
      <c r="L70" s="199">
        <f>IF(ISNUMBER(SEARCH('Карта учёта'!$B$20,Расходка[[#This Row],[Наименование расходного материала]])),MAX($L$1:L69)+1,0)</f>
        <v>0</v>
      </c>
      <c r="M70" s="199">
        <f>IF(ISNUMBER(SEARCH('Карта учёта'!$B$21,Расходка[[#This Row],[Наименование расходного материала]])),MAX($M$1:M69)+1,0)</f>
        <v>0</v>
      </c>
      <c r="N70" s="199">
        <f>IF(ISNUMBER(SEARCH('Карта учёта'!$B$22,Расходка[[#This Row],[Наименование расходного материала]])),MAX($N$1:N69)+1,0)</f>
        <v>0</v>
      </c>
      <c r="O70" s="199">
        <f>IF(ISNUMBER(SEARCH('Карта учёта'!$B$23,Расходка[[#This Row],[Наименование расходного материала]])),MAX($O$1:O69)+1,0)</f>
        <v>0</v>
      </c>
      <c r="P70" s="199">
        <f>IF(ISNUMBER(SEARCH('Карта учёта'!$B$24,Расходка[[#This Row],[Наименование расходного материала]])),MAX($P$1:P69)+1,0)</f>
        <v>0</v>
      </c>
      <c r="Q70" s="199">
        <f>IF(ISNUMBER(SEARCH('Карта учёта'!$B$25,Расходка[[#This Row],[Наименование расходного материала]])),MAX($Q$1:Q69)+1,0)</f>
        <v>0</v>
      </c>
      <c r="R70" s="200" t="str">
        <f>IFERROR(INDEX(Расходка[Наименование расходного материала],MATCH(Расходка[[#This Row],[№]],Поиск_расходки[Индекс1],0)),"")</f>
        <v/>
      </c>
      <c r="S70" s="200" t="str">
        <f>IFERROR(INDEX(Расходка[Наименование расходного материала],MATCH(Расходка[[#This Row],[№]],Поиск_расходки[Индекс2],0)),"")</f>
        <v/>
      </c>
      <c r="T70" s="200" t="str">
        <f>IFERROR(INDEX(Расходка[Наименование расходного материала],MATCH(Расходка[[#This Row],[№]],Поиск_расходки[Индекс3],0)),"")</f>
        <v/>
      </c>
      <c r="U70" s="200" t="str">
        <f>IFERROR(INDEX(Расходка[Наименование расходного материала],MATCH(Расходка[[#This Row],[№]],Поиск_расходки[Индекс4],0)),"")</f>
        <v/>
      </c>
      <c r="V70" s="200" t="str">
        <f>IFERROR(INDEX(Расходка[Наименование расходного материала],MATCH(Расходка[[#This Row],[№]],Поиск_расходки[Индекс5],0)),"")</f>
        <v/>
      </c>
      <c r="W70" s="200" t="str">
        <f>IFERROR(INDEX(Расходка[Наименование расходного материала],MATCH(Расходка[[#This Row],[№]],Поиск_расходки[Индекс6],0)),"")</f>
        <v/>
      </c>
      <c r="X70" s="200" t="str">
        <f>IFERROR(INDEX(Расходка[Наименование расходного материала],MATCH(Расходка[[#This Row],[№]],Поиск_расходки[Индекс7],0)),"")</f>
        <v/>
      </c>
      <c r="Y70" s="200" t="str">
        <f>IFERROR(INDEX(Расходка[Наименование расходного материала],MATCH(Расходка[[#This Row],[№]],Поиск_расходки[Индекс8],0)),"")</f>
        <v/>
      </c>
      <c r="Z70" s="200" t="str">
        <f>IFERROR(INDEX(Расходка[Наименование расходного материала],MATCH(Расходка[[#This Row],[№]],Поиск_расходки[Индекс9],0)),"")</f>
        <v/>
      </c>
      <c r="AA70" s="200" t="str">
        <f>IFERROR(INDEX(Расходка[Наименование расходного материала],MATCH(Расходка[[#This Row],[№]],Поиск_расходки[Индекс10],0)),"")</f>
        <v/>
      </c>
      <c r="AB70" s="200" t="str">
        <f>IFERROR(INDEX(Расходка[Наименование расходного материала],MATCH(Расходка[[#This Row],[№]],Поиск_расходки[Индекс11],0)),"")</f>
        <v/>
      </c>
      <c r="AC70" s="200" t="str">
        <f>IFERROR(INDEX(Расходка[Наименование расходного материала],MATCH(Расходка[[#This Row],[№]],Поиск_расходки[Индекс12],0)),"")</f>
        <v/>
      </c>
      <c r="AD70" s="200" t="str">
        <f>IFERROR(INDEX(Расходка[Наименование расходного материала],MATCH(Расходка[[#This Row],[№]],Поиск_расходки[Индекс13],0)),"")</f>
        <v/>
      </c>
      <c r="AF70" s="4" t="s">
        <v>6</v>
      </c>
      <c r="AG70" s="4" t="s">
        <v>465</v>
      </c>
    </row>
    <row r="71" spans="1:33" x14ac:dyDescent="0.25">
      <c r="AF71" s="4" t="s">
        <v>6</v>
      </c>
      <c r="AG71" s="4" t="s">
        <v>420</v>
      </c>
    </row>
    <row r="72" spans="1:33" x14ac:dyDescent="0.25">
      <c r="AF72" s="4" t="s">
        <v>6</v>
      </c>
      <c r="AG72" s="4" t="s">
        <v>466</v>
      </c>
    </row>
    <row r="73" spans="1:33" x14ac:dyDescent="0.25">
      <c r="AF73" s="4" t="s">
        <v>6</v>
      </c>
      <c r="AG73" s="4" t="s">
        <v>421</v>
      </c>
    </row>
    <row r="74" spans="1:33" x14ac:dyDescent="0.25">
      <c r="AF74" s="4" t="s">
        <v>6</v>
      </c>
      <c r="AG74" s="4" t="s">
        <v>467</v>
      </c>
    </row>
    <row r="75" spans="1:33" x14ac:dyDescent="0.25">
      <c r="AF75" s="4" t="s">
        <v>6</v>
      </c>
      <c r="AG75" s="4" t="s">
        <v>468</v>
      </c>
    </row>
    <row r="76" spans="1:33" x14ac:dyDescent="0.25">
      <c r="AF76" s="4" t="s">
        <v>6</v>
      </c>
      <c r="AG76" s="4" t="s">
        <v>469</v>
      </c>
    </row>
    <row r="77" spans="1:33" x14ac:dyDescent="0.25">
      <c r="AF77" s="4" t="s">
        <v>6</v>
      </c>
      <c r="AG77" s="4" t="s">
        <v>470</v>
      </c>
    </row>
    <row r="78" spans="1:33" x14ac:dyDescent="0.25">
      <c r="AF78" s="4" t="s">
        <v>6</v>
      </c>
      <c r="AG78" s="4" t="s">
        <v>471</v>
      </c>
    </row>
    <row r="79" spans="1:33" x14ac:dyDescent="0.25">
      <c r="AF79" s="4" t="s">
        <v>6</v>
      </c>
      <c r="AG79" s="4" t="s">
        <v>472</v>
      </c>
    </row>
    <row r="80" spans="1:33" x14ac:dyDescent="0.25">
      <c r="AF80" s="4" t="s">
        <v>6</v>
      </c>
      <c r="AG80" s="4" t="s">
        <v>473</v>
      </c>
    </row>
    <row r="81" spans="32:33" x14ac:dyDescent="0.25">
      <c r="AF81" s="4" t="s">
        <v>6</v>
      </c>
      <c r="AG81" s="4" t="s">
        <v>474</v>
      </c>
    </row>
    <row r="82" spans="32:33" x14ac:dyDescent="0.25">
      <c r="AF82" s="4" t="s">
        <v>6</v>
      </c>
      <c r="AG82" s="4" t="s">
        <v>475</v>
      </c>
    </row>
    <row r="83" spans="32:33" x14ac:dyDescent="0.25">
      <c r="AF83" s="4" t="s">
        <v>6</v>
      </c>
      <c r="AG83" s="4" t="s">
        <v>476</v>
      </c>
    </row>
    <row r="84" spans="32:33" x14ac:dyDescent="0.25">
      <c r="AF84" s="4" t="s">
        <v>6</v>
      </c>
      <c r="AG84" s="4" t="s">
        <v>427</v>
      </c>
    </row>
    <row r="85" spans="32:33" x14ac:dyDescent="0.25">
      <c r="AF85" s="4" t="s">
        <v>6</v>
      </c>
      <c r="AG85" s="4" t="s">
        <v>428</v>
      </c>
    </row>
    <row r="86" spans="32:33" x14ac:dyDescent="0.25">
      <c r="AF86" s="4" t="s">
        <v>6</v>
      </c>
      <c r="AG86" s="4" t="s">
        <v>477</v>
      </c>
    </row>
    <row r="87" spans="32:33" x14ac:dyDescent="0.25">
      <c r="AF87" s="4" t="s">
        <v>6</v>
      </c>
      <c r="AG87" s="4" t="s">
        <v>478</v>
      </c>
    </row>
    <row r="88" spans="32:33" x14ac:dyDescent="0.25">
      <c r="AF88" s="4" t="s">
        <v>6</v>
      </c>
      <c r="AG88" s="4" t="s">
        <v>479</v>
      </c>
    </row>
    <row r="89" spans="32:33" x14ac:dyDescent="0.25">
      <c r="AF89" s="4" t="s">
        <v>6</v>
      </c>
      <c r="AG89" s="4" t="s">
        <v>480</v>
      </c>
    </row>
    <row r="90" spans="32:33" x14ac:dyDescent="0.25">
      <c r="AF90" s="4" t="s">
        <v>6</v>
      </c>
      <c r="AG90" s="4" t="s">
        <v>481</v>
      </c>
    </row>
    <row r="91" spans="32:33" x14ac:dyDescent="0.25">
      <c r="AF91" s="4" t="s">
        <v>6</v>
      </c>
      <c r="AG91" s="4" t="s">
        <v>482</v>
      </c>
    </row>
    <row r="92" spans="32:33" x14ac:dyDescent="0.25">
      <c r="AF92" s="4" t="s">
        <v>6</v>
      </c>
      <c r="AG92" s="4" t="s">
        <v>483</v>
      </c>
    </row>
    <row r="93" spans="32:33" x14ac:dyDescent="0.25">
      <c r="AF93" s="4" t="s">
        <v>6</v>
      </c>
      <c r="AG93" s="4" t="s">
        <v>484</v>
      </c>
    </row>
    <row r="94" spans="32:33" x14ac:dyDescent="0.25">
      <c r="AF94" s="4" t="s">
        <v>6</v>
      </c>
      <c r="AG94" s="4" t="s">
        <v>431</v>
      </c>
    </row>
    <row r="95" spans="32:33" x14ac:dyDescent="0.25">
      <c r="AF95" s="4" t="s">
        <v>6</v>
      </c>
      <c r="AG95" s="4" t="s">
        <v>432</v>
      </c>
    </row>
    <row r="96" spans="32:33" x14ac:dyDescent="0.25">
      <c r="AF96" s="4" t="s">
        <v>6</v>
      </c>
      <c r="AG96" s="4" t="s">
        <v>485</v>
      </c>
    </row>
    <row r="97" spans="32:33" x14ac:dyDescent="0.25">
      <c r="AF97" s="4" t="s">
        <v>6</v>
      </c>
      <c r="AG97" s="4" t="s">
        <v>486</v>
      </c>
    </row>
  </sheetData>
  <sheetProtection sheet="1" objects="1" scenarios="1" formatCells="0" formatColumns="0"/>
  <phoneticPr fontId="14" type="noConversion"/>
  <dataValidations count="1">
    <dataValidation type="list" allowBlank="1" showInputMessage="1" showErrorMessage="1" sqref="B2:B67"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349</v>
      </c>
      <c r="C16" t="str">
        <f t="shared" si="0"/>
        <v xml:space="preserve">И/О старшей мед.сетры: А.А. Нефёдова </v>
      </c>
    </row>
    <row r="17" spans="1:3" x14ac:dyDescent="0.25">
      <c r="A17" t="s">
        <v>123</v>
      </c>
      <c r="B17" t="s">
        <v>348</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352</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365</v>
      </c>
    </row>
    <row r="38" spans="1:2" x14ac:dyDescent="0.25">
      <c r="A38" t="s">
        <v>170</v>
      </c>
      <c r="B38" t="s">
        <v>508</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506</v>
      </c>
    </row>
    <row r="52" spans="1:2" x14ac:dyDescent="0.25">
      <c r="A52" t="s">
        <v>303</v>
      </c>
      <c r="B52" t="s">
        <v>259</v>
      </c>
    </row>
    <row r="53" spans="1:2" x14ac:dyDescent="0.25">
      <c r="A53" t="s">
        <v>303</v>
      </c>
      <c r="B53" t="s">
        <v>370</v>
      </c>
    </row>
    <row r="54" spans="1:2" x14ac:dyDescent="0.25">
      <c r="A54" t="s">
        <v>303</v>
      </c>
      <c r="B54" t="s">
        <v>366</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341</v>
      </c>
    </row>
    <row r="70" spans="1:2" x14ac:dyDescent="0.25">
      <c r="A70" t="s">
        <v>172</v>
      </c>
      <c r="B70" t="s">
        <v>143</v>
      </c>
    </row>
    <row r="71" spans="1:2" x14ac:dyDescent="0.25">
      <c r="A71" t="s">
        <v>172</v>
      </c>
      <c r="B71" t="s">
        <v>368</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2" t="s">
        <v>384</v>
      </c>
    </row>
    <row r="2" spans="1:1" x14ac:dyDescent="0.25">
      <c r="A2" t="s">
        <v>381</v>
      </c>
    </row>
    <row r="3" spans="1:1" x14ac:dyDescent="0.25">
      <c r="A3" t="s">
        <v>385</v>
      </c>
    </row>
    <row r="4" spans="1:1" x14ac:dyDescent="0.25">
      <c r="A4" t="s">
        <v>386</v>
      </c>
    </row>
    <row r="5" spans="1:1" x14ac:dyDescent="0.25">
      <c r="A5" t="s">
        <v>382</v>
      </c>
    </row>
    <row r="6" spans="1:1" x14ac:dyDescent="0.25">
      <c r="A6" t="s">
        <v>383</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2023-09-16T18:42:57Z</cp:lastPrinted>
  <dcterms:created xsi:type="dcterms:W3CDTF">2015-06-05T18:19:34Z</dcterms:created>
  <dcterms:modified xsi:type="dcterms:W3CDTF">2023-09-16T18:59:43Z</dcterms:modified>
</cp:coreProperties>
</file>