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3\Щербаков\Протоколы\2023\Октябрь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" i="1" l="1"/>
  <c r="E74" i="1"/>
  <c r="E75" i="1"/>
  <c r="E76" i="1"/>
  <c r="F73" i="1"/>
  <c r="F74" i="1"/>
  <c r="F75" i="1"/>
  <c r="F76" i="1"/>
  <c r="G73" i="1"/>
  <c r="G74" i="1"/>
  <c r="G75" i="1"/>
  <c r="G76" i="1"/>
  <c r="H73" i="1"/>
  <c r="H74" i="1"/>
  <c r="H75" i="1"/>
  <c r="H76" i="1"/>
  <c r="I73" i="1"/>
  <c r="I74" i="1"/>
  <c r="I75" i="1"/>
  <c r="I76" i="1"/>
  <c r="J73" i="1"/>
  <c r="J74" i="1"/>
  <c r="J75" i="1"/>
  <c r="J76" i="1"/>
  <c r="K73" i="1"/>
  <c r="K74" i="1"/>
  <c r="K75" i="1"/>
  <c r="K76" i="1"/>
  <c r="L73" i="1"/>
  <c r="L74" i="1"/>
  <c r="L75" i="1"/>
  <c r="L76" i="1"/>
  <c r="M73" i="1"/>
  <c r="M74" i="1"/>
  <c r="M75" i="1"/>
  <c r="M76" i="1"/>
  <c r="N73" i="1"/>
  <c r="N74" i="1"/>
  <c r="N75" i="1"/>
  <c r="N76" i="1"/>
  <c r="O73" i="1"/>
  <c r="O74" i="1"/>
  <c r="O75" i="1"/>
  <c r="O76" i="1"/>
  <c r="P73" i="1"/>
  <c r="P74" i="1"/>
  <c r="P75" i="1"/>
  <c r="P76" i="1"/>
  <c r="Q73" i="1"/>
  <c r="Q74" i="1"/>
  <c r="Q75" i="1"/>
  <c r="Q76" i="1"/>
  <c r="R73" i="1"/>
  <c r="R74" i="1"/>
  <c r="R75" i="1"/>
  <c r="R76" i="1"/>
  <c r="S74" i="1"/>
  <c r="S75" i="1"/>
  <c r="S76" i="1"/>
  <c r="T74" i="1"/>
  <c r="T75" i="1"/>
  <c r="T76" i="1"/>
  <c r="U74" i="1"/>
  <c r="U75" i="1"/>
  <c r="U76" i="1"/>
  <c r="V74" i="1"/>
  <c r="V75" i="1"/>
  <c r="V76" i="1"/>
  <c r="W74" i="1"/>
  <c r="W75" i="1"/>
  <c r="W76" i="1"/>
  <c r="X74" i="1"/>
  <c r="X75" i="1"/>
  <c r="X76" i="1"/>
  <c r="Y74" i="1"/>
  <c r="Y75" i="1"/>
  <c r="Y76" i="1"/>
  <c r="Z74" i="1"/>
  <c r="Z75" i="1"/>
  <c r="Z76" i="1"/>
  <c r="AA74" i="1"/>
  <c r="AA75" i="1"/>
  <c r="AA76" i="1"/>
  <c r="AB74" i="1"/>
  <c r="AB75" i="1"/>
  <c r="AB76" i="1"/>
  <c r="AC74" i="1"/>
  <c r="AC75" i="1"/>
  <c r="AC76" i="1"/>
  <c r="AD74" i="1"/>
  <c r="AD75" i="1"/>
  <c r="AD76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17" i="3"/>
  <c r="A18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 s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Q7" i="1"/>
  <c r="J7" i="1"/>
  <c r="G8" i="1"/>
  <c r="N9" i="1"/>
  <c r="I7" i="1"/>
  <c r="F7" i="1"/>
  <c r="M7" i="1"/>
  <c r="H8" i="1"/>
  <c r="L9" i="1"/>
  <c r="K8" i="1"/>
  <c r="P13" i="1" l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5" i="1" l="1"/>
  <c r="P56" i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E55" i="1" l="1"/>
  <c r="E56" i="1" s="1"/>
  <c r="E57" i="1" s="1"/>
  <c r="E58" i="1" s="1"/>
  <c r="E59" i="1" s="1"/>
  <c r="O55" i="1"/>
  <c r="Q55" i="1"/>
  <c r="Q56" i="1" s="1"/>
  <c r="Q57" i="1" s="1"/>
  <c r="P58" i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N14" i="1"/>
  <c r="N15" i="1" s="1"/>
  <c r="I15" i="1"/>
  <c r="I16" i="1" s="1"/>
  <c r="I17" i="1" s="1"/>
  <c r="H16" i="1"/>
  <c r="H17" i="1" s="1"/>
  <c r="K13" i="1"/>
  <c r="K14" i="1" s="1"/>
  <c r="L16" i="1"/>
  <c r="G14" i="1"/>
  <c r="Q58" i="1" l="1"/>
  <c r="AC58" i="1"/>
  <c r="P59" i="1"/>
  <c r="P60" i="1" s="1"/>
  <c r="P61" i="1" s="1"/>
  <c r="P62" i="1" s="1"/>
  <c r="P63" i="1" s="1"/>
  <c r="P64" i="1" s="1"/>
  <c r="P65" i="1" s="1"/>
  <c r="E63" i="1"/>
  <c r="E64" i="1"/>
  <c r="E65" i="1" s="1"/>
  <c r="F16" i="1"/>
  <c r="F17" i="1" s="1"/>
  <c r="N16" i="1"/>
  <c r="N17" i="1" s="1"/>
  <c r="AC63" i="1"/>
  <c r="AC60" i="1"/>
  <c r="AC61" i="1"/>
  <c r="J17" i="1"/>
  <c r="J18" i="1" s="1"/>
  <c r="Q59" i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R72" i="1" l="1"/>
  <c r="Q60" i="1"/>
  <c r="R70" i="1"/>
  <c r="R71" i="1"/>
  <c r="AC64" i="1"/>
  <c r="P66" i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AD60" i="1" l="1"/>
  <c r="P67" i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AD73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AB73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F51" i="1"/>
  <c r="G47" i="1"/>
  <c r="K47" i="1"/>
  <c r="L35" i="1"/>
  <c r="M34" i="1"/>
  <c r="AB31" i="1"/>
  <c r="N32" i="1"/>
  <c r="N33" i="1" s="1"/>
  <c r="AC31" i="1"/>
  <c r="AB29" i="1"/>
  <c r="AC29" i="1"/>
  <c r="I55" i="1" l="1"/>
  <c r="I56" i="1" s="1"/>
  <c r="I57" i="1" s="1"/>
  <c r="I58" i="1" s="1"/>
  <c r="I59" i="1" s="1"/>
  <c r="I60" i="1" s="1"/>
  <c r="I61" i="1" s="1"/>
  <c r="I62" i="1" s="1"/>
  <c r="J68" i="1"/>
  <c r="H67" i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I63" i="1" l="1"/>
  <c r="I64" i="1" s="1"/>
  <c r="I65" i="1" s="1"/>
  <c r="I66" i="1" s="1"/>
  <c r="J69" i="1"/>
  <c r="W70" i="1" s="1"/>
  <c r="H68" i="1"/>
  <c r="W71" i="1"/>
  <c r="I67" i="1"/>
  <c r="I68" i="1" s="1"/>
  <c r="I69" i="1" s="1"/>
  <c r="V66" i="1"/>
  <c r="V67" i="1"/>
  <c r="V51" i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W57" i="1" l="1"/>
  <c r="W52" i="1"/>
  <c r="W68" i="1"/>
  <c r="W43" i="1"/>
  <c r="W60" i="1"/>
  <c r="W54" i="1"/>
  <c r="W47" i="1"/>
  <c r="W65" i="1"/>
  <c r="W58" i="1"/>
  <c r="W51" i="1"/>
  <c r="W45" i="1"/>
  <c r="W63" i="1"/>
  <c r="W48" i="1"/>
  <c r="W55" i="1"/>
  <c r="W64" i="1"/>
  <c r="W62" i="1"/>
  <c r="W49" i="1"/>
  <c r="W41" i="1"/>
  <c r="W50" i="1"/>
  <c r="W44" i="1"/>
  <c r="W39" i="1"/>
  <c r="W46" i="1"/>
  <c r="W66" i="1"/>
  <c r="W61" i="1"/>
  <c r="W42" i="1"/>
  <c r="W53" i="1"/>
  <c r="W40" i="1"/>
  <c r="W59" i="1"/>
  <c r="W56" i="1"/>
  <c r="W67" i="1"/>
  <c r="H69" i="1"/>
  <c r="U55" i="1" s="1"/>
  <c r="U61" i="1"/>
  <c r="U62" i="1"/>
  <c r="U43" i="1"/>
  <c r="U52" i="1"/>
  <c r="W72" i="1"/>
  <c r="W69" i="1"/>
  <c r="V73" i="1"/>
  <c r="W73" i="1"/>
  <c r="V69" i="1"/>
  <c r="V68" i="1"/>
  <c r="U49" i="1"/>
  <c r="U69" i="1"/>
  <c r="U53" i="1"/>
  <c r="U41" i="1"/>
  <c r="U58" i="1"/>
  <c r="U48" i="1"/>
  <c r="U54" i="1"/>
  <c r="U46" i="1"/>
  <c r="U39" i="1"/>
  <c r="U56" i="1"/>
  <c r="U40" i="1"/>
  <c r="U50" i="1"/>
  <c r="U60" i="1"/>
  <c r="U64" i="1"/>
  <c r="U66" i="1"/>
  <c r="U42" i="1"/>
  <c r="U44" i="1"/>
  <c r="U65" i="1"/>
  <c r="U51" i="1"/>
  <c r="U45" i="1"/>
  <c r="U57" i="1"/>
  <c r="U72" i="1"/>
  <c r="U71" i="1"/>
  <c r="U70" i="1"/>
  <c r="U68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U63" i="1" l="1"/>
  <c r="U59" i="1"/>
  <c r="U73" i="1"/>
  <c r="U47" i="1"/>
  <c r="U67" i="1"/>
  <c r="F65" i="1"/>
  <c r="F66" i="1" s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F67" i="1" l="1"/>
  <c r="S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9" i="1" l="1"/>
  <c r="S57" i="1" s="1"/>
  <c r="S28" i="1"/>
  <c r="S18" i="1"/>
  <c r="S16" i="1"/>
  <c r="S7" i="1"/>
  <c r="S19" i="1"/>
  <c r="S42" i="1"/>
  <c r="S40" i="1"/>
  <c r="S20" i="1"/>
  <c r="S15" i="1"/>
  <c r="S13" i="1"/>
  <c r="S8" i="1"/>
  <c r="S36" i="1"/>
  <c r="S31" i="1"/>
  <c r="S25" i="1"/>
  <c r="S12" i="1"/>
  <c r="S21" i="1"/>
  <c r="S11" i="1"/>
  <c r="S6" i="1"/>
  <c r="S35" i="1"/>
  <c r="S3" i="1"/>
  <c r="S4" i="1"/>
  <c r="S66" i="1"/>
  <c r="S50" i="1"/>
  <c r="S59" i="1"/>
  <c r="S39" i="1"/>
  <c r="S62" i="1"/>
  <c r="S46" i="1"/>
  <c r="S49" i="1"/>
  <c r="S54" i="1"/>
  <c r="S51" i="1"/>
  <c r="S48" i="1"/>
  <c r="S61" i="1"/>
  <c r="S67" i="1"/>
  <c r="S47" i="1"/>
  <c r="S43" i="1"/>
  <c r="S64" i="1"/>
  <c r="S41" i="1"/>
  <c r="S45" i="1"/>
  <c r="S65" i="1"/>
  <c r="S60" i="1"/>
  <c r="S55" i="1"/>
  <c r="S52" i="1"/>
  <c r="S72" i="1"/>
  <c r="S71" i="1"/>
  <c r="S68" i="1"/>
  <c r="K68" i="1"/>
  <c r="S70" i="1"/>
  <c r="G54" i="1"/>
  <c r="R2" i="1"/>
  <c r="N51" i="1"/>
  <c r="N52" i="1" s="1"/>
  <c r="N53" i="1" s="1"/>
  <c r="N54" i="1" s="1"/>
  <c r="AB45" i="1"/>
  <c r="AC55" i="1"/>
  <c r="AC11" i="1"/>
  <c r="AC27" i="1"/>
  <c r="AC10" i="1"/>
  <c r="AC8" i="1"/>
  <c r="AC24" i="1"/>
  <c r="AC9" i="1"/>
  <c r="AC12" i="1"/>
  <c r="M43" i="1"/>
  <c r="L43" i="1"/>
  <c r="S56" i="1" l="1"/>
  <c r="S29" i="1"/>
  <c r="S10" i="1"/>
  <c r="S53" i="1"/>
  <c r="S44" i="1"/>
  <c r="S5" i="1"/>
  <c r="S23" i="1"/>
  <c r="S38" i="1"/>
  <c r="S9" i="1"/>
  <c r="S30" i="1"/>
  <c r="S63" i="1"/>
  <c r="S58" i="1"/>
  <c r="S27" i="1"/>
  <c r="S69" i="1"/>
  <c r="S73" i="1"/>
  <c r="S37" i="1"/>
  <c r="S22" i="1"/>
  <c r="S17" i="1"/>
  <c r="S34" i="1"/>
  <c r="S24" i="1"/>
  <c r="S33" i="1"/>
  <c r="S26" i="1"/>
  <c r="S32" i="1"/>
  <c r="S14" i="1"/>
  <c r="K69" i="1"/>
  <c r="X62" i="1" s="1"/>
  <c r="N55" i="1"/>
  <c r="X53" i="1"/>
  <c r="X49" i="1"/>
  <c r="N56" i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X72" i="1" l="1"/>
  <c r="X40" i="1"/>
  <c r="X46" i="1"/>
  <c r="X67" i="1"/>
  <c r="X44" i="1"/>
  <c r="X70" i="1"/>
  <c r="X66" i="1"/>
  <c r="X47" i="1"/>
  <c r="X61" i="1"/>
  <c r="X45" i="1"/>
  <c r="X41" i="1"/>
  <c r="X42" i="1"/>
  <c r="X58" i="1"/>
  <c r="X65" i="1"/>
  <c r="X48" i="1"/>
  <c r="X60" i="1"/>
  <c r="X68" i="1"/>
  <c r="X71" i="1"/>
  <c r="X51" i="1"/>
  <c r="X59" i="1"/>
  <c r="X52" i="1"/>
  <c r="X54" i="1"/>
  <c r="X56" i="1"/>
  <c r="X55" i="1"/>
  <c r="X57" i="1"/>
  <c r="X43" i="1"/>
  <c r="X50" i="1"/>
  <c r="X63" i="1"/>
  <c r="X64" i="1"/>
  <c r="X39" i="1"/>
  <c r="X73" i="1"/>
  <c r="X69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6" i="1" l="1"/>
  <c r="AA64" i="1"/>
  <c r="AA66" i="1"/>
  <c r="N67" i="1"/>
  <c r="N68" i="1" s="1"/>
  <c r="N69" i="1" s="1"/>
  <c r="AA73" i="1" s="1"/>
  <c r="G62" i="1"/>
  <c r="G63" i="1" s="1"/>
  <c r="M51" i="1"/>
  <c r="M52" i="1" s="1"/>
  <c r="M53" i="1" s="1"/>
  <c r="L50" i="1"/>
  <c r="AA68" i="1" l="1"/>
  <c r="AA69" i="1"/>
  <c r="AA72" i="1"/>
  <c r="AA71" i="1"/>
  <c r="AA67" i="1"/>
  <c r="AA70" i="1"/>
  <c r="G64" i="1"/>
  <c r="M54" i="1"/>
  <c r="L51" i="1"/>
  <c r="L52" i="1" s="1"/>
  <c r="L53" i="1" s="1"/>
  <c r="M55" i="1" l="1"/>
  <c r="G65" i="1"/>
  <c r="L54" i="1"/>
  <c r="M56" i="1" l="1"/>
  <c r="M57" i="1" s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Y73" i="1" s="1"/>
  <c r="G67" i="1"/>
  <c r="M61" i="1"/>
  <c r="Y62" i="1" l="1"/>
  <c r="Y56" i="1"/>
  <c r="Y68" i="1"/>
  <c r="Y59" i="1"/>
  <c r="Y58" i="1"/>
  <c r="Y64" i="1"/>
  <c r="Y20" i="1"/>
  <c r="Y60" i="1"/>
  <c r="Y63" i="1"/>
  <c r="Y57" i="1"/>
  <c r="Y61" i="1"/>
  <c r="Y65" i="1"/>
  <c r="Y66" i="1"/>
  <c r="G68" i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T3" i="1" l="1"/>
  <c r="G69" i="1"/>
  <c r="T43" i="1"/>
  <c r="T34" i="1"/>
  <c r="T65" i="1"/>
  <c r="T64" i="1"/>
  <c r="T14" i="1"/>
  <c r="T42" i="1"/>
  <c r="T50" i="1"/>
  <c r="T9" i="1"/>
  <c r="T59" i="1"/>
  <c r="T62" i="1"/>
  <c r="T17" i="1"/>
  <c r="T60" i="1"/>
  <c r="T56" i="1"/>
  <c r="T4" i="1"/>
  <c r="T26" i="1"/>
  <c r="T53" i="1"/>
  <c r="T58" i="1"/>
  <c r="T49" i="1"/>
  <c r="T51" i="1"/>
  <c r="T24" i="1"/>
  <c r="T39" i="1"/>
  <c r="T19" i="1"/>
  <c r="T54" i="1"/>
  <c r="T46" i="1"/>
  <c r="T11" i="1"/>
  <c r="T29" i="1"/>
  <c r="T68" i="1"/>
  <c r="T52" i="1"/>
  <c r="T33" i="1"/>
  <c r="T7" i="1"/>
  <c r="T40" i="1"/>
  <c r="T23" i="1"/>
  <c r="T16" i="1"/>
  <c r="T30" i="1"/>
  <c r="M63" i="1"/>
  <c r="M64" i="1" s="1"/>
  <c r="M65" i="1" s="1"/>
  <c r="T35" i="1" l="1"/>
  <c r="T31" i="1"/>
  <c r="T47" i="1"/>
  <c r="T10" i="1"/>
  <c r="T41" i="1"/>
  <c r="T36" i="1"/>
  <c r="T6" i="1"/>
  <c r="T8" i="1"/>
  <c r="T32" i="1"/>
  <c r="T55" i="1"/>
  <c r="T22" i="1"/>
  <c r="T63" i="1"/>
  <c r="T28" i="1"/>
  <c r="T21" i="1"/>
  <c r="T27" i="1"/>
  <c r="T48" i="1"/>
  <c r="T57" i="1"/>
  <c r="T38" i="1"/>
  <c r="T13" i="1"/>
  <c r="T66" i="1"/>
  <c r="T12" i="1"/>
  <c r="T61" i="1"/>
  <c r="T45" i="1"/>
  <c r="T67" i="1"/>
  <c r="T44" i="1"/>
  <c r="T20" i="1"/>
  <c r="T25" i="1"/>
  <c r="T18" i="1"/>
  <c r="T5" i="1"/>
  <c r="T37" i="1"/>
  <c r="T15" i="1"/>
  <c r="T73" i="1"/>
  <c r="T71" i="1"/>
  <c r="T72" i="1"/>
  <c r="T69" i="1"/>
  <c r="T70" i="1"/>
  <c r="M66" i="1"/>
  <c r="M67" i="1" l="1"/>
  <c r="Z58" i="1"/>
  <c r="Z7" i="1"/>
  <c r="Z17" i="1"/>
  <c r="Z25" i="1"/>
  <c r="Z5" i="1"/>
  <c r="Z44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55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  <c r="M68" i="1" l="1"/>
  <c r="M69" i="1" s="1"/>
  <c r="Z73" i="1" s="1"/>
  <c r="Z40" i="1"/>
  <c r="Z30" i="1"/>
  <c r="Z15" i="1"/>
  <c r="Z68" i="1"/>
  <c r="Z27" i="1"/>
  <c r="Z35" i="1"/>
  <c r="Z16" i="1"/>
  <c r="Z70" i="1"/>
  <c r="Z4" i="1"/>
  <c r="Z54" i="1"/>
  <c r="Z64" i="1"/>
  <c r="Z60" i="1"/>
  <c r="AC67" i="1"/>
  <c r="P68" i="1"/>
  <c r="AC68" i="1" l="1"/>
  <c r="P69" i="1"/>
  <c r="AC73" i="1" s="1"/>
  <c r="Z72" i="1"/>
  <c r="Z71" i="1"/>
  <c r="Z69" i="1"/>
  <c r="AC70" i="1"/>
  <c r="AC71" i="1"/>
  <c r="AC69" i="1"/>
  <c r="AC72" i="1" l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<sst xmlns="http://schemas.openxmlformats.org/spreadsheetml/2006/main" count="871" uniqueCount="528">
  <si>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</si>
  <si>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</si>
  <si>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</si>
  <si>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</si>
  <si>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</si>
  <si>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</si>
  <si>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</si>
  <si>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</si>
  <si>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</si>
  <si>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</si>
  <si>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</si>
  <si>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</si>
  <si>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</si>
  <si>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</si>
  <si>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</si>
  <si>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</si>
  <si>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</si>
  <si>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</si>
  <si>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</si>
  <si>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</si>
  <si>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</si>
  <si>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</si>
  <si>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</si>
  <si>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</si>
  <si>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</si>
  <si>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</si>
  <si>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</si>
  <si>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</si>
  <si>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</si>
  <si>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</si>
  <si>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</si>
  <si>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</si>
  <si>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</si>
  <si>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</si>
  <si>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</si>
  <si>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</si>
  <si>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</si>
  <si>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</si>
  <si>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</si>
  <si>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</si>
  <si>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</si>
  <si>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</si>
  <si>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</si>
  <si>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</si>
  <si>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</si>
  <si>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</si>
  <si>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</si>
  <si>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</si>
  <si>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</si>
  <si>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</si>
  <si>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</si>
  <si>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</si>
  <si>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</si>
  <si>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</si>
  <si>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</si>
  <si>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</si>
  <si>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</si>
  <si>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</si>
  <si>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</si>
  <si>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</si>
  <si>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</si>
  <si>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</si>
  <si>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</si>
  <si>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</si>
  <si>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</si>
  <si>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</si>
  <si>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</si>
  <si>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</si>
  <si>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</si>
  <si>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</si>
  <si>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</si>
  <si>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</si>
  <si>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</si>
  <si>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</si>
  <si>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</si>
  <si>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</si>
  <si>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</si>
  <si>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</si>
  <si>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</si>
  <si>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</si>
  <si>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</si>
  <si>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</si>
  <si>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</si>
  <si>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</si>
  <si>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</si>
  <si>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</si>
  <si>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</si>
  <si>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</si>
  <si>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</si>
  <si>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</si>
  <si>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</si>
  <si>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</si>
  <si>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</si>
  <si>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</si>
  <si>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</si>
  <si>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</si>
  <si>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</si>
  <si>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</si>
  <si>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</si>
  <si>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</si>
  <si>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</si>
  <si>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</si>
  <si>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</si>
  <si>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</si>
  <si>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</si>
  <si>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</si>
  <si>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</si>
  <si>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</si>
  <si>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</si>
  <si>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</si>
  <si>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</si>
  <si>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</si>
  <si>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</si>
  <si>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</si>
  <si>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</si>
  <si>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</si>
  <si>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</si>
  <si>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</si>
  <si>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</si>
  <si>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</si>
  <si>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</si>
  <si>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</si>
  <si>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</si>
  <si>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</si>
  <si>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</si>
  <si>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</si>
  <si>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</si>
  <si>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</si>
  <si>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</si>
  <si>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</si>
  <si>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</si>
  <si>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</si>
  <si>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</si>
  <si>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</si>
  <si>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</si>
  <si>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</si>
  <si>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</si>
  <si>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</si>
  <si>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</si>
  <si>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</si>
  <si>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</si>
  <si>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</si>
  <si>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</si>
  <si>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</si>
  <si>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</si>
  <si>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</si>
  <si>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</si>
  <si>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</si>
  <si>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</si>
  <si>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</si>
  <si>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</si>
  <si>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</si>
  <si>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</si>
  <si>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</si>
  <si>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</si>
  <si>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</si>
  <si>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</si>
  <si>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</si>
  <si>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</si>
  <si>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</si>
  <si>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</si>
  <si>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</si>
  <si>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</si>
  <si>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</si>
  <si>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</si>
  <si>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</si>
  <si>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</si>
  <si>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</si>
  <si>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</si>
  <si>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</si>
  <si>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</si>
  <si>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</si>
  <si>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</si>
  <si>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</si>
  <si>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</si>
  <si>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</si>
  <si>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</si>
  <si>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</si>
  <si>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</si>
  <si>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</si>
  <si>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</si>
  <si>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</si>
  <si>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</si>
  <si>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</si>
  <si>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</si>
  <si>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</si>
  <si>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</si>
  <si>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</si>
  <si>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</si>
  <si>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</si>
  <si>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</si>
  <si>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</si>
  <si>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</si>
  <si>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</si>
  <si>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</si>
  <si>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</si>
  <si>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</si>
  <si>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</si>
  <si>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</si>
  <si>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</si>
  <si>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</si>
  <si>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</si>
  <si>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</si>
  <si>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</si>
  <si>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</si>
  <si>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</si>
  <si>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</si>
  <si>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</si>
  <si>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</si>
  <si>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</si>
  <si>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</si>
  <si>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</si>
  <si>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</si>
  <si>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</si>
  <si>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</si>
  <si>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</si>
  <si>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</si>
  <si>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</si>
  <si>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</si>
  <si>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</si>
  <si>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</si>
  <si>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</si>
  <si>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</si>
  <si>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</si>
  <si>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</si>
  <si>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</si>
  <si>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</si>
  <si>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</si>
  <si>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</si>
  <si>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</si>
  <si>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</si>
  <si>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</si>
  <si>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</si>
  <si>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</si>
  <si>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</si>
  <si>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</si>
  <si>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</si>
  <si>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</si>
  <si>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</si>
  <si>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</si>
  <si>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</si>
  <si>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</si>
  <si>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</si>
  <si>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</si>
  <si>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</si>
  <si>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</si>
  <si>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</si>
  <si>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</si>
  <si>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</si>
  <si>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</si>
  <si>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</si>
  <si>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</si>
  <si>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</si>
  <si>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</si>
  <si>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</si>
  <si>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</si>
  <si>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</si>
  <si>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</si>
  <si>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</si>
  <si>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</si>
  <si>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</si>
  <si>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</si>
  <si>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</si>
  <si>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</si>
  <si>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</si>
  <si>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</si>
  <si>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</si>
  <si>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</si>
  <si>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</si>
  <si>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</si>
  <si>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</si>
  <si>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</si>
  <si>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</si>
  <si>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</si>
  <si>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</si>
  <si>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</si>
  <si>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</si>
  <si>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</si>
  <si>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</si>
  <si>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</si>
  <si>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</si>
  <si>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</si>
  <si>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</si>
  <si>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</si>
  <si>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</si>
  <si>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</si>
  <si>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</si>
  <si>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</si>
  <si>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</si>
  <si>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</si>
  <si>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</si>
  <si>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</si>
  <si>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</si>
  <si>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</si>
  <si>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</si>
  <si>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</si>
  <si>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</si>
  <si>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</si>
  <si>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</si>
  <si>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</si>
  <si>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</si>
  <si>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</si>
  <si>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</si>
  <si>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</si>
  <si>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</si>
  <si>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</si>
  <si>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</si>
  <si>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</si>
  <si>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</si>
  <si>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</si>
  <si>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</si>
  <si>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</si>
  <si>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</si>
  <si>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</si>
  <si>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</si>
  <si>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</si>
  <si>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</si>
  <si>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</si>
  <si>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</si>
  <si>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</si>
  <si>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</si>
  <si>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</si>
  <si>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</si>
  <si>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</si>
  <si>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</si>
  <si>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</si>
  <si>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</si>
  <si>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</si>
  <si>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</si>
  <si>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</si>
  <si>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</si>
  <si>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</si>
  <si>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</si>
  <si>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</si>
  <si>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</si>
  <si>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</si>
  <si>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</si>
  <si>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</si>
  <si>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</si>
  <si>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</si>
  <si>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</si>
  <si>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</si>
  <si>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</si>
  <si>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</si>
  <si>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</si>
  <si>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</si>
  <si>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</si>
  <si>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</si>
  <si>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</si>
  <si>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</si>
  <si>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</si>
  <si>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</si>
  <si>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</si>
  <si>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</si>
  <si>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</si>
  <si>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</si>
  <si>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</si>
  <si>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</si>
  <si>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</si>
  <si>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</si>
  <si>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</si>
  <si>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</si>
  <si>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</si>
  <si>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</si>
  <si>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</si>
  <si>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</si>
  <si>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</si>
  <si>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</si>
  <si>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</si>
  <si>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</si>
  <si>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</si>
  <si>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</si>
  <si>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</si>
  <si>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</si>
  <si>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</si>
  <si>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</si>
  <si>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</si>
  <si>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</si>
  <si>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</si>
  <si>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</si>
  <si>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</si>
  <si>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</si>
  <si>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</si>
  <si>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</si>
  <si>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</si>
  <si>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</si>
  <si>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</si>
  <si>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</si>
  <si>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</si>
  <si>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</si>
  <si>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</si>
  <si>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</si>
  <si>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</si>
  <si>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</si>
  <si>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</si>
  <si>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</si>
  <si>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</si>
  <si>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</si>
  <si>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</si>
  <si>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</si>
  <si>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</si>
  <si>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</si>
  <si>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</si>
  <si>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</si>
  <si>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</si>
  <si>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</si>
  <si>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</si>
  <si>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</si>
  <si>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</si>
  <si>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</si>
  <si>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</si>
  <si>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</si>
  <si>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</si>
  <si>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</si>
  <si>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</si>
  <si>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</si>
  <si>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</si>
  <si>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</si>
  <si>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</si>
  <si>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</si>
  <si>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</si>
  <si>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</si>
  <si>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</si>
  <si>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</si>
  <si>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</si>
  <si>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</si>
  <si>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</si>
  <si>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</si>
  <si>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</si>
  <si>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</si>
  <si>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</si>
  <si>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</si>
  <si>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</si>
  <si>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</si>
  <si>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</si>
  <si>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</si>
  <si>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</si>
  <si>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</si>
  <si>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</si>
  <si>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</si>
  <si>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</si>
  <si>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</si>
  <si>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</si>
  <si>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</si>
  <si>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</si>
  <si>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</si>
  <si>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</si>
  <si>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</si>
  <si>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</si>
  <si>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</si>
  <si>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</si>
  <si>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</si>
  <si>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</si>
  <si>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</si>
  <si>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</si>
  <si>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</si>
  <si>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</si>
  <si>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</si>
  <si>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</si>
  <si>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</si>
  <si>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</si>
  <si>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</si>
  <si>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</si>
  <si>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</si>
  <si>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</si>
  <si>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</si>
  <si>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</si>
  <si>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</si>
  <si>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</si>
  <si>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</si>
  <si>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</si>
  <si>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</si>
  <si>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</si>
  <si>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</si>
  <si>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</si>
  <si>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</si>
  <si>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</si>
  <si>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</si>
  <si>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</si>
  <si>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</si>
  <si>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</si>
  <si>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</si>
  <si>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</si>
  <si>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</si>
  <si>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</si>
  <si>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</si>
  <si>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</si>
  <si>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</si>
  <si>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</si>
  <si>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</si>
  <si>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</si>
  <si>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</si>
  <si>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</si>
  <si>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</si>
  <si>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</si>
  <si>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</si>
  <si>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</si>
  <si>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</si>
  <si>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</si>
  <si>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</si>
  <si>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</si>
  <si>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</si>
  <si>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</si>
  <si>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</si>
  <si>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</si>
  <si>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</si>
  <si>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</si>
  <si>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</si>
  <si>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</si>
  <si>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</si>
  <si>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</si>
  <si>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</si>
  <si>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SCW Индефлятор </t>
  </si>
  <si>
    <t>50 ml</t>
  </si>
  <si>
    <t>Launcher 6F AL 3</t>
  </si>
  <si>
    <t xml:space="preserve">Заведующий отделения: Д.В. Карчевский </t>
  </si>
  <si>
    <t>Lepu Medical Balancium</t>
  </si>
  <si>
    <t>Правый</t>
  </si>
  <si>
    <t>DES, Metafor</t>
  </si>
  <si>
    <t xml:space="preserve">Совместно с д/кардиологом: с учетом клинических данных, ЭКГ и КАГ рекомендована ЧКВ ПКА в экстренном порядке. </t>
  </si>
  <si>
    <t xml:space="preserve">1) Строгий контроль места пункции, повязка  на руке до 6 ч. </t>
  </si>
  <si>
    <t>Богомолова Л.М.</t>
  </si>
  <si>
    <t>07:12</t>
  </si>
  <si>
    <t>неровности контуров тела ствола ЛКА.</t>
  </si>
  <si>
    <t xml:space="preserve">неровности контуров проксимального сегмента ОА.   Антеградный кровоток TIMI III. </t>
  </si>
  <si>
    <t xml:space="preserve">стеноз проксимального сегмента 90%, субтотальный 99% стеноз среднего сегмента, стеноз дистального сегмента 50%. Стеноз проксимальной трети ДВ 50%. Антеградный кровоток пропульсивный ближе к  TIMI II. Ретроградно ПНА через бассейн ПКА не контрастируется. </t>
  </si>
  <si>
    <t xml:space="preserve">Неровности контуров проксимального и среднего сегментов. Тотальная тромботическая окклюзия на уровне "креста" ПКА., TTG2.  Антеградный кровоток TIMI 0. </t>
  </si>
  <si>
    <t>Устье ПКА катетеризировано проводниковым катетером Launcher JR 4.0 6Fr. Коронарный проводник Fielder, 1 шт заведен  в дистальный сегмент ПКА. Реканализация артерии выполнена аспирационным катером Hunter Аспирирован тромб 2.5-2,0 мм.  В зону нестабильного значимого стеноза зоны "креста" имплантирован DES Metafor 2.75-24 мм, давлением 14 атм.  Постдилатация и оптимизация  среднего стента БК NC Accuforce 3.5-6, давлением 16 атм.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ЗБВ и ЗМЖВ полностью восстановлен  TIMI III. Определяется усиление межсистемных коллатералей из СВ ЗМЖВ в дистальный сегмент ПНА.  Ангиографический удовлетворительный. Пациентка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</si>
</sst>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  <font>
      <sz val="10"/>
      <color theme="1"/>
      <name val="Aharoni"/>
      <charset val="177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0" fontId="72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8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1" fillId="0" borderId="0" xfId="0" applyFont="1" applyAlignment="1" applyProtection="1">
      <alignment horizontal="justify" vertical="top" wrapText="1"/>
      <protection locked="0"/>
    </xf>
    <xf numFmtId="0" fontId="61" fillId="0" borderId="13" xfId="0" applyFont="1" applyBorder="1" applyAlignment="1" applyProtection="1">
      <alignment horizontal="justify" vertical="top" wrapText="1"/>
      <protection locked="0"/>
    </xf>
    <xf numFmtId="0" fontId="61" fillId="0" borderId="3" xfId="0" applyFont="1" applyBorder="1" applyAlignment="1" applyProtection="1">
      <alignment horizontal="justify" vertical="top" wrapText="1"/>
      <protection locked="0"/>
    </xf>
    <xf numFmtId="0" fontId="61" fillId="0" borderId="9" xfId="0" applyFont="1" applyBorder="1" applyAlignment="1" applyProtection="1">
      <alignment horizontal="justify" vertical="top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8" fillId="0" borderId="5" xfId="0" applyFont="1" applyBorder="1" applyAlignment="1" applyProtection="1">
      <alignment horizontal="justify" vertical="top" wrapText="1"/>
      <protection locked="0"/>
    </xf>
    <xf numFmtId="0" fontId="68" fillId="0" borderId="11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 applyProtection="1">
      <alignment horizontal="justify" vertical="top" wrapText="1"/>
      <protection locked="0"/>
    </xf>
    <xf numFmtId="0" fontId="68" fillId="0" borderId="13" xfId="0" applyFont="1" applyBorder="1" applyAlignment="1" applyProtection="1">
      <alignment horizontal="justify" vertical="top" wrapText="1"/>
      <protection locked="0"/>
    </xf>
    <xf numFmtId="0" fontId="68" fillId="0" borderId="3" xfId="0" applyFont="1" applyBorder="1" applyAlignment="1" applyProtection="1">
      <alignment horizontal="justify" vertical="top" wrapText="1"/>
      <protection locked="0"/>
    </xf>
    <xf numFmtId="0" fontId="68" fillId="0" borderId="9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59" fillId="0" borderId="10" xfId="0" applyFont="1" applyBorder="1" applyAlignment="1">
      <alignment horizontal="justify" vertical="distributed" wrapText="1"/>
    </xf>
    <xf numFmtId="0" fontId="59" fillId="0" borderId="5" xfId="0" applyFont="1" applyBorder="1" applyAlignment="1">
      <alignment wrapText="1"/>
    </xf>
    <xf numFmtId="0" fontId="59" fillId="0" borderId="11" xfId="0" applyFont="1" applyBorder="1" applyAlignment="1">
      <alignment wrapText="1"/>
    </xf>
    <xf numFmtId="0" fontId="59" fillId="0" borderId="12" xfId="0" applyFont="1" applyBorder="1" applyAlignment="1">
      <alignment wrapText="1"/>
    </xf>
    <xf numFmtId="0" fontId="59" fillId="0" borderId="0" xfId="0" applyFont="1" applyAlignment="1">
      <alignment wrapText="1"/>
    </xf>
    <xf numFmtId="0" fontId="59" fillId="0" borderId="13" xfId="0" applyFont="1" applyBorder="1" applyAlignment="1">
      <alignment wrapText="1"/>
    </xf>
    <xf numFmtId="0" fontId="59" fillId="0" borderId="8" xfId="0" applyFont="1" applyBorder="1" applyAlignment="1">
      <alignment wrapText="1"/>
    </xf>
    <xf numFmtId="0" fontId="59" fillId="0" borderId="3" xfId="0" applyFont="1" applyBorder="1" applyAlignment="1">
      <alignment wrapText="1"/>
    </xf>
    <xf numFmtId="0" fontId="59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1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>
      <alignment horizontal="justify" vertical="top" wrapText="1"/>
    </xf>
    <xf numFmtId="0" fontId="70" fillId="0" borderId="13" xfId="0" applyFont="1" applyBorder="1" applyAlignment="1">
      <alignment horizontal="justify" vertical="top" wrapText="1"/>
    </xf>
    <xf numFmtId="0" fontId="70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125728</xdr:colOff>
      <xdr:row>40</xdr:row>
      <xdr:rowOff>38100</xdr:rowOff>
    </xdr:from>
    <xdr:to>
      <xdr:col>1</xdr:col>
      <xdr:colOff>1038225</xdr:colOff>
      <xdr:row>49</xdr:row>
      <xdr:rowOff>22148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28" y="7734300"/>
          <a:ext cx="2169797" cy="1612823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3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L34" sqref="L3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45229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0.29166666666666669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0.2986111111111111</v>
      </c>
      <c r="C10" s="55"/>
      <c r="D10" s="95" t="s">
        <v>173</v>
      </c>
      <c r="E10" s="93"/>
      <c r="F10" s="93"/>
      <c r="G10" s="24" t="s">
        <v>168</v>
      </c>
      <c r="H10" s="26"/>
    </row>
    <row r="11" spans="1:8" ht="17.25" thickTop="1" thickBot="1">
      <c r="A11" s="89" t="s">
        <v>192</v>
      </c>
      <c r="B11" s="201" t="s">
        <v>521</v>
      </c>
      <c r="C11" s="8"/>
      <c r="D11" s="95" t="s">
        <v>170</v>
      </c>
      <c r="E11" s="93"/>
      <c r="F11" s="93"/>
      <c r="G11" s="24" t="s">
        <v>254</v>
      </c>
      <c r="H11" s="26"/>
    </row>
    <row r="12" spans="1:8" ht="16.5" thickTop="1">
      <c r="A12" s="81" t="s">
        <v>8</v>
      </c>
      <c r="B12" s="82">
        <v>17045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77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29712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402</v>
      </c>
      <c r="H15" s="170" t="s">
        <v>522</v>
      </c>
    </row>
    <row r="16" spans="1:8" ht="15.6" customHeight="1">
      <c r="A16" s="15" t="s">
        <v>106</v>
      </c>
      <c r="B16" s="19" t="s">
        <v>488</v>
      </c>
      <c r="D16" s="36"/>
      <c r="E16" s="36"/>
      <c r="F16" s="36"/>
      <c r="G16" s="167" t="s">
        <v>404</v>
      </c>
      <c r="H16" s="165">
        <v>3130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391</v>
      </c>
      <c r="H17" s="169">
        <f>H16*0.0019</f>
        <v>5.9470000000000001</v>
      </c>
    </row>
    <row r="18" spans="1:8" ht="14.45" customHeight="1">
      <c r="A18" s="57" t="s">
        <v>188</v>
      </c>
      <c r="B18" s="87" t="s">
        <v>517</v>
      </c>
      <c r="D18" s="28" t="s">
        <v>210</v>
      </c>
      <c r="E18" s="28"/>
      <c r="F18" s="28"/>
      <c r="G18" s="85" t="s">
        <v>189</v>
      </c>
      <c r="H18" s="86" t="s">
        <v>509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4" t="s">
        <v>523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271</v>
      </c>
      <c r="B22" s="219" t="s">
        <v>525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19" t="s">
        <v>524</v>
      </c>
      <c r="C27" s="219"/>
      <c r="D27" s="219"/>
      <c r="E27" s="219"/>
      <c r="F27" s="219"/>
      <c r="G27" s="219"/>
      <c r="H27" s="226"/>
    </row>
    <row r="28" spans="1:8" ht="15.6" customHeight="1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59" t="s">
        <v>273</v>
      </c>
      <c r="B32" s="220" t="s">
        <v>526</v>
      </c>
      <c r="C32" s="219"/>
      <c r="D32" s="219"/>
      <c r="E32" s="219"/>
      <c r="F32" s="219"/>
      <c r="G32" s="219"/>
      <c r="H32" s="226"/>
    </row>
    <row r="33" spans="1:8" ht="14.45" customHeight="1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>
      <c r="A38" s="38"/>
      <c r="C38" s="124"/>
      <c r="D38" s="208"/>
      <c r="E38" s="209"/>
      <c r="F38" s="209"/>
      <c r="G38" s="209"/>
      <c r="H38" s="210"/>
    </row>
    <row r="39" spans="1:8" ht="14.45" customHeight="1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4" t="s">
        <v>519</v>
      </c>
      <c r="E43" s="205"/>
      <c r="F43" s="205"/>
      <c r="G43" s="205"/>
      <c r="H43" s="206"/>
    </row>
    <row r="44" spans="1:8" ht="14.45" customHeight="1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>
      <c r="A45" s="35"/>
      <c r="B45" s="119"/>
      <c r="C45" s="126"/>
      <c r="D45" s="205"/>
      <c r="E45" s="205"/>
      <c r="F45" s="205"/>
      <c r="G45" s="205"/>
      <c r="H45" s="206"/>
    </row>
    <row r="46" spans="1:8">
      <c r="A46" s="35"/>
      <c r="B46" s="119"/>
      <c r="C46" s="126"/>
      <c r="D46" s="205"/>
      <c r="E46" s="205"/>
      <c r="F46" s="205"/>
      <c r="G46" s="205"/>
      <c r="H46" s="206"/>
    </row>
    <row r="47" spans="1:8">
      <c r="A47" s="38"/>
      <c r="C47" s="126"/>
      <c r="D47" s="205"/>
      <c r="E47" s="205"/>
      <c r="F47" s="205"/>
      <c r="G47" s="205"/>
      <c r="H47" s="206"/>
    </row>
    <row r="48" spans="1:8">
      <c r="A48" s="38"/>
      <c r="C48" s="126"/>
      <c r="D48" s="205"/>
      <c r="E48" s="205"/>
      <c r="F48" s="205"/>
      <c r="G48" s="205"/>
      <c r="H48" s="206"/>
    </row>
    <row r="49" spans="1:13">
      <c r="A49" s="40"/>
      <c r="B49" s="31"/>
      <c r="C49" s="127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211</v>
      </c>
    </row>
    <row r="51" spans="1:13">
      <c r="A51" s="62" t="s">
        <v>200</v>
      </c>
      <c r="B51" s="63" t="s">
        <v>513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4" zoomScaleNormal="100" zoomScaleSheetLayoutView="100" zoomScalePageLayoutView="90" workbookViewId="0">
      <selection activeCell="B50" sqref="B50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1" t="s">
        <v>208</v>
      </c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0" t="s">
        <v>216</v>
      </c>
      <c r="D8" s="240"/>
      <c r="E8" s="240"/>
      <c r="F8" s="191">
        <v>1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40"/>
      <c r="D9" s="240"/>
      <c r="E9" s="240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0"/>
      <c r="C10" s="244"/>
      <c r="D10" s="244"/>
      <c r="E10" s="244"/>
      <c r="F10" s="195"/>
      <c r="G10" s="118"/>
      <c r="H10" s="39"/>
    </row>
    <row r="11" spans="1:8">
      <c r="A11" s="193"/>
      <c r="B11" s="198"/>
      <c r="C11" s="194">
        <f>SUM(F8:F10)</f>
        <v>1</v>
      </c>
      <c r="H11" s="39"/>
    </row>
    <row r="12" spans="1:8" ht="18.75">
      <c r="A12" s="75" t="s">
        <v>191</v>
      </c>
      <c r="B12" s="20">
        <f>КАГ!B8</f>
        <v>45229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0.2986111111111111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0.31944444444444448</v>
      </c>
      <c r="C14" s="12"/>
      <c r="D14" s="95" t="s">
        <v>173</v>
      </c>
      <c r="E14" s="93"/>
      <c r="F14" s="93"/>
      <c r="G14" s="80" t="str">
        <f>КАГ!G10</f>
        <v>Тарасова Н.В.</v>
      </c>
      <c r="H14" s="91" t="str">
        <f>IF(ISBLANK(КАГ!H10),"",КАГ!H10)</f>
        <v/>
      </c>
    </row>
    <row r="15" spans="1:8" ht="16.5" thickBot="1">
      <c r="A15" s="164" t="s">
        <v>390</v>
      </c>
      <c r="B15" s="189">
        <f>IF(B14&lt;B13,B14+1,B14)-B13</f>
        <v>2.083333333333337E-2</v>
      </c>
      <c r="D15" s="95" t="s">
        <v>170</v>
      </c>
      <c r="E15" s="93"/>
      <c r="F15" s="93"/>
      <c r="G15" s="80" t="str">
        <f>КАГ!G11</f>
        <v>Молотков А.В.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Богомолова Л.М.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17045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77</v>
      </c>
      <c r="H18" s="39"/>
    </row>
    <row r="19" spans="1:8" ht="14.45" customHeight="1">
      <c r="A19" s="15" t="s">
        <v>12</v>
      </c>
      <c r="B19" s="68">
        <f>КАГ!B14</f>
        <v>29712</v>
      </c>
      <c r="C19" s="69"/>
      <c r="D19" s="69"/>
      <c r="E19" s="69"/>
      <c r="F19" s="69"/>
      <c r="G19" s="166" t="s">
        <v>402</v>
      </c>
      <c r="H19" s="181" t="str">
        <f>КАГ!H15</f>
        <v>07:12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404</v>
      </c>
      <c r="H20" s="182">
        <f>КАГ!H16</f>
        <v>3130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8" t="s">
        <v>391</v>
      </c>
      <c r="H21" s="169">
        <f>КАГ!H17</f>
        <v>5.9470000000000001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>Реканализация:</v>
      </c>
      <c r="H22" s="186">
        <f>IFERROR(SUM(IF($B$21=Вмешательства!F3,SUM(КАГ!$B$9+0.01),"")),"")</f>
        <v>0.30166666666666669</v>
      </c>
    </row>
    <row r="23" spans="1:8" ht="14.45" customHeight="1">
      <c r="A23" s="65" t="s">
        <v>394</v>
      </c>
      <c r="B23" s="173" t="s">
        <v>393</v>
      </c>
      <c r="C23" s="163"/>
      <c r="D23" s="163"/>
      <c r="E23" s="163"/>
      <c r="F23" s="163"/>
      <c r="H23" s="39"/>
    </row>
    <row r="24" spans="1:8" ht="14.45" customHeight="1">
      <c r="A24" s="184" t="s">
        <v>392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8" t="s">
        <v>527</v>
      </c>
      <c r="B25" s="249"/>
      <c r="C25" s="249"/>
      <c r="D25" s="249"/>
      <c r="E25" s="249"/>
      <c r="F25" s="249"/>
      <c r="G25" s="249"/>
      <c r="H25" s="250"/>
    </row>
    <row r="26" spans="1:8" ht="14.45" customHeight="1">
      <c r="A26" s="251"/>
      <c r="B26" s="249"/>
      <c r="C26" s="249"/>
      <c r="D26" s="249"/>
      <c r="E26" s="249"/>
      <c r="F26" s="249"/>
      <c r="G26" s="249"/>
      <c r="H26" s="250"/>
    </row>
    <row r="27" spans="1:8" ht="14.45" customHeight="1">
      <c r="A27" s="251"/>
      <c r="B27" s="249"/>
      <c r="C27" s="249"/>
      <c r="D27" s="249"/>
      <c r="E27" s="249"/>
      <c r="F27" s="249"/>
      <c r="G27" s="249"/>
      <c r="H27" s="250"/>
    </row>
    <row r="28" spans="1:8" ht="14.45" customHeight="1">
      <c r="A28" s="251"/>
      <c r="B28" s="249"/>
      <c r="C28" s="249"/>
      <c r="D28" s="249"/>
      <c r="E28" s="249"/>
      <c r="F28" s="249"/>
      <c r="G28" s="249"/>
      <c r="H28" s="250"/>
    </row>
    <row r="29" spans="1:8" ht="14.45" customHeight="1">
      <c r="A29" s="251"/>
      <c r="B29" s="249"/>
      <c r="C29" s="249"/>
      <c r="D29" s="249"/>
      <c r="E29" s="249"/>
      <c r="F29" s="249"/>
      <c r="G29" s="249"/>
      <c r="H29" s="250"/>
    </row>
    <row r="30" spans="1:8" ht="14.45" customHeight="1">
      <c r="A30" s="251"/>
      <c r="B30" s="249"/>
      <c r="C30" s="249"/>
      <c r="D30" s="249"/>
      <c r="E30" s="249"/>
      <c r="F30" s="249"/>
      <c r="G30" s="249"/>
      <c r="H30" s="250"/>
    </row>
    <row r="31" spans="1:8" ht="14.45" customHeight="1">
      <c r="A31" s="251"/>
      <c r="B31" s="249"/>
      <c r="C31" s="249"/>
      <c r="D31" s="249"/>
      <c r="E31" s="249"/>
      <c r="F31" s="249"/>
      <c r="G31" s="249"/>
      <c r="H31" s="250"/>
    </row>
    <row r="32" spans="1:8" ht="14.45" customHeight="1">
      <c r="A32" s="251"/>
      <c r="B32" s="249"/>
      <c r="C32" s="249"/>
      <c r="D32" s="249"/>
      <c r="E32" s="249"/>
      <c r="F32" s="249"/>
      <c r="G32" s="249"/>
      <c r="H32" s="250"/>
    </row>
    <row r="33" spans="1:12" ht="14.45" customHeight="1">
      <c r="A33" s="251"/>
      <c r="B33" s="249"/>
      <c r="C33" s="249"/>
      <c r="D33" s="249"/>
      <c r="E33" s="249"/>
      <c r="F33" s="249"/>
      <c r="G33" s="249"/>
      <c r="H33" s="250"/>
    </row>
    <row r="34" spans="1:12" ht="14.45" customHeight="1">
      <c r="A34" s="251"/>
      <c r="B34" s="249"/>
      <c r="C34" s="249"/>
      <c r="D34" s="249"/>
      <c r="E34" s="249"/>
      <c r="F34" s="249"/>
      <c r="G34" s="249"/>
      <c r="H34" s="250"/>
    </row>
    <row r="35" spans="1:12" ht="14.45" customHeight="1">
      <c r="A35" s="251"/>
      <c r="B35" s="249"/>
      <c r="C35" s="249"/>
      <c r="D35" s="249"/>
      <c r="E35" s="249"/>
      <c r="F35" s="249"/>
      <c r="G35" s="249"/>
      <c r="H35" s="250"/>
    </row>
    <row r="36" spans="1:12" ht="14.45" customHeight="1">
      <c r="A36" s="251"/>
      <c r="B36" s="249"/>
      <c r="C36" s="249"/>
      <c r="D36" s="249"/>
      <c r="E36" s="249"/>
      <c r="F36" s="249"/>
      <c r="G36" s="249"/>
      <c r="H36" s="250"/>
    </row>
    <row r="37" spans="1:12" ht="14.45" customHeight="1">
      <c r="A37" s="251"/>
      <c r="B37" s="249"/>
      <c r="C37" s="249"/>
      <c r="D37" s="249"/>
      <c r="E37" s="249"/>
      <c r="F37" s="249"/>
      <c r="G37" s="249"/>
      <c r="H37" s="250"/>
    </row>
    <row r="38" spans="1:12" ht="14.45" customHeight="1">
      <c r="A38" s="178" t="s">
        <v>398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395</v>
      </c>
      <c r="B39" s="70" t="s">
        <v>397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396</v>
      </c>
      <c r="B40" s="179" t="s">
        <v>513</v>
      </c>
      <c r="C40" s="120"/>
      <c r="D40" s="245" t="s">
        <v>520</v>
      </c>
      <c r="E40" s="246"/>
      <c r="F40" s="246"/>
      <c r="G40" s="246"/>
      <c r="H40" s="247"/>
    </row>
    <row r="41" spans="1:12" ht="14.45" customHeight="1">
      <c r="A41" s="32"/>
      <c r="B41" s="28"/>
      <c r="C41" s="120"/>
      <c r="D41" s="246"/>
      <c r="E41" s="246"/>
      <c r="F41" s="246"/>
      <c r="G41" s="246"/>
      <c r="H41" s="247"/>
    </row>
    <row r="42" spans="1:12" ht="14.45" customHeight="1">
      <c r="A42" s="32"/>
      <c r="B42" s="28"/>
      <c r="C42" s="120"/>
      <c r="D42" s="246"/>
      <c r="E42" s="246"/>
      <c r="F42" s="246"/>
      <c r="G42" s="246"/>
      <c r="H42" s="247"/>
    </row>
    <row r="43" spans="1:12" ht="14.45" customHeight="1">
      <c r="A43" s="32"/>
      <c r="B43" s="28"/>
      <c r="C43" s="120"/>
      <c r="D43" s="246"/>
      <c r="E43" s="246"/>
      <c r="F43" s="246"/>
      <c r="G43" s="246"/>
      <c r="H43" s="247"/>
    </row>
    <row r="44" spans="1:12" ht="14.45" customHeight="1">
      <c r="A44" s="32"/>
      <c r="B44" s="28"/>
      <c r="C44" s="120"/>
      <c r="D44" s="246"/>
      <c r="E44" s="246"/>
      <c r="F44" s="246"/>
      <c r="G44" s="246"/>
      <c r="H44" s="247"/>
      <c r="L44" s="161"/>
    </row>
    <row r="45" spans="1:12" ht="14.45" customHeight="1">
      <c r="A45" s="32"/>
      <c r="B45" s="28"/>
      <c r="C45" s="120"/>
      <c r="D45" s="246"/>
      <c r="E45" s="246"/>
      <c r="F45" s="246"/>
      <c r="G45" s="246"/>
      <c r="H45" s="247"/>
    </row>
    <row r="46" spans="1:12" ht="14.45" customHeight="1">
      <c r="A46" s="32"/>
      <c r="B46" s="28"/>
      <c r="C46" s="120"/>
      <c r="D46" s="246"/>
      <c r="E46" s="246"/>
      <c r="F46" s="246"/>
      <c r="G46" s="246"/>
      <c r="H46" s="247"/>
    </row>
    <row r="47" spans="1:12" ht="14.45" customHeight="1">
      <c r="A47" s="38"/>
      <c r="C47" s="120"/>
      <c r="D47" s="246"/>
      <c r="E47" s="246"/>
      <c r="F47" s="246"/>
      <c r="G47" s="246"/>
      <c r="H47" s="247"/>
    </row>
    <row r="48" spans="1:12" ht="14.45" customHeight="1">
      <c r="A48" s="38"/>
      <c r="C48" s="120"/>
      <c r="D48" s="246"/>
      <c r="E48" s="246"/>
      <c r="F48" s="246"/>
      <c r="G48" s="246"/>
      <c r="H48" s="247"/>
    </row>
    <row r="49" spans="1:8" ht="14.45" customHeight="1">
      <c r="A49" s="38"/>
      <c r="C49" s="120"/>
      <c r="D49" s="246"/>
      <c r="E49" s="246"/>
      <c r="F49" s="246"/>
      <c r="G49" s="246"/>
      <c r="H49" s="247"/>
    </row>
    <row r="50" spans="1:8">
      <c r="A50" s="62" t="s">
        <v>200</v>
      </c>
      <c r="B50" s="63" t="s">
        <v>513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1" t="s">
        <v>375</v>
      </c>
      <c r="B52" s="232"/>
      <c r="C52" s="232"/>
      <c r="D52" s="232"/>
      <c r="E52" s="232"/>
      <c r="F52" s="233"/>
      <c r="H52" s="39"/>
    </row>
    <row r="53" spans="1:8" ht="15" customHeight="1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>
      <c r="A54" s="237"/>
      <c r="B54" s="238"/>
      <c r="C54" s="238"/>
      <c r="D54" s="238"/>
      <c r="E54" s="238"/>
      <c r="F54" s="239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J18" sqref="J18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45229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Богомолова Л.М.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17045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77</v>
      </c>
    </row>
    <row r="7" spans="1:4">
      <c r="A7" s="38"/>
      <c r="C7" s="101" t="s">
        <v>12</v>
      </c>
      <c r="D7" s="103">
        <f>КАГ!$B$14</f>
        <v>29712</v>
      </c>
    </row>
    <row r="8" spans="1:4">
      <c r="A8" s="196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47</v>
      </c>
      <c r="C9" s="105" t="s">
        <v>106</v>
      </c>
      <c r="D9" s="103" t="str">
        <f>КАГ!$B$16</f>
        <v>ОКС с ↑ ST</v>
      </c>
    </row>
    <row r="10" spans="1:4">
      <c r="A10" s="197"/>
      <c r="B10" s="31"/>
      <c r="C10" s="151" t="s">
        <v>13</v>
      </c>
      <c r="D10" s="152">
        <f>КАГ!$B$8</f>
        <v>45229</v>
      </c>
    </row>
    <row r="11" spans="1:4">
      <c r="A11" s="27"/>
      <c r="B11" s="112"/>
      <c r="C11" s="112"/>
      <c r="D11" s="113"/>
    </row>
    <row r="12" spans="1:4" ht="18.75" customHeight="1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512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331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376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6" s="155" t="s">
        <v>310</v>
      </c>
      <c r="C16" s="183"/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5" t="s">
        <v>313</v>
      </c>
      <c r="C17" s="183" t="s">
        <v>419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6" t="s">
        <v>518</v>
      </c>
      <c r="C18" s="136" t="s">
        <v>453</v>
      </c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515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372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489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488</v>
      </c>
      <c r="G3" s="3" t="s">
        <v>489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489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403</v>
      </c>
      <c r="F5" t="s">
        <v>131</v>
      </c>
      <c r="G5" s="3" t="s">
        <v>489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489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489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489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489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490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488</v>
      </c>
      <c r="G13" s="3" t="s">
        <v>490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490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490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491</v>
      </c>
      <c r="V17" t="s">
        <v>400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506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39" zoomScaleNormal="100" workbookViewId="0">
      <selection activeCell="AI57" sqref="AI57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503</v>
      </c>
      <c r="AN1" s="2" t="s">
        <v>497</v>
      </c>
      <c r="AO1" t="s">
        <v>357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1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5" t="str">
        <f>IFERROR(INDEX(Расходка[Наименование расходного материала],MATCH(Расходка[[#This Row],[№]],Поиск_расходки[Индекс3],0)),"")</f>
        <v>Sion Blue</v>
      </c>
      <c r="U2" s="115" t="str">
        <f>IFERROR(INDEX(Расходка[Наименование расходного материала],MATCH(Расходка[[#This Row],[№]],Поиск_расходки[Индекс4],0)),"")</f>
        <v>Hunter® 6F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NC Accuforce</v>
      </c>
      <c r="Y2" s="115" t="str">
        <f>IFERROR(INDEX(Расходка[Наименование расходного материала],MATCH(Расходка[[#This Row],[№]],Поиск_расходки[Индекс8],0)),"")</f>
        <v>DES, Metafor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405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499</v>
      </c>
      <c r="AP2" s="129"/>
    </row>
    <row r="3" spans="1:42">
      <c r="A3">
        <v>2</v>
      </c>
      <c r="B3" t="s">
        <v>94</v>
      </c>
      <c r="C3" t="s">
        <v>374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406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492</v>
      </c>
      <c r="AO3" t="s">
        <v>500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407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505</v>
      </c>
      <c r="AO4" t="s">
        <v>502</v>
      </c>
      <c r="AP4" s="130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1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408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501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409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504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410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498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411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412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379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0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413</v>
      </c>
      <c r="AI10" t="s">
        <v>356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401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414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415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368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416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495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365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417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418</v>
      </c>
      <c r="AI16" t="s">
        <v>306</v>
      </c>
    </row>
    <row r="17" spans="1:35">
      <c r="A17">
        <v>16</v>
      </c>
      <c r="B17" t="s">
        <v>306</v>
      </c>
      <c r="C17" t="s">
        <v>380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419</v>
      </c>
      <c r="AI17" t="s">
        <v>206</v>
      </c>
    </row>
    <row r="18" spans="1:35">
      <c r="A18">
        <v>17</v>
      </c>
      <c r="B18" t="s">
        <v>306</v>
      </c>
      <c r="C18" t="s">
        <v>370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420</v>
      </c>
      <c r="AI18" t="s">
        <v>95</v>
      </c>
    </row>
    <row r="19" spans="1:35">
      <c r="A19">
        <v>18</v>
      </c>
      <c r="B19" t="s">
        <v>306</v>
      </c>
      <c r="C19" t="s">
        <v>508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421</v>
      </c>
      <c r="AI19" t="s">
        <v>301</v>
      </c>
    </row>
    <row r="20" spans="1:35">
      <c r="A20">
        <v>19</v>
      </c>
      <c r="B20" t="s">
        <v>206</v>
      </c>
      <c r="C20" s="1" t="s">
        <v>339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422</v>
      </c>
      <c r="AI20" t="s">
        <v>308</v>
      </c>
    </row>
    <row r="21" spans="1:35">
      <c r="A21">
        <v>20</v>
      </c>
      <c r="B21" t="s">
        <v>306</v>
      </c>
      <c r="C21" s="1" t="s">
        <v>511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423</v>
      </c>
    </row>
    <row r="22" spans="1:35">
      <c r="A22">
        <v>21</v>
      </c>
      <c r="B22" t="s">
        <v>306</v>
      </c>
      <c r="C22" s="1" t="s">
        <v>512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424</v>
      </c>
    </row>
    <row r="23" spans="1:35">
      <c r="A23">
        <v>22</v>
      </c>
      <c r="B23" t="s">
        <v>3</v>
      </c>
      <c r="C23" t="s">
        <v>322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425</v>
      </c>
    </row>
    <row r="24" spans="1:35">
      <c r="A24">
        <v>23</v>
      </c>
      <c r="B24" t="s">
        <v>3</v>
      </c>
      <c r="C24" t="s">
        <v>343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426</v>
      </c>
    </row>
    <row r="25" spans="1:35">
      <c r="A25">
        <v>24</v>
      </c>
      <c r="B25" t="s">
        <v>3</v>
      </c>
      <c r="C25" t="s">
        <v>315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427</v>
      </c>
    </row>
    <row r="26" spans="1:35">
      <c r="A26">
        <v>25</v>
      </c>
      <c r="B26" t="s">
        <v>3</v>
      </c>
      <c r="C26" t="s">
        <v>377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428</v>
      </c>
    </row>
    <row r="27" spans="1:35">
      <c r="A27">
        <v>26</v>
      </c>
      <c r="B27" t="s">
        <v>3</v>
      </c>
      <c r="C27" t="s">
        <v>378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429</v>
      </c>
    </row>
    <row r="28" spans="1:35">
      <c r="A28">
        <v>27</v>
      </c>
      <c r="B28" t="s">
        <v>3</v>
      </c>
      <c r="C28" s="1" t="s">
        <v>360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430</v>
      </c>
    </row>
    <row r="29" spans="1:35">
      <c r="A29">
        <v>28</v>
      </c>
      <c r="B29" t="s">
        <v>3</v>
      </c>
      <c r="C29" s="1" t="s">
        <v>373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431</v>
      </c>
    </row>
    <row r="30" spans="1:35">
      <c r="A30">
        <v>29</v>
      </c>
      <c r="B30" t="s">
        <v>3</v>
      </c>
      <c r="C30" s="1" t="s">
        <v>323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493</v>
      </c>
    </row>
    <row r="31" spans="1:35">
      <c r="A31">
        <v>30</v>
      </c>
      <c r="B31" t="s">
        <v>3</v>
      </c>
      <c r="C31" t="s">
        <v>319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432</v>
      </c>
    </row>
    <row r="32" spans="1:35">
      <c r="A32">
        <v>31</v>
      </c>
      <c r="B32" t="s">
        <v>3</v>
      </c>
      <c r="C32" t="s">
        <v>320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433</v>
      </c>
    </row>
    <row r="33" spans="1:33">
      <c r="A33">
        <v>32</v>
      </c>
      <c r="B33" t="s">
        <v>3</v>
      </c>
      <c r="C33" t="s">
        <v>321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434</v>
      </c>
    </row>
    <row r="34" spans="1:33">
      <c r="A34">
        <v>33</v>
      </c>
      <c r="B34" t="s">
        <v>3</v>
      </c>
      <c r="C34" t="s">
        <v>317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435</v>
      </c>
    </row>
    <row r="35" spans="1:33">
      <c r="A35">
        <v>34</v>
      </c>
      <c r="B35" t="s">
        <v>3</v>
      </c>
      <c r="C35" s="1" t="s">
        <v>354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494</v>
      </c>
    </row>
    <row r="36" spans="1:33">
      <c r="A36">
        <v>35</v>
      </c>
      <c r="B36" t="s">
        <v>3</v>
      </c>
      <c r="C36" s="1" t="s">
        <v>362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436</v>
      </c>
    </row>
    <row r="37" spans="1:33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409</v>
      </c>
    </row>
    <row r="38" spans="1:33">
      <c r="A38">
        <v>37</v>
      </c>
      <c r="B38" t="s">
        <v>3</v>
      </c>
      <c r="C38" t="s">
        <v>316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496</v>
      </c>
    </row>
    <row r="39" spans="1:33">
      <c r="A39">
        <v>38</v>
      </c>
      <c r="B39" t="s">
        <v>3</v>
      </c>
      <c r="C39" t="s">
        <v>381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437</v>
      </c>
    </row>
    <row r="40" spans="1:33">
      <c r="A40">
        <v>39</v>
      </c>
      <c r="B40" t="s">
        <v>3</v>
      </c>
      <c r="C40" s="1" t="s">
        <v>376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1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438</v>
      </c>
    </row>
    <row r="41" spans="1:33">
      <c r="A41">
        <v>40</v>
      </c>
      <c r="B41" t="s">
        <v>3</v>
      </c>
      <c r="C41" t="s">
        <v>318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439</v>
      </c>
    </row>
    <row r="42" spans="1:33">
      <c r="A42">
        <v>41</v>
      </c>
      <c r="B42" t="s">
        <v>3</v>
      </c>
      <c r="C42" t="s">
        <v>363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440</v>
      </c>
    </row>
    <row r="43" spans="1:33">
      <c r="A43">
        <v>42</v>
      </c>
      <c r="B43" t="s">
        <v>3</v>
      </c>
      <c r="C43" t="s">
        <v>364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413</v>
      </c>
    </row>
    <row r="44" spans="1:33">
      <c r="A44">
        <v>43</v>
      </c>
      <c r="B44" t="s">
        <v>3</v>
      </c>
      <c r="C44" t="s">
        <v>347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4" s="4" t="s">
        <v>6</v>
      </c>
      <c r="AG44" s="4" t="s">
        <v>441</v>
      </c>
    </row>
    <row r="45" spans="1:33">
      <c r="A45">
        <v>44</v>
      </c>
      <c r="B45" t="s">
        <v>3</v>
      </c>
      <c r="C45" t="s">
        <v>96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5" s="4" t="s">
        <v>6</v>
      </c>
      <c r="AG45" s="4" t="s">
        <v>442</v>
      </c>
    </row>
    <row r="46" spans="1:33">
      <c r="A46">
        <v>45</v>
      </c>
      <c r="B46" t="s">
        <v>3</v>
      </c>
      <c r="C46" t="s">
        <v>516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6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6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6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6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6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6" s="4" t="s">
        <v>6</v>
      </c>
      <c r="AG46" s="4" t="s">
        <v>443</v>
      </c>
    </row>
    <row r="47" spans="1:33">
      <c r="A47">
        <v>46</v>
      </c>
      <c r="B47" t="s">
        <v>6</v>
      </c>
      <c r="C47" s="1" t="s">
        <v>278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BMS, Integtity</v>
      </c>
      <c r="W47" s="115" t="str">
        <f>IFERROR(INDEX(Расходка[Наименование расходного материала],MATCH(Расходка[[#This Row],[№]],Поиск_расходки[Индекс6],0)),"")</f>
        <v>BMS, Integtity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7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7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7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7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7" s="4" t="s">
        <v>6</v>
      </c>
      <c r="AG47" s="4" t="s">
        <v>444</v>
      </c>
    </row>
    <row r="48" spans="1:33">
      <c r="A48">
        <v>47</v>
      </c>
      <c r="B48" t="s">
        <v>6</v>
      </c>
      <c r="C48" s="158" t="s">
        <v>346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DES, Calipso</v>
      </c>
      <c r="W48" s="115" t="str">
        <f>IFERROR(INDEX(Расходка[Наименование расходного материала],MATCH(Расходка[[#This Row],[№]],Поиск_расходки[Индекс6],0)),"")</f>
        <v>DES, Calipso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DES, Calipso</v>
      </c>
      <c r="AA48" s="115" t="str">
        <f>IFERROR(INDEX(Расходка[Наименование расходного материала],MATCH(Расходка[[#This Row],[№]],Поиск_расходки[Индекс10],0)),"")</f>
        <v>DES, Calipso</v>
      </c>
      <c r="AB48" s="115" t="str">
        <f>IFERROR(INDEX(Расходка[Наименование расходного материала],MATCH(Расходка[[#This Row],[№]],Поиск_расходки[Индекс11],0)),"")</f>
        <v>DES, Calipso</v>
      </c>
      <c r="AC48" s="115" t="str">
        <f>IFERROR(INDEX(Расходка[Наименование расходного материала],MATCH(Расходка[[#This Row],[№]],Поиск_расходки[Индекс12],0)),"")</f>
        <v>DES, Calipso</v>
      </c>
      <c r="AD48" s="115" t="str">
        <f>IFERROR(INDEX(Расходка[Наименование расходного материала],MATCH(Расходка[[#This Row],[№]],Поиск_расходки[Индекс13],0)),"")</f>
        <v>DES, Calipso</v>
      </c>
      <c r="AF48" s="4" t="s">
        <v>6</v>
      </c>
      <c r="AG48" s="4" t="s">
        <v>445</v>
      </c>
    </row>
    <row r="49" spans="1:33">
      <c r="A49">
        <v>48</v>
      </c>
      <c r="B49" t="s">
        <v>6</v>
      </c>
      <c r="C49" s="158" t="s">
        <v>345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0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NanoMed</v>
      </c>
      <c r="W49" s="115" t="str">
        <f>IFERROR(INDEX(Расходка[Наименование расходного материала],MATCH(Расходка[[#This Row],[№]],Поиск_расходки[Индекс6],0)),"")</f>
        <v>DES, NanoMed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DES, NanoMed</v>
      </c>
      <c r="AA49" s="115" t="str">
        <f>IFERROR(INDEX(Расходка[Наименование расходного материала],MATCH(Расходка[[#This Row],[№]],Поиск_расходки[Индекс10],0)),"")</f>
        <v>DES, NanoMed</v>
      </c>
      <c r="AB49" s="115" t="str">
        <f>IFERROR(INDEX(Расходка[Наименование расходного материала],MATCH(Расходка[[#This Row],[№]],Поиск_расходки[Индекс11],0)),"")</f>
        <v>DES, NanoMed</v>
      </c>
      <c r="AC49" s="115" t="str">
        <f>IFERROR(INDEX(Расходка[Наименование расходного материала],MATCH(Расходка[[#This Row],[№]],Поиск_расходки[Индекс12],0)),"")</f>
        <v>DES, NanoMed</v>
      </c>
      <c r="AD49" s="115" t="str">
        <f>IFERROR(INDEX(Расходка[Наименование расходного материала],MATCH(Расходка[[#This Row],[№]],Поиск_расходки[Индекс13],0)),"")</f>
        <v>DES, NanoMed</v>
      </c>
      <c r="AF49" s="4" t="s">
        <v>6</v>
      </c>
      <c r="AG49" s="4" t="s">
        <v>446</v>
      </c>
    </row>
    <row r="50" spans="1:33">
      <c r="A50">
        <v>49</v>
      </c>
      <c r="B50" t="s">
        <v>6</v>
      </c>
      <c r="C50" s="131" t="s">
        <v>324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0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0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0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0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0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0" s="4" t="s">
        <v>6</v>
      </c>
      <c r="AG50" s="4" t="s">
        <v>447</v>
      </c>
    </row>
    <row r="51" spans="1:33">
      <c r="A51">
        <v>50</v>
      </c>
      <c r="B51" t="s">
        <v>6</v>
      </c>
      <c r="C51" t="s">
        <v>358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1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1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1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1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1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1" s="4" t="s">
        <v>6</v>
      </c>
      <c r="AG51" s="4" t="s">
        <v>448</v>
      </c>
    </row>
    <row r="52" spans="1:33">
      <c r="A52">
        <v>51</v>
      </c>
      <c r="B52" t="s">
        <v>6</v>
      </c>
      <c r="C52" s="162" t="s">
        <v>389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0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Firehawk</v>
      </c>
      <c r="W52" s="115" t="str">
        <f>IFERROR(INDEX(Расходка[Наименование расходного материала],MATCH(Расходка[[#This Row],[№]],Поиск_расходки[Индекс6],0)),"")</f>
        <v>DES, Firehawk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DES, Firehawk</v>
      </c>
      <c r="AA52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2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2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2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2" s="4" t="s">
        <v>6</v>
      </c>
      <c r="AG52" s="4" t="s">
        <v>449</v>
      </c>
    </row>
    <row r="53" spans="1:33">
      <c r="A53">
        <v>52</v>
      </c>
      <c r="B53" t="s">
        <v>6</v>
      </c>
      <c r="C53" t="s">
        <v>388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3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3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3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3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3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3" s="4" t="s">
        <v>6</v>
      </c>
      <c r="AG53" s="4" t="s">
        <v>450</v>
      </c>
    </row>
    <row r="54" spans="1:33">
      <c r="A54">
        <v>53</v>
      </c>
      <c r="B54" t="s">
        <v>6</v>
      </c>
      <c r="C54" t="s">
        <v>518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1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Metafor</v>
      </c>
      <c r="W54" s="115" t="str">
        <f>IFERROR(INDEX(Расходка[Наименование расходного материала],MATCH(Расходка[[#This Row],[№]],Поиск_расходки[Индекс6],0)),"")</f>
        <v>DES, Metafor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DES, Metafor</v>
      </c>
      <c r="AA54" s="115" t="str">
        <f>IFERROR(INDEX(Расходка[Наименование расходного материала],MATCH(Расходка[[#This Row],[№]],Поиск_расходки[Индекс10],0)),"")</f>
        <v>DES, Metafor</v>
      </c>
      <c r="AB54" s="115" t="str">
        <f>IFERROR(INDEX(Расходка[Наименование расходного материала],MATCH(Расходка[[#This Row],[№]],Поиск_расходки[Индекс11],0)),"")</f>
        <v>DES, Metafor</v>
      </c>
      <c r="AC54" s="115" t="str">
        <f>IFERROR(INDEX(Расходка[Наименование расходного материала],MATCH(Расходка[[#This Row],[№]],Поиск_расходки[Индекс12],0)),"")</f>
        <v>DES, Metafor</v>
      </c>
      <c r="AD54" s="115" t="str">
        <f>IFERROR(INDEX(Расходка[Наименование расходного материала],MATCH(Расходка[[#This Row],[№]],Поиск_расходки[Индекс13],0)),"")</f>
        <v>DES, Metafor</v>
      </c>
      <c r="AF54" s="4" t="s">
        <v>6</v>
      </c>
      <c r="AG54" s="4" t="s">
        <v>451</v>
      </c>
    </row>
    <row r="55" spans="1:33">
      <c r="A55">
        <v>54</v>
      </c>
      <c r="B55" t="s">
        <v>95</v>
      </c>
      <c r="C55" s="1" t="s">
        <v>325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5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5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5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5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5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5" s="4" t="s">
        <v>6</v>
      </c>
      <c r="AG55" s="4" t="s">
        <v>452</v>
      </c>
    </row>
    <row r="56" spans="1:33">
      <c r="A56">
        <v>55</v>
      </c>
      <c r="B56" t="s">
        <v>95</v>
      </c>
      <c r="C56" s="1" t="s">
        <v>344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6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6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6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6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6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6" s="4" t="s">
        <v>6</v>
      </c>
      <c r="AG56" s="4" t="s">
        <v>453</v>
      </c>
    </row>
    <row r="57" spans="1:33">
      <c r="A57">
        <v>56</v>
      </c>
      <c r="B57" t="s">
        <v>4</v>
      </c>
      <c r="C57" t="s">
        <v>351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7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7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7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7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7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7" s="4" t="s">
        <v>6</v>
      </c>
      <c r="AG57" s="4" t="s">
        <v>454</v>
      </c>
    </row>
    <row r="58" spans="1:33">
      <c r="A58">
        <v>57</v>
      </c>
      <c r="B58" t="s">
        <v>4</v>
      </c>
      <c r="C58" t="s">
        <v>352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8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8" s="4" t="s">
        <v>6</v>
      </c>
      <c r="AG58" s="4" t="s">
        <v>455</v>
      </c>
    </row>
    <row r="59" spans="1:33">
      <c r="A59">
        <v>58</v>
      </c>
      <c r="B59" t="s">
        <v>4</v>
      </c>
      <c r="C59" t="s">
        <v>514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59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59" s="4" t="s">
        <v>6</v>
      </c>
      <c r="AG59" s="4" t="s">
        <v>456</v>
      </c>
    </row>
    <row r="60" spans="1:33">
      <c r="A60">
        <v>59</v>
      </c>
      <c r="B60" t="s">
        <v>4</v>
      </c>
      <c r="C60" t="s">
        <v>326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0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0" s="4" t="s">
        <v>6</v>
      </c>
      <c r="AG60" s="4" t="s">
        <v>457</v>
      </c>
    </row>
    <row r="61" spans="1:33">
      <c r="A61">
        <v>60</v>
      </c>
      <c r="B61" t="s">
        <v>4</v>
      </c>
      <c r="C61" t="s">
        <v>327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1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1" s="4" t="s">
        <v>6</v>
      </c>
      <c r="AG61" s="4" t="s">
        <v>418</v>
      </c>
    </row>
    <row r="62" spans="1:33">
      <c r="A62">
        <v>61</v>
      </c>
      <c r="B62" t="s">
        <v>4</v>
      </c>
      <c r="C62" t="s">
        <v>328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2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2" s="4" t="s">
        <v>6</v>
      </c>
      <c r="AG62" s="4" t="s">
        <v>458</v>
      </c>
    </row>
    <row r="63" spans="1:33">
      <c r="A63">
        <v>62</v>
      </c>
      <c r="B63" t="s">
        <v>4</v>
      </c>
      <c r="C63" t="s">
        <v>329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3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3" s="4" t="s">
        <v>6</v>
      </c>
      <c r="AG63" s="4" t="s">
        <v>459</v>
      </c>
    </row>
    <row r="64" spans="1:33">
      <c r="A64">
        <v>63</v>
      </c>
      <c r="B64" t="s">
        <v>4</v>
      </c>
      <c r="C64" t="s">
        <v>335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4" s="4" t="s">
        <v>6</v>
      </c>
      <c r="AG64" s="4" t="s">
        <v>460</v>
      </c>
    </row>
    <row r="65" spans="1:33">
      <c r="A65">
        <v>64</v>
      </c>
      <c r="B65" t="s">
        <v>4</v>
      </c>
      <c r="C65" t="s">
        <v>330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5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5" s="4" t="s">
        <v>6</v>
      </c>
      <c r="AG65" s="4" t="s">
        <v>461</v>
      </c>
    </row>
    <row r="66" spans="1:33">
      <c r="A66">
        <v>65</v>
      </c>
      <c r="B66" t="s">
        <v>4</v>
      </c>
      <c r="C66" t="s">
        <v>331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1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JR 4.0</v>
      </c>
      <c r="W66" s="115" t="str">
        <f>IFERROR(INDEX(Расходка[Наименование расходного материала],MATCH(Расходка[[#This Row],[№]],Поиск_расходки[Индекс6],0)),"")</f>
        <v>Launcher 6F JR 4.0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Launcher 6F JR 4.0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4.0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4.0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4.0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4.0</v>
      </c>
      <c r="AF66" s="4" t="s">
        <v>6</v>
      </c>
      <c r="AG66" s="4" t="s">
        <v>462</v>
      </c>
    </row>
    <row r="67" spans="1:33">
      <c r="A67">
        <v>66</v>
      </c>
      <c r="B67" t="s">
        <v>4</v>
      </c>
      <c r="C67" t="s">
        <v>341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66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0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7" s="200" t="str">
        <f>IFERROR(INDEX(Расходка[Наименование расходного материала],MATCH(Расходка[[#This Row],[№]],Поиск_расходки[Индекс6],0)),"")</f>
        <v>Launcher 7F JL 3.5</v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7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7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7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7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7" s="4" t="s">
        <v>6</v>
      </c>
      <c r="AG67" s="4" t="s">
        <v>463</v>
      </c>
    </row>
    <row r="68" spans="1:33">
      <c r="A68">
        <v>67</v>
      </c>
      <c r="B68" t="s">
        <v>4</v>
      </c>
      <c r="C68" t="s">
        <v>340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67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0</v>
      </c>
      <c r="M68" s="199">
        <f>IF(ISNUMBER(SEARCH('Карта учёта'!$B$20,Расходка[[#This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8" s="200" t="str">
        <f>IFERROR(INDEX(Расходка[Наименование расходного материала],MATCH(Расходка[[#This Row],[№]],Поиск_расходки[Индекс6],0)),"")</f>
        <v>Launcher 7F JL 4.0</v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68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8" s="4" t="s">
        <v>6</v>
      </c>
      <c r="AG68" s="4" t="s">
        <v>464</v>
      </c>
    </row>
    <row r="69" spans="1:33">
      <c r="A69">
        <v>68</v>
      </c>
      <c r="B69" t="s">
        <v>301</v>
      </c>
      <c r="C69" s="1" t="s">
        <v>332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68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0</v>
      </c>
      <c r="M69" s="199">
        <f>IF(ISNUMBER(SEARCH('Карта учёта'!$B$20,Расходка[[#This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69" s="200" t="str">
        <f>IFERROR(INDEX(Расходка[Наименование расходного материала],MATCH(Расходка[[#This Row],[№]],Поиск_расходки[Индекс6],0)),"")</f>
        <v>Angio-Seal™ VIP</v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69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69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69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69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69" s="4" t="s">
        <v>6</v>
      </c>
      <c r="AG69" s="4" t="s">
        <v>465</v>
      </c>
    </row>
    <row r="70" spans="1:33">
      <c r="A70">
        <v>69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0</v>
      </c>
      <c r="J70" s="199">
        <f>IF(ISNUMBER(SEARCH('Карта учёта'!$B$19,Расходка[[#This Row],[Наименование расходного материала]])),MAX($J$1:J69)+1,0)</f>
        <v>0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0</v>
      </c>
      <c r="M70" s="199">
        <f>IF(ISNUMBER(SEARCH('Карта учёта'!$B$20,Расходка[[#This Row],[Наименование расходного материала]])),MAX($M$1:M69)+1,0)</f>
        <v>0</v>
      </c>
      <c r="N70" s="199">
        <f>IF(ISNUMBER(SEARCH('Карта учёта'!$B$22,Расходка[[#This Row],[Наименование расходного материала]])),MAX($N$1:N69)+1,0)</f>
        <v>0</v>
      </c>
      <c r="O70" s="199">
        <f>IF(ISNUMBER(SEARCH('Карта учёта'!$B$23,Расходка[[#This Row],[Наименование расходного материала]])),MAX($O$1:O69)+1,0)</f>
        <v>0</v>
      </c>
      <c r="P70" s="199">
        <f>IF(ISNUMBER(SEARCH('Карта учёта'!$B$24,Расходка[[#This Row],[Наименование расходного материала]])),MAX($P$1:P69)+1,0)</f>
        <v>0</v>
      </c>
      <c r="Q70" s="199">
        <f>IF(ISNUMBER(SEARCH('Карта учёта'!$B$25,Расходка[[#This Row],[Наименование расходного материала]])),MAX($Q$1:Q69)+1,0)</f>
        <v>0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/>
      </c>
      <c r="W70" s="200" t="str">
        <f>IFERROR(INDEX(Расходка[Наименование расходного материала],MATCH(Расходка[[#This Row],[№]],Поиск_расходки[Индекс6],0)),"")</f>
        <v/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/>
      </c>
      <c r="AA70" s="200" t="str">
        <f>IFERROR(INDEX(Расходка[Наименование расходного материала],MATCH(Расходка[[#This Row],[№]],Поиск_расходки[Индекс10],0)),"")</f>
        <v/>
      </c>
      <c r="AB70" s="200" t="str">
        <f>IFERROR(INDEX(Расходка[Наименование расходного материала],MATCH(Расходка[[#This Row],[№]],Поиск_расходки[Индекс11],0)),"")</f>
        <v/>
      </c>
      <c r="AC70" s="200" t="str">
        <f>IFERROR(INDEX(Расходка[Наименование расходного материала],MATCH(Расходка[[#This Row],[№]],Поиск_расходки[Индекс12],0)),"")</f>
        <v/>
      </c>
      <c r="AD70" s="200" t="str">
        <f>IFERROR(INDEX(Расходка[Наименование расходного материала],MATCH(Расходка[[#This Row],[№]],Поиск_расходки[Индекс13],0)),"")</f>
        <v/>
      </c>
      <c r="AF70" s="4" t="s">
        <v>6</v>
      </c>
      <c r="AG70" s="4" t="s">
        <v>466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421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467</v>
      </c>
    </row>
    <row r="73" spans="1:33"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>Hunter® 6F</v>
      </c>
      <c r="S73" s="200" t="str">
        <f>IFERROR(INDEX(Расходка[Наименование расходного материала],MATCH(Расходка[[#This Row],[№]],Поиск_расходки[Индекс2],0)),"")</f>
        <v>Hunter® 6F</v>
      </c>
      <c r="T73" s="200" t="str">
        <f>IFERROR(INDEX(Расходка[Наименование расходного материала],MATCH(Расходка[[#This Row],[№]],Поиск_расходки[Индекс3],0)),"")</f>
        <v>Hunter® 6F</v>
      </c>
      <c r="U73" s="200" t="str">
        <f>IFERROR(INDEX(Расходка[Наименование расходного материала],MATCH(Расходка[[#This Row],[№]],Поиск_расходки[Индекс4],0)),"")</f>
        <v xml:space="preserve">Medtronic Export Advance </v>
      </c>
      <c r="V73" s="200">
        <f>IFERROR(INDEX(Расходка[Наименование расходного материала],MATCH(Расходка[[#This Row],[№]],Поиск_расходки[Индекс5],0)),"")</f>
        <v>0</v>
      </c>
      <c r="W73" s="200">
        <f>IFERROR(INDEX(Расходка[Наименование расходного материала],MATCH(Расходка[[#This Row],[№]],Поиск_расходки[Индекс6],0)),"")</f>
        <v>0</v>
      </c>
      <c r="X73" s="200" t="str">
        <f>IFERROR(INDEX(Расходка[Наименование расходного материала],MATCH(Расходка[[#This Row],[№]],Поиск_расходки[Индекс7],0)),"")</f>
        <v>Hunter® 6F</v>
      </c>
      <c r="Y73" s="200" t="str">
        <f>IFERROR(INDEX(Расходка[Наименование расходного материала],MATCH(Расходка[[#This Row],[№]],Поиск_расходки[Индекс8],0)),"")</f>
        <v>Hunter® 6F</v>
      </c>
      <c r="Z73" s="200">
        <f>IFERROR(INDEX(Расходка[Наименование расходного материала],MATCH(Расходка[[#This Row],[№]],Поиск_расходки[Индекс9],0)),"")</f>
        <v>0</v>
      </c>
      <c r="AA73" s="200">
        <f>IFERROR(INDEX(Расходка[Наименование расходного материала],MATCH(Расходка[[#This Row],[№]],Поиск_расходки[Индекс10],0)),"")</f>
        <v>0</v>
      </c>
      <c r="AB73" s="200">
        <f>IFERROR(INDEX(Расходка[Наименование расходного материала],MATCH(Расходка[[#This Row],[№]],Поиск_расходки[Индекс11],0)),"")</f>
        <v>0</v>
      </c>
      <c r="AC73" s="200">
        <f>IFERROR(INDEX(Расходка[Наименование расходного материала],MATCH(Расходка[[#This Row],[№]],Поиск_расходки[Индекс12],0)),"")</f>
        <v>0</v>
      </c>
      <c r="AD73" s="200">
        <f>IFERROR(INDEX(Расходка[Наименование расходного материала],MATCH(Расходка[[#This Row],[№]],Поиск_расходки[Индекс13],0)),"")</f>
        <v>0</v>
      </c>
      <c r="AF73" s="4" t="s">
        <v>6</v>
      </c>
      <c r="AG73" s="4" t="s">
        <v>422</v>
      </c>
    </row>
    <row r="74" spans="1:33"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468</v>
      </c>
    </row>
    <row r="75" spans="1:33">
      <c r="E75" s="199">
        <f>IF(ISNUMBER(SEARCH('Карта учёта'!$B$13,Расходка[[#This Row],[Наименование расходного материала]])),MAX($E$1:E74)+1,0)</f>
        <v>0</v>
      </c>
      <c r="F75" s="199">
        <f>IF(ISNUMBER(SEARCH('Карта учёта'!$B$14,Расходка[[#This Row],[Наименование расходного материала]])),MAX($F$1:F74)+1,0)</f>
        <v>0</v>
      </c>
      <c r="G75" s="199">
        <f>IF(ISNUMBER(SEARCH('Карта учёта'!$B$15,Расходка[[#This Row],[Наименование расходного материала]])),MAX($G$1:G74)+1,0)</f>
        <v>0</v>
      </c>
      <c r="H75" s="199">
        <f>IF(ISNUMBER(SEARCH('Карта учёта'!$B$16,Расходка[[#This Row],[Наименование расходного материала]])),MAX($H$1:H74)+1,0)</f>
        <v>0</v>
      </c>
      <c r="I75" s="199">
        <f>IF(ISNUMBER(SEARCH('Карта учёта'!$B$21,Расходка[[#This Row],[Наименование расходного материала]])),MAX($I$1:I74)+1,0)</f>
        <v>0</v>
      </c>
      <c r="J75" s="199">
        <f>IF(ISNUMBER(SEARCH('Карта учёта'!$B$19,Расходка[[#This Row],[Наименование расходного материала]])),MAX($J$1:J74)+1,0)</f>
        <v>0</v>
      </c>
      <c r="K75" s="199">
        <f>IF(ISNUMBER(SEARCH('Карта учёта'!$B$17,Расходка[[#This Row],[Наименование расходного материала]])),MAX($K$1:K74)+1,0)</f>
        <v>0</v>
      </c>
      <c r="L75" s="199">
        <f>IF(ISNUMBER(SEARCH('Карта учёта'!$B$18,Расходка[[#This Row],[Наименование расходного материала]])),MAX($L$1:L74)+1,0)</f>
        <v>0</v>
      </c>
      <c r="M75" s="199">
        <f>IF(ISNUMBER(SEARCH('Карта учёта'!$B$20,Расходка[[#This Row],[Наименование расходного материала]])),MAX($M$1:M74)+1,0)</f>
        <v>0</v>
      </c>
      <c r="N75" s="199">
        <f>IF(ISNUMBER(SEARCH('Карта учёта'!$B$22,Расходка[[#This Row],[Наименование расходного материала]])),MAX($N$1:N74)+1,0)</f>
        <v>0</v>
      </c>
      <c r="O75" s="199">
        <f>IF(ISNUMBER(SEARCH('Карта учёта'!$B$23,Расходка[[#This Row],[Наименование расходного материала]])),MAX($O$1:O74)+1,0)</f>
        <v>0</v>
      </c>
      <c r="P75" s="199">
        <f>IF(ISNUMBER(SEARCH('Карта учёта'!$B$24,Расходка[[#This Row],[Наименование расходного материала]])),MAX($P$1:P74)+1,0)</f>
        <v>0</v>
      </c>
      <c r="Q75" s="199">
        <f>IF(ISNUMBER(SEARCH('Карта учёта'!$B$25,Расходка[[#This Row],[Наименование расходного материала]])),MAX($Q$1:Q74)+1,0)</f>
        <v>0</v>
      </c>
      <c r="R75" s="200" t="str">
        <f>IFERROR(INDEX(Расходка[Наименование расходного материала],MATCH(Расходка[[#This Row],[№]],Поиск_расходки[Индекс1],0)),"")</f>
        <v/>
      </c>
      <c r="S75" s="200" t="str">
        <f>IFERROR(INDEX(Расходка[Наименование расходного материала],MATCH(Расходка[[#This Row],[№]],Поиск_расходки[Индекс2],0)),"")</f>
        <v/>
      </c>
      <c r="T75" s="200" t="str">
        <f>IFERROR(INDEX(Расходка[Наименование расходного материала],MATCH(Расходка[[#This Row],[№]],Поиск_расходки[Индекс3],0)),"")</f>
        <v/>
      </c>
      <c r="U75" s="200" t="str">
        <f>IFERROR(INDEX(Расходка[Наименование расходного материала],MATCH(Расходка[[#This Row],[№]],Поиск_расходки[Индекс4],0)),"")</f>
        <v/>
      </c>
      <c r="V75" s="200" t="str">
        <f>IFERROR(INDEX(Расходка[Наименование расходного материала],MATCH(Расходка[[#This Row],[№]],Поиск_расходки[Индекс5],0)),"")</f>
        <v/>
      </c>
      <c r="W75" s="200" t="str">
        <f>IFERROR(INDEX(Расходка[Наименование расходного материала],MATCH(Расходка[[#This Row],[№]],Поиск_расходки[Индекс6],0)),"")</f>
        <v/>
      </c>
      <c r="X75" s="200" t="str">
        <f>IFERROR(INDEX(Расходка[Наименование расходного материала],MATCH(Расходка[[#This Row],[№]],Поиск_расходки[Индекс7],0)),"")</f>
        <v/>
      </c>
      <c r="Y75" s="200" t="str">
        <f>IFERROR(INDEX(Расходка[Наименование расходного материала],MATCH(Расходка[[#This Row],[№]],Поиск_расходки[Индекс8],0)),"")</f>
        <v/>
      </c>
      <c r="Z75" s="200" t="str">
        <f>IFERROR(INDEX(Расходка[Наименование расходного материала],MATCH(Расходка[[#This Row],[№]],Поиск_расходки[Индекс9],0)),"")</f>
        <v/>
      </c>
      <c r="AA75" s="200" t="str">
        <f>IFERROR(INDEX(Расходка[Наименование расходного материала],MATCH(Расходка[[#This Row],[№]],Поиск_расходки[Индекс10],0)),"")</f>
        <v/>
      </c>
      <c r="AB75" s="200" t="str">
        <f>IFERROR(INDEX(Расходка[Наименование расходного материала],MATCH(Расходка[[#This Row],[№]],Поиск_расходки[Индекс11],0)),"")</f>
        <v/>
      </c>
      <c r="AC75" s="200" t="str">
        <f>IFERROR(INDEX(Расходка[Наименование расходного материала],MATCH(Расходка[[#This Row],[№]],Поиск_расходки[Индекс12],0)),"")</f>
        <v/>
      </c>
      <c r="AD75" s="200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469</v>
      </c>
    </row>
    <row r="76" spans="1:33">
      <c r="E76" s="199">
        <f>IF(ISNUMBER(SEARCH('Карта учёта'!$B$13,Расходка[[#This Row],[Наименование расходного материала]])),MAX($E$1:E75)+1,0)</f>
        <v>0</v>
      </c>
      <c r="F76" s="199">
        <f>IF(ISNUMBER(SEARCH('Карта учёта'!$B$14,Расходка[[#This Row],[Наименование расходного материала]])),MAX($F$1:F75)+1,0)</f>
        <v>0</v>
      </c>
      <c r="G76" s="199">
        <f>IF(ISNUMBER(SEARCH('Карта учёта'!$B$15,Расходка[[#This Row],[Наименование расходного материала]])),MAX($G$1:G75)+1,0)</f>
        <v>0</v>
      </c>
      <c r="H76" s="199">
        <f>IF(ISNUMBER(SEARCH('Карта учёта'!$B$16,Расходка[[#This Row],[Наименование расходного материала]])),MAX($H$1:H75)+1,0)</f>
        <v>0</v>
      </c>
      <c r="I76" s="199">
        <f>IF(ISNUMBER(SEARCH('Карта учёта'!$B$21,Расходка[[#This Row],[Наименование расходного материала]])),MAX($I$1:I75)+1,0)</f>
        <v>0</v>
      </c>
      <c r="J76" s="199">
        <f>IF(ISNUMBER(SEARCH('Карта учёта'!$B$19,Расходка[[#This Row],[Наименование расходного материала]])),MAX($J$1:J75)+1,0)</f>
        <v>0</v>
      </c>
      <c r="K76" s="199">
        <f>IF(ISNUMBER(SEARCH('Карта учёта'!$B$17,Расходка[[#This Row],[Наименование расходного материала]])),MAX($K$1:K75)+1,0)</f>
        <v>0</v>
      </c>
      <c r="L76" s="199">
        <f>IF(ISNUMBER(SEARCH('Карта учёта'!$B$18,Расходка[[#This Row],[Наименование расходного материала]])),MAX($L$1:L75)+1,0)</f>
        <v>0</v>
      </c>
      <c r="M76" s="199">
        <f>IF(ISNUMBER(SEARCH('Карта учёта'!$B$20,Расходка[[#This Row],[Наименование расходного материала]])),MAX($M$1:M75)+1,0)</f>
        <v>0</v>
      </c>
      <c r="N76" s="199">
        <f>IF(ISNUMBER(SEARCH('Карта учёта'!$B$22,Расходка[[#This Row],[Наименование расходного материала]])),MAX($N$1:N75)+1,0)</f>
        <v>0</v>
      </c>
      <c r="O76" s="199">
        <f>IF(ISNUMBER(SEARCH('Карта учёта'!$B$23,Расходка[[#This Row],[Наименование расходного материала]])),MAX($O$1:O75)+1,0)</f>
        <v>0</v>
      </c>
      <c r="P76" s="199">
        <f>IF(ISNUMBER(SEARCH('Карта учёта'!$B$24,Расходка[[#This Row],[Наименование расходного материала]])),MAX($P$1:P75)+1,0)</f>
        <v>0</v>
      </c>
      <c r="Q76" s="199">
        <f>IF(ISNUMBER(SEARCH('Карта учёта'!$B$25,Расходка[[#This Row],[Наименование расходного материала]])),MAX($Q$1:Q75)+1,0)</f>
        <v>0</v>
      </c>
      <c r="R76" s="200" t="str">
        <f>IFERROR(INDEX(Расходка[Наименование расходного материала],MATCH(Расходка[[#This Row],[№]],Поиск_расходки[Индекс1],0)),"")</f>
        <v/>
      </c>
      <c r="S76" s="200" t="str">
        <f>IFERROR(INDEX(Расходка[Наименование расходного материала],MATCH(Расходка[[#This Row],[№]],Поиск_расходки[Индекс2],0)),"")</f>
        <v/>
      </c>
      <c r="T76" s="200" t="str">
        <f>IFERROR(INDEX(Расходка[Наименование расходного материала],MATCH(Расходка[[#This Row],[№]],Поиск_расходки[Индекс3],0)),"")</f>
        <v/>
      </c>
      <c r="U76" s="200" t="str">
        <f>IFERROR(INDEX(Расходка[Наименование расходного материала],MATCH(Расходка[[#This Row],[№]],Поиск_расходки[Индекс4],0)),"")</f>
        <v/>
      </c>
      <c r="V76" s="200" t="str">
        <f>IFERROR(INDEX(Расходка[Наименование расходного материала],MATCH(Расходка[[#This Row],[№]],Поиск_расходки[Индекс5],0)),"")</f>
        <v/>
      </c>
      <c r="W76" s="200" t="str">
        <f>IFERROR(INDEX(Расходка[Наименование расходного материала],MATCH(Расходка[[#This Row],[№]],Поиск_расходки[Индекс6],0)),"")</f>
        <v/>
      </c>
      <c r="X76" s="200" t="str">
        <f>IFERROR(INDEX(Расходка[Наименование расходного материала],MATCH(Расходка[[#This Row],[№]],Поиск_расходки[Индекс7],0)),"")</f>
        <v/>
      </c>
      <c r="Y76" s="200" t="str">
        <f>IFERROR(INDEX(Расходка[Наименование расходного материала],MATCH(Расходка[[#This Row],[№]],Поиск_расходки[Индекс8],0)),"")</f>
        <v/>
      </c>
      <c r="Z76" s="200" t="str">
        <f>IFERROR(INDEX(Расходка[Наименование расходного материала],MATCH(Расходка[[#This Row],[№]],Поиск_расходки[Индекс9],0)),"")</f>
        <v/>
      </c>
      <c r="AA76" s="200" t="str">
        <f>IFERROR(INDEX(Расходка[Наименование расходного материала],MATCH(Расходка[[#This Row],[№]],Поиск_расходки[Индекс10],0)),"")</f>
        <v/>
      </c>
      <c r="AB76" s="200" t="str">
        <f>IFERROR(INDEX(Расходка[Наименование расходного материала],MATCH(Расходка[[#This Row],[№]],Поиск_расходки[Индекс11],0)),"")</f>
        <v/>
      </c>
      <c r="AC76" s="200" t="str">
        <f>IFERROR(INDEX(Расходка[Наименование расходного материала],MATCH(Расходка[[#This Row],[№]],Поиск_расходки[Индекс12],0)),"")</f>
        <v/>
      </c>
      <c r="AD76" s="200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470</v>
      </c>
    </row>
    <row r="77" spans="1:33">
      <c r="AF77" s="4" t="s">
        <v>6</v>
      </c>
      <c r="AG77" s="4" t="s">
        <v>471</v>
      </c>
    </row>
    <row r="78" spans="1:33">
      <c r="AF78" s="4" t="s">
        <v>6</v>
      </c>
      <c r="AG78" s="4" t="s">
        <v>472</v>
      </c>
    </row>
    <row r="79" spans="1:33">
      <c r="AF79" s="4" t="s">
        <v>6</v>
      </c>
      <c r="AG79" s="4" t="s">
        <v>473</v>
      </c>
    </row>
    <row r="80" spans="1:33">
      <c r="AF80" s="4" t="s">
        <v>6</v>
      </c>
      <c r="AG80" s="4" t="s">
        <v>474</v>
      </c>
    </row>
    <row r="81" spans="32:33">
      <c r="AF81" s="4" t="s">
        <v>6</v>
      </c>
      <c r="AG81" s="4" t="s">
        <v>475</v>
      </c>
    </row>
    <row r="82" spans="32:33">
      <c r="AF82" s="4" t="s">
        <v>6</v>
      </c>
      <c r="AG82" s="4" t="s">
        <v>476</v>
      </c>
    </row>
    <row r="83" spans="32:33">
      <c r="AF83" s="4" t="s">
        <v>6</v>
      </c>
      <c r="AG83" s="4" t="s">
        <v>477</v>
      </c>
    </row>
    <row r="84" spans="32:33">
      <c r="AF84" s="4" t="s">
        <v>6</v>
      </c>
      <c r="AG84" s="4" t="s">
        <v>428</v>
      </c>
    </row>
    <row r="85" spans="32:33">
      <c r="AF85" s="4" t="s">
        <v>6</v>
      </c>
      <c r="AG85" s="4" t="s">
        <v>429</v>
      </c>
    </row>
    <row r="86" spans="32:33">
      <c r="AF86" s="4" t="s">
        <v>6</v>
      </c>
      <c r="AG86" s="4" t="s">
        <v>478</v>
      </c>
    </row>
    <row r="87" spans="32:33">
      <c r="AF87" s="4" t="s">
        <v>6</v>
      </c>
      <c r="AG87" s="4" t="s">
        <v>479</v>
      </c>
    </row>
    <row r="88" spans="32:33">
      <c r="AF88" s="4" t="s">
        <v>6</v>
      </c>
      <c r="AG88" s="4" t="s">
        <v>480</v>
      </c>
    </row>
    <row r="89" spans="32:33">
      <c r="AF89" s="4" t="s">
        <v>6</v>
      </c>
      <c r="AG89" s="4" t="s">
        <v>481</v>
      </c>
    </row>
    <row r="90" spans="32:33">
      <c r="AF90" s="4" t="s">
        <v>6</v>
      </c>
      <c r="AG90" s="4" t="s">
        <v>482</v>
      </c>
    </row>
    <row r="91" spans="32:33">
      <c r="AF91" s="4" t="s">
        <v>6</v>
      </c>
      <c r="AG91" s="4" t="s">
        <v>483</v>
      </c>
    </row>
    <row r="92" spans="32:33">
      <c r="AF92" s="4" t="s">
        <v>6</v>
      </c>
      <c r="AG92" s="4" t="s">
        <v>484</v>
      </c>
    </row>
    <row r="93" spans="32:33">
      <c r="AF93" s="4" t="s">
        <v>6</v>
      </c>
      <c r="AG93" s="4" t="s">
        <v>485</v>
      </c>
    </row>
    <row r="94" spans="32:33">
      <c r="AF94" s="4" t="s">
        <v>6</v>
      </c>
      <c r="AG94" s="4" t="s">
        <v>432</v>
      </c>
    </row>
    <row r="95" spans="32:33">
      <c r="AF95" s="4" t="s">
        <v>6</v>
      </c>
      <c r="AG95" s="4" t="s">
        <v>433</v>
      </c>
    </row>
    <row r="96" spans="32:33">
      <c r="AF96" s="4" t="s">
        <v>6</v>
      </c>
      <c r="AG96" s="4" t="s">
        <v>486</v>
      </c>
    </row>
    <row r="97" spans="32:33">
      <c r="AF97" s="4" t="s">
        <v>6</v>
      </c>
      <c r="AG97" s="4" t="s">
        <v>487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3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F23" sqref="F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366</v>
      </c>
    </row>
    <row r="38" spans="1:2">
      <c r="A38" t="s">
        <v>170</v>
      </c>
      <c r="B38" t="s">
        <v>510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507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371</v>
      </c>
    </row>
    <row r="54" spans="1:2">
      <c r="A54" t="s">
        <v>303</v>
      </c>
      <c r="B54" t="s">
        <v>367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342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369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385</v>
      </c>
    </row>
    <row r="2" spans="1:1">
      <c r="A2" t="s">
        <v>382</v>
      </c>
    </row>
    <row r="3" spans="1:1">
      <c r="A3" t="s">
        <v>386</v>
      </c>
    </row>
    <row r="4" spans="1:1">
      <c r="A4" t="s">
        <v>387</v>
      </c>
    </row>
    <row r="5" spans="1:1">
      <c r="A5" t="s">
        <v>383</v>
      </c>
    </row>
    <row r="6" spans="1:1">
      <c r="A6" t="s">
        <v>384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2023-10-30T05:14:53Z</cp:lastPrinted>
  <dcterms:created xsi:type="dcterms:W3CDTF">2015-06-05T18:19:34Z</dcterms:created>
  <dcterms:modified xsi:type="dcterms:W3CDTF">2023-10-30T05:15:02Z</dcterms:modified>
</cp:coreProperties>
</file>