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3\Ноябрь\"/>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3" i="1" l="1"/>
  <c r="E74" i="1"/>
  <c r="R73" i="1" s="1"/>
  <c r="F73" i="1"/>
  <c r="F74" i="1"/>
  <c r="G73" i="1"/>
  <c r="G74" i="1"/>
  <c r="H73" i="1"/>
  <c r="H74" i="1"/>
  <c r="I73" i="1"/>
  <c r="I74" i="1"/>
  <c r="V73" i="1" s="1"/>
  <c r="J73" i="1"/>
  <c r="J74" i="1"/>
  <c r="K73" i="1"/>
  <c r="K74" i="1"/>
  <c r="L73" i="1"/>
  <c r="L74" i="1"/>
  <c r="M73" i="1"/>
  <c r="M74" i="1"/>
  <c r="Z73" i="1" s="1"/>
  <c r="N73" i="1"/>
  <c r="N74" i="1"/>
  <c r="AA73" i="1" s="1"/>
  <c r="O73" i="1"/>
  <c r="O74" i="1"/>
  <c r="AB73" i="1" s="1"/>
  <c r="P73" i="1"/>
  <c r="P74" i="1"/>
  <c r="AC73" i="1" s="1"/>
  <c r="Q73" i="1"/>
  <c r="Q74" i="1"/>
  <c r="AD73" i="1" s="1"/>
  <c r="R74" i="1"/>
  <c r="V74" i="1"/>
  <c r="Z74" i="1"/>
  <c r="AA74" i="1"/>
  <c r="AB74" i="1"/>
  <c r="AC74" i="1"/>
  <c r="AD74" i="1"/>
  <c r="E66" i="1" l="1"/>
  <c r="E67" i="1"/>
  <c r="E71" i="1"/>
  <c r="E72" i="1"/>
  <c r="F71" i="1"/>
  <c r="F72" i="1"/>
  <c r="G71" i="1"/>
  <c r="G72" i="1"/>
  <c r="H71" i="1"/>
  <c r="H72" i="1"/>
  <c r="I71" i="1"/>
  <c r="I72" i="1"/>
  <c r="J71" i="1"/>
  <c r="J72" i="1"/>
  <c r="K71" i="1"/>
  <c r="K72" i="1"/>
  <c r="L71" i="1"/>
  <c r="L72" i="1"/>
  <c r="M71" i="1"/>
  <c r="M72" i="1"/>
  <c r="N71" i="1"/>
  <c r="N72" i="1"/>
  <c r="O71" i="1"/>
  <c r="O72" i="1"/>
  <c r="P71" i="1"/>
  <c r="P72" i="1"/>
  <c r="Q71" i="1"/>
  <c r="Q72" i="1"/>
  <c r="A16" i="3"/>
  <c r="E68" i="1"/>
  <c r="E69" i="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C4" i="5" l="1"/>
  <c r="C17"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21" i="3"/>
  <c r="A19" i="3"/>
  <c r="A17" i="3"/>
  <c r="A18"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P9" i="1" s="1"/>
  <c r="P10" i="1" s="1"/>
  <c r="O8" i="1"/>
  <c r="O9" i="1" s="1"/>
  <c r="O10" i="1" s="1"/>
  <c r="E8" i="1"/>
  <c r="Q7" i="1"/>
  <c r="J7" i="1"/>
  <c r="G8" i="1"/>
  <c r="N9" i="1"/>
  <c r="I7" i="1"/>
  <c r="F7" i="1"/>
  <c r="M7" i="1"/>
  <c r="H8" i="1"/>
  <c r="L9" i="1"/>
  <c r="K8" i="1"/>
  <c r="P11" i="1" l="1"/>
  <c r="P12" i="1"/>
  <c r="P13" i="1" s="1"/>
  <c r="P14" i="1" s="1"/>
  <c r="E9" i="1"/>
  <c r="E10" i="1" s="1"/>
  <c r="O11" i="1"/>
  <c r="O12" i="1" s="1"/>
  <c r="O13" i="1" s="1"/>
  <c r="Q8" i="1"/>
  <c r="Q9" i="1" s="1"/>
  <c r="J8" i="1"/>
  <c r="E11" i="1"/>
  <c r="E12" i="1" s="1"/>
  <c r="E13" i="1" s="1"/>
  <c r="E14" i="1" s="1"/>
  <c r="E15" i="1" s="1"/>
  <c r="M8" i="1"/>
  <c r="N10" i="1"/>
  <c r="I8" i="1"/>
  <c r="G9" i="1"/>
  <c r="H9" i="1"/>
  <c r="F8" i="1"/>
  <c r="K9" i="1"/>
  <c r="L10" i="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56" i="1" l="1"/>
  <c r="P57" i="1" s="1"/>
  <c r="O16" i="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P58" i="1" l="1"/>
  <c r="AC58" i="1" s="1"/>
  <c r="E60" i="1"/>
  <c r="E61" i="1" s="1"/>
  <c r="E62" i="1" s="1"/>
  <c r="F13" i="1"/>
  <c r="F14" i="1" s="1"/>
  <c r="F15" i="1" s="1"/>
  <c r="O56" i="1"/>
  <c r="O57" i="1" s="1"/>
  <c r="M15" i="1"/>
  <c r="M16" i="1" s="1"/>
  <c r="M17" i="1" s="1"/>
  <c r="J12" i="1"/>
  <c r="J13" i="1" s="1"/>
  <c r="J14" i="1" s="1"/>
  <c r="J15" i="1" s="1"/>
  <c r="J16" i="1" s="1"/>
  <c r="Q58" i="1"/>
  <c r="N14" i="1"/>
  <c r="N15" i="1" s="1"/>
  <c r="I15" i="1"/>
  <c r="I16" i="1" s="1"/>
  <c r="I17" i="1" s="1"/>
  <c r="H16" i="1"/>
  <c r="H17" i="1" s="1"/>
  <c r="K13" i="1"/>
  <c r="K14" i="1" s="1"/>
  <c r="L16" i="1"/>
  <c r="G14" i="1"/>
  <c r="P59" i="1" l="1"/>
  <c r="P60" i="1" s="1"/>
  <c r="P61" i="1" s="1"/>
  <c r="P62" i="1" s="1"/>
  <c r="P63" i="1" s="1"/>
  <c r="P64" i="1" s="1"/>
  <c r="P65" i="1" s="1"/>
  <c r="E63" i="1"/>
  <c r="E64" i="1"/>
  <c r="E65" i="1" s="1"/>
  <c r="R72" i="1" s="1"/>
  <c r="F16" i="1"/>
  <c r="F17" i="1" s="1"/>
  <c r="N16" i="1"/>
  <c r="N17" i="1" s="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AC60" i="1" l="1"/>
  <c r="R70" i="1"/>
  <c r="R71" i="1"/>
  <c r="AC61" i="1"/>
  <c r="AC63" i="1"/>
  <c r="AC64" i="1"/>
  <c r="P66" i="1"/>
  <c r="P67" i="1" s="1"/>
  <c r="AC62" i="1"/>
  <c r="AC59" i="1"/>
  <c r="AC65" i="1"/>
  <c r="AC57" i="1"/>
  <c r="R68" i="1"/>
  <c r="R69" i="1"/>
  <c r="AC66" i="1"/>
  <c r="R57" i="1"/>
  <c r="R64" i="1"/>
  <c r="R61" i="1"/>
  <c r="R56" i="1"/>
  <c r="R62" i="1"/>
  <c r="R63" i="1"/>
  <c r="R60" i="1"/>
  <c r="R58" i="1"/>
  <c r="R59" i="1"/>
  <c r="R65" i="1"/>
  <c r="R67" i="1"/>
  <c r="R66" i="1"/>
  <c r="N18" i="1"/>
  <c r="J19" i="1"/>
  <c r="J20" i="1" s="1"/>
  <c r="J21" i="1" s="1"/>
  <c r="AD56" i="1"/>
  <c r="Q61" i="1"/>
  <c r="AD61" i="1" s="1"/>
  <c r="AD60"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N21" i="1" s="1"/>
  <c r="N22" i="1" s="1"/>
  <c r="K25" i="1"/>
  <c r="K26" i="1" s="1"/>
  <c r="K27" i="1" s="1"/>
  <c r="H24" i="1"/>
  <c r="AD18" i="1"/>
  <c r="G18" i="1"/>
  <c r="G19" i="1" s="1"/>
  <c r="G20" i="1" s="1"/>
  <c r="I27" i="1"/>
  <c r="M22" i="1"/>
  <c r="L19" i="1"/>
  <c r="L20" i="1" s="1"/>
  <c r="F21" i="1"/>
  <c r="AD62" i="1" l="1"/>
  <c r="Q63" i="1"/>
  <c r="Q64" i="1" s="1"/>
  <c r="Q65" i="1" s="1"/>
  <c r="O61" i="1"/>
  <c r="K28" i="1"/>
  <c r="K29" i="1" s="1"/>
  <c r="AD26" i="1"/>
  <c r="G21" i="1"/>
  <c r="G22" i="1" s="1"/>
  <c r="G23" i="1" s="1"/>
  <c r="H25" i="1"/>
  <c r="I28" i="1"/>
  <c r="M23" i="1"/>
  <c r="J25" i="1"/>
  <c r="N23" i="1"/>
  <c r="L21" i="1"/>
  <c r="F22" i="1"/>
  <c r="AD57" i="1" l="1"/>
  <c r="Q66" i="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Q67" i="1" l="1"/>
  <c r="Q68" i="1" s="1"/>
  <c r="Q69" i="1" s="1"/>
  <c r="Q70" i="1" s="1"/>
  <c r="AD66" i="1"/>
  <c r="O63" i="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D68" i="1" l="1"/>
  <c r="AD67" i="1"/>
  <c r="AD69" i="1"/>
  <c r="AD71" i="1"/>
  <c r="AD72" i="1"/>
  <c r="AD70" i="1"/>
  <c r="O66" i="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O67" i="1" l="1"/>
  <c r="O68" i="1" s="1"/>
  <c r="O69" i="1" s="1"/>
  <c r="O70" i="1" s="1"/>
  <c r="AB66" i="1"/>
  <c r="J50" i="1"/>
  <c r="J51" i="1" s="1"/>
  <c r="H47" i="1"/>
  <c r="H48" i="1" s="1"/>
  <c r="I47" i="1"/>
  <c r="I48" i="1" s="1"/>
  <c r="I49" i="1" s="1"/>
  <c r="I50" i="1" s="1"/>
  <c r="K43" i="1"/>
  <c r="N27" i="1"/>
  <c r="M28" i="1"/>
  <c r="M29" i="1" s="1"/>
  <c r="L30" i="1"/>
  <c r="G29" i="1"/>
  <c r="F28" i="1"/>
  <c r="AB68" i="1" l="1"/>
  <c r="AB67" i="1"/>
  <c r="AB69" i="1"/>
  <c r="AB71" i="1"/>
  <c r="AB72" i="1"/>
  <c r="AB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J67" i="1" l="1"/>
  <c r="H65" i="1"/>
  <c r="H66" i="1" s="1"/>
  <c r="U2" i="1"/>
  <c r="W2" i="1"/>
  <c r="I54" i="1"/>
  <c r="I55" i="1" s="1"/>
  <c r="I56" i="1" s="1"/>
  <c r="I57" i="1" s="1"/>
  <c r="I58" i="1" s="1"/>
  <c r="I59" i="1" s="1"/>
  <c r="I60" i="1" s="1"/>
  <c r="I61" i="1" s="1"/>
  <c r="I62" i="1" s="1"/>
  <c r="F51" i="1"/>
  <c r="G47" i="1"/>
  <c r="K47" i="1"/>
  <c r="L35" i="1"/>
  <c r="M34" i="1"/>
  <c r="AB31" i="1"/>
  <c r="N32" i="1"/>
  <c r="N33" i="1" s="1"/>
  <c r="AC31" i="1"/>
  <c r="AB29" i="1"/>
  <c r="AC29" i="1"/>
  <c r="J68" i="1" l="1"/>
  <c r="H67" i="1"/>
  <c r="I63" i="1"/>
  <c r="I64" i="1" s="1"/>
  <c r="I65" i="1" s="1"/>
  <c r="I66" i="1" s="1"/>
  <c r="F52" i="1"/>
  <c r="AD36" i="1"/>
  <c r="G48" i="1"/>
  <c r="K48" i="1"/>
  <c r="L36" i="1"/>
  <c r="M35" i="1"/>
  <c r="AC17" i="1"/>
  <c r="N34" i="1"/>
  <c r="N35" i="1" s="1"/>
  <c r="N36" i="1" s="1"/>
  <c r="N37" i="1" s="1"/>
  <c r="N38" i="1" s="1"/>
  <c r="N39" i="1" s="1"/>
  <c r="N40" i="1" s="1"/>
  <c r="N41" i="1" s="1"/>
  <c r="N42" i="1" s="1"/>
  <c r="AB17" i="1"/>
  <c r="J69" i="1" l="1"/>
  <c r="H68" i="1"/>
  <c r="I67" i="1"/>
  <c r="I68" i="1" s="1"/>
  <c r="I69" i="1" s="1"/>
  <c r="I70" i="1" s="1"/>
  <c r="V66" i="1"/>
  <c r="V67" i="1"/>
  <c r="V51" i="1"/>
  <c r="V65" i="1"/>
  <c r="V64" i="1"/>
  <c r="V2" i="1"/>
  <c r="V43" i="1"/>
  <c r="V50" i="1"/>
  <c r="V60" i="1"/>
  <c r="V41" i="1"/>
  <c r="V48"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V55" i="1" l="1"/>
  <c r="V44" i="1"/>
  <c r="J70" i="1"/>
  <c r="W59" i="1" s="1"/>
  <c r="V68" i="1"/>
  <c r="V69" i="1"/>
  <c r="H69" i="1"/>
  <c r="V71" i="1"/>
  <c r="V72" i="1"/>
  <c r="V70" i="1"/>
  <c r="F63" i="1"/>
  <c r="F64" i="1" s="1"/>
  <c r="AB38" i="1"/>
  <c r="AB41" i="1"/>
  <c r="AB39" i="1"/>
  <c r="AB42" i="1"/>
  <c r="K51" i="1"/>
  <c r="G50" i="1"/>
  <c r="AD38" i="1"/>
  <c r="AC43" i="1"/>
  <c r="N44" i="1"/>
  <c r="AB43" i="1"/>
  <c r="L38" i="1"/>
  <c r="L39" i="1" s="1"/>
  <c r="AC33" i="1"/>
  <c r="AB33" i="1"/>
  <c r="M37" i="1"/>
  <c r="W41" i="1" l="1"/>
  <c r="W70" i="1"/>
  <c r="W54" i="1"/>
  <c r="W65" i="1"/>
  <c r="W56" i="1"/>
  <c r="W71" i="1"/>
  <c r="W74" i="1"/>
  <c r="W73" i="1"/>
  <c r="W67" i="1"/>
  <c r="W48" i="1"/>
  <c r="W49" i="1"/>
  <c r="W58" i="1"/>
  <c r="W40" i="1"/>
  <c r="W53" i="1"/>
  <c r="W60" i="1"/>
  <c r="W43" i="1"/>
  <c r="W46" i="1"/>
  <c r="W51" i="1"/>
  <c r="W66" i="1"/>
  <c r="W68" i="1"/>
  <c r="W62" i="1"/>
  <c r="W61" i="1"/>
  <c r="W47" i="1"/>
  <c r="W39" i="1"/>
  <c r="W52" i="1"/>
  <c r="W57" i="1"/>
  <c r="W63" i="1"/>
  <c r="W42" i="1"/>
  <c r="W69" i="1"/>
  <c r="W50" i="1"/>
  <c r="W45" i="1"/>
  <c r="W64" i="1"/>
  <c r="W44" i="1"/>
  <c r="W55" i="1"/>
  <c r="H70" i="1"/>
  <c r="U63" i="1" s="1"/>
  <c r="W72" i="1"/>
  <c r="F65" i="1"/>
  <c r="F66" i="1" s="1"/>
  <c r="K52" i="1"/>
  <c r="K53" i="1" s="1"/>
  <c r="G51" i="1"/>
  <c r="AD39" i="1"/>
  <c r="AC35" i="1"/>
  <c r="AC23" i="1"/>
  <c r="AB46" i="1"/>
  <c r="N45" i="1"/>
  <c r="L40" i="1"/>
  <c r="M38" i="1"/>
  <c r="M39" i="1" s="1"/>
  <c r="M40" i="1" s="1"/>
  <c r="U54" i="1" l="1"/>
  <c r="U50" i="1"/>
  <c r="U52" i="1"/>
  <c r="U62" i="1"/>
  <c r="U70" i="1"/>
  <c r="U53" i="1"/>
  <c r="U57" i="1"/>
  <c r="U59" i="1"/>
  <c r="U46" i="1"/>
  <c r="U42" i="1"/>
  <c r="U73" i="1"/>
  <c r="U74" i="1"/>
  <c r="U69" i="1"/>
  <c r="U41" i="1"/>
  <c r="U48" i="1"/>
  <c r="U39" i="1"/>
  <c r="U40" i="1"/>
  <c r="U60" i="1"/>
  <c r="U66" i="1"/>
  <c r="U65" i="1"/>
  <c r="U45" i="1"/>
  <c r="U68" i="1"/>
  <c r="U47" i="1"/>
  <c r="U49" i="1"/>
  <c r="U58" i="1"/>
  <c r="U56" i="1"/>
  <c r="U64" i="1"/>
  <c r="U51" i="1"/>
  <c r="U67" i="1"/>
  <c r="U61" i="1"/>
  <c r="U43" i="1"/>
  <c r="U72" i="1"/>
  <c r="U44" i="1"/>
  <c r="U55" i="1"/>
  <c r="U71" i="1"/>
  <c r="F67" i="1"/>
  <c r="S2" i="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F68" i="1" l="1"/>
  <c r="K67" i="1"/>
  <c r="X2" i="1"/>
  <c r="G53" i="1"/>
  <c r="AC45" i="1"/>
  <c r="N49" i="1"/>
  <c r="N50" i="1" s="1"/>
  <c r="AB35" i="1"/>
  <c r="AC28" i="1"/>
  <c r="AD22" i="1"/>
  <c r="AB44" i="1"/>
  <c r="AC48" i="1"/>
  <c r="AC50" i="1"/>
  <c r="AC49" i="1"/>
  <c r="AB48" i="1"/>
  <c r="M42" i="1"/>
  <c r="L42" i="1"/>
  <c r="F69" i="1" l="1"/>
  <c r="K68" i="1"/>
  <c r="K69" i="1" s="1"/>
  <c r="G54" i="1"/>
  <c r="R2" i="1"/>
  <c r="N51" i="1"/>
  <c r="N52" i="1" s="1"/>
  <c r="N53" i="1" s="1"/>
  <c r="N54" i="1" s="1"/>
  <c r="N55" i="1" s="1"/>
  <c r="AB45" i="1"/>
  <c r="AC11" i="1"/>
  <c r="AC27" i="1"/>
  <c r="AC10" i="1"/>
  <c r="AC8" i="1"/>
  <c r="AC24" i="1"/>
  <c r="AC9" i="1"/>
  <c r="AC12" i="1"/>
  <c r="M43" i="1"/>
  <c r="L43" i="1"/>
  <c r="F70" i="1" l="1"/>
  <c r="S32" i="1"/>
  <c r="S70" i="1"/>
  <c r="S72" i="1"/>
  <c r="S65" i="1"/>
  <c r="S43" i="1"/>
  <c r="S48" i="1"/>
  <c r="S46" i="1"/>
  <c r="S50" i="1"/>
  <c r="S11" i="1"/>
  <c r="S31" i="1"/>
  <c r="S29" i="1"/>
  <c r="S53" i="1"/>
  <c r="S23" i="1"/>
  <c r="S9" i="1"/>
  <c r="S63" i="1"/>
  <c r="S37" i="1"/>
  <c r="S33" i="1"/>
  <c r="S57" i="1"/>
  <c r="S74" i="1"/>
  <c r="K70" i="1"/>
  <c r="X69" i="1" s="1"/>
  <c r="N56" i="1"/>
  <c r="N57" i="1" s="1"/>
  <c r="N58" i="1" s="1"/>
  <c r="G55" i="1"/>
  <c r="AC3" i="1"/>
  <c r="AC20" i="1"/>
  <c r="AC14" i="1"/>
  <c r="AC53" i="1"/>
  <c r="AC51"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S6" i="1" l="1"/>
  <c r="S4" i="1"/>
  <c r="S5" i="1"/>
  <c r="S3" i="1"/>
  <c r="S22" i="1"/>
  <c r="S24" i="1"/>
  <c r="S14" i="1"/>
  <c r="S69" i="1"/>
  <c r="S56" i="1"/>
  <c r="S28" i="1"/>
  <c r="S18" i="1"/>
  <c r="S16" i="1"/>
  <c r="S7" i="1"/>
  <c r="S19" i="1"/>
  <c r="S42" i="1"/>
  <c r="S40" i="1"/>
  <c r="S20" i="1"/>
  <c r="S15" i="1"/>
  <c r="S13" i="1"/>
  <c r="S36" i="1"/>
  <c r="S25" i="1"/>
  <c r="S21" i="1"/>
  <c r="S66" i="1"/>
  <c r="S59" i="1"/>
  <c r="S62" i="1"/>
  <c r="S49" i="1"/>
  <c r="S51" i="1"/>
  <c r="S61" i="1"/>
  <c r="S47" i="1"/>
  <c r="S64" i="1"/>
  <c r="S45" i="1"/>
  <c r="S60" i="1"/>
  <c r="S52" i="1"/>
  <c r="S71" i="1"/>
  <c r="S73" i="1"/>
  <c r="S17" i="1"/>
  <c r="S34" i="1"/>
  <c r="S58" i="1"/>
  <c r="S30" i="1"/>
  <c r="S38" i="1"/>
  <c r="S44" i="1"/>
  <c r="S10" i="1"/>
  <c r="S8" i="1"/>
  <c r="S12" i="1"/>
  <c r="S35" i="1"/>
  <c r="S39" i="1"/>
  <c r="S54" i="1"/>
  <c r="S67" i="1"/>
  <c r="S41" i="1"/>
  <c r="S55" i="1"/>
  <c r="S68" i="1"/>
  <c r="S26" i="1"/>
  <c r="S27" i="1"/>
  <c r="X70" i="1"/>
  <c r="X66" i="1"/>
  <c r="X47" i="1"/>
  <c r="X61" i="1"/>
  <c r="X45" i="1"/>
  <c r="X72" i="1"/>
  <c r="X46" i="1"/>
  <c r="X49" i="1"/>
  <c r="X67" i="1"/>
  <c r="X40" i="1"/>
  <c r="X41" i="1"/>
  <c r="X44" i="1"/>
  <c r="X62" i="1"/>
  <c r="X68" i="1"/>
  <c r="X71" i="1"/>
  <c r="X51" i="1"/>
  <c r="X59" i="1"/>
  <c r="X52" i="1"/>
  <c r="X54" i="1"/>
  <c r="X56" i="1"/>
  <c r="X55" i="1"/>
  <c r="X57" i="1"/>
  <c r="X43" i="1"/>
  <c r="X50" i="1"/>
  <c r="X63" i="1"/>
  <c r="X64" i="1"/>
  <c r="X73" i="1"/>
  <c r="X74" i="1"/>
  <c r="X42" i="1"/>
  <c r="X48" i="1"/>
  <c r="X58" i="1"/>
  <c r="X65" i="1"/>
  <c r="X39" i="1"/>
  <c r="X53" i="1"/>
  <c r="X60" i="1"/>
  <c r="N59" i="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6" i="1" l="1"/>
  <c r="AA64" i="1"/>
  <c r="AA65" i="1"/>
  <c r="G61" i="1"/>
  <c r="AA62" i="1"/>
  <c r="AA61" i="1"/>
  <c r="AA60" i="1"/>
  <c r="AA59" i="1"/>
  <c r="AA58" i="1"/>
  <c r="AA63" i="1"/>
  <c r="AA57" i="1"/>
  <c r="AA56" i="1"/>
  <c r="AA29" i="1"/>
  <c r="AA53" i="1"/>
  <c r="AA47" i="1"/>
  <c r="AA11" i="1"/>
  <c r="AA22" i="1"/>
  <c r="AA18" i="1"/>
  <c r="AA27" i="1"/>
  <c r="AA14" i="1"/>
  <c r="AA3" i="1"/>
  <c r="AA34" i="1"/>
  <c r="AA31" i="1"/>
  <c r="AA26" i="1"/>
  <c r="AA16" i="1"/>
  <c r="AA12" i="1"/>
  <c r="AA37" i="1"/>
  <c r="AA39" i="1"/>
  <c r="AA42" i="1"/>
  <c r="AA30" i="1"/>
  <c r="AA5" i="1"/>
  <c r="AA4" i="1"/>
  <c r="AA49" i="1"/>
  <c r="AA46" i="1"/>
  <c r="AA23" i="1"/>
  <c r="AA8" i="1"/>
  <c r="AA24" i="1"/>
  <c r="AA43" i="1"/>
  <c r="AA21" i="1"/>
  <c r="AA40" i="1"/>
  <c r="AA15" i="1"/>
  <c r="AA36" i="1"/>
  <c r="AA52" i="1"/>
  <c r="AA20" i="1"/>
  <c r="AA50"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AA66" i="1" l="1"/>
  <c r="N67" i="1"/>
  <c r="G62" i="1"/>
  <c r="M51" i="1"/>
  <c r="M52" i="1" s="1"/>
  <c r="M53" i="1" s="1"/>
  <c r="L50" i="1"/>
  <c r="AA68" i="1" l="1"/>
  <c r="N68" i="1"/>
  <c r="N69" i="1" s="1"/>
  <c r="G63" i="1"/>
  <c r="AA67" i="1"/>
  <c r="G64" i="1"/>
  <c r="M54" i="1"/>
  <c r="M55" i="1" s="1"/>
  <c r="L51" i="1"/>
  <c r="L52" i="1" s="1"/>
  <c r="L53" i="1" s="1"/>
  <c r="AA70" i="1" l="1"/>
  <c r="AA69" i="1"/>
  <c r="N70" i="1"/>
  <c r="AA54" i="1"/>
  <c r="G65" i="1"/>
  <c r="M56" i="1"/>
  <c r="M57" i="1" s="1"/>
  <c r="L54" i="1"/>
  <c r="AA71" i="1" l="1"/>
  <c r="AA55" i="1"/>
  <c r="AA44" i="1"/>
  <c r="AA72" i="1"/>
  <c r="G66" i="1"/>
  <c r="M58" i="1"/>
  <c r="M59" i="1" s="1"/>
  <c r="M60" i="1" s="1"/>
  <c r="Z2" i="1"/>
  <c r="L55" i="1"/>
  <c r="L56" i="1" s="1"/>
  <c r="L57" i="1" s="1"/>
  <c r="L58" i="1" s="1"/>
  <c r="L59" i="1" s="1"/>
  <c r="L60" i="1" s="1"/>
  <c r="L61" i="1" s="1"/>
  <c r="L62" i="1" s="1"/>
  <c r="L63" i="1" s="1"/>
  <c r="L64" i="1" s="1"/>
  <c r="L65" i="1" s="1"/>
  <c r="L66" i="1" s="1"/>
  <c r="L67" i="1" l="1"/>
  <c r="L68" i="1" s="1"/>
  <c r="L69" i="1" s="1"/>
  <c r="L70" i="1" s="1"/>
  <c r="G67" i="1"/>
  <c r="M61" i="1"/>
  <c r="Y56" i="1" l="1"/>
  <c r="Y68" i="1"/>
  <c r="Y62" i="1"/>
  <c r="Y59" i="1"/>
  <c r="Y58" i="1"/>
  <c r="Y64" i="1"/>
  <c r="Y73" i="1"/>
  <c r="Y74" i="1"/>
  <c r="Y20" i="1"/>
  <c r="Y60" i="1"/>
  <c r="Y63" i="1"/>
  <c r="Y57" i="1"/>
  <c r="Y61" i="1"/>
  <c r="Y65" i="1"/>
  <c r="Y66" i="1"/>
  <c r="G68" i="1"/>
  <c r="G69" i="1" s="1"/>
  <c r="Y72" i="1"/>
  <c r="Y71" i="1"/>
  <c r="Y67" i="1"/>
  <c r="Y69" i="1"/>
  <c r="Y70" i="1"/>
  <c r="M62" i="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G70" i="1" l="1"/>
  <c r="T65" i="1" s="1"/>
  <c r="T2" i="1"/>
  <c r="T42" i="1"/>
  <c r="M63" i="1"/>
  <c r="M64" i="1" s="1"/>
  <c r="M65" i="1" s="1"/>
  <c r="T7" i="1" l="1"/>
  <c r="T19" i="1"/>
  <c r="T30" i="1"/>
  <c r="T29" i="1"/>
  <c r="T4" i="1"/>
  <c r="T23" i="1"/>
  <c r="T52" i="1"/>
  <c r="T46" i="1"/>
  <c r="T49" i="1"/>
  <c r="T62" i="1"/>
  <c r="T24" i="1"/>
  <c r="T53" i="1"/>
  <c r="T60" i="1"/>
  <c r="T9" i="1"/>
  <c r="T64" i="1"/>
  <c r="T3" i="1"/>
  <c r="T16" i="1"/>
  <c r="T40" i="1"/>
  <c r="T33" i="1"/>
  <c r="T68" i="1"/>
  <c r="T11" i="1"/>
  <c r="T54" i="1"/>
  <c r="T39" i="1"/>
  <c r="T51" i="1"/>
  <c r="T58" i="1"/>
  <c r="T26" i="1"/>
  <c r="T56" i="1"/>
  <c r="T17" i="1"/>
  <c r="T59" i="1"/>
  <c r="T50" i="1"/>
  <c r="T14" i="1"/>
  <c r="T47" i="1"/>
  <c r="T73" i="1"/>
  <c r="T74" i="1"/>
  <c r="T55" i="1"/>
  <c r="T44" i="1"/>
  <c r="T35" i="1"/>
  <c r="T10" i="1"/>
  <c r="T34" i="1"/>
  <c r="T31" i="1"/>
  <c r="T57" i="1"/>
  <c r="T43" i="1"/>
  <c r="T25" i="1"/>
  <c r="T38" i="1"/>
  <c r="T41" i="1"/>
  <c r="T36" i="1"/>
  <c r="T6" i="1"/>
  <c r="T8" i="1"/>
  <c r="T32" i="1"/>
  <c r="T71" i="1"/>
  <c r="T67" i="1"/>
  <c r="T22" i="1"/>
  <c r="T63" i="1"/>
  <c r="T28" i="1"/>
  <c r="T21" i="1"/>
  <c r="T27" i="1"/>
  <c r="T13" i="1"/>
  <c r="T66" i="1"/>
  <c r="T12" i="1"/>
  <c r="T61" i="1"/>
  <c r="T18" i="1"/>
  <c r="T45" i="1"/>
  <c r="T72" i="1"/>
  <c r="T69" i="1"/>
  <c r="T70" i="1"/>
  <c r="T5" i="1"/>
  <c r="T37" i="1"/>
  <c r="T20" i="1"/>
  <c r="T15" i="1"/>
  <c r="T48" i="1"/>
  <c r="M66" i="1"/>
  <c r="M67" i="1" l="1"/>
  <c r="Z58" i="1"/>
  <c r="Z7" i="1"/>
  <c r="Z17" i="1"/>
  <c r="Z25" i="1"/>
  <c r="Z5"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28" i="1"/>
  <c r="Z20" i="1"/>
  <c r="Z14" i="1"/>
  <c r="Z19" i="1"/>
  <c r="Z63" i="1"/>
  <c r="Z65" i="1"/>
  <c r="Z22" i="1"/>
  <c r="Z29" i="1"/>
  <c r="Z13" i="1"/>
  <c r="Z46" i="1"/>
  <c r="Z48" i="1"/>
  <c r="Z36" i="1"/>
  <c r="Z41" i="1"/>
  <c r="Z6" i="1"/>
  <c r="Z66" i="1"/>
  <c r="M68" i="1" l="1"/>
  <c r="Z40" i="1"/>
  <c r="Z30" i="1"/>
  <c r="Z15" i="1"/>
  <c r="Z27" i="1"/>
  <c r="Z35" i="1"/>
  <c r="Z16" i="1"/>
  <c r="Z4" i="1"/>
  <c r="Z64" i="1"/>
  <c r="Z60" i="1"/>
  <c r="AC67" i="1"/>
  <c r="P68" i="1"/>
  <c r="M69" i="1" l="1"/>
  <c r="M70" i="1" s="1"/>
  <c r="Z44" i="1" s="1"/>
  <c r="Z54" i="1"/>
  <c r="Z70" i="1"/>
  <c r="Z68" i="1"/>
  <c r="AC68" i="1"/>
  <c r="P69" i="1"/>
  <c r="P70" i="1" s="1"/>
  <c r="Z72" i="1"/>
  <c r="Z71" i="1"/>
  <c r="Z69" i="1"/>
  <c r="AC70" i="1"/>
  <c r="AC69" i="1"/>
  <c r="Z55" i="1" l="1"/>
  <c r="AC55" i="1"/>
  <c r="AC44" i="1"/>
  <c r="AC71" i="1"/>
  <c r="AC72" i="1"/>
  <c r="AC54"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<sst xmlns="http://schemas.openxmlformats.org/spreadsheetml/2006/main" count="873" uniqueCount="530">
  <si>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</si>
  <si>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</si>
  <si>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</si>
  <si>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</si>
  <si>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</si>
  <si>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</si>
  <si>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</si>
  <si>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</si>
  <si>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</si>
  <si>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</si>
  <si>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</si>
  <si>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</si>
  <si>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</si>
  <si>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</si>
  <si>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</si>
  <si>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</si>
  <si>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</si>
  <si>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</si>
  <si>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</si>
  <si>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</si>
  <si>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</si>
  <si>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</si>
  <si>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</si>
  <si>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</si>
  <si>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</si>
  <si>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</si>
  <si>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</si>
  <si>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</si>
  <si>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</si>
  <si>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</si>
  <si>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</si>
  <si>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</si>
  <si>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</si>
  <si>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</si>
  <si>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</si>
  <si>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</si>
  <si>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</si>
  <si>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</si>
  <si>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</si>
  <si>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</si>
  <si>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</si>
  <si>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</si>
  <si>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</si>
  <si>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</si>
  <si>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</si>
  <si>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</si>
  <si>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</si>
  <si>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</si>
  <si>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</si>
  <si>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</si>
  <si>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</si>
  <si>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</si>
  <si>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</si>
  <si>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</si>
  <si>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</si>
  <si>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</si>
  <si>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</si>
  <si>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</si>
  <si>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</si>
  <si>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</si>
  <si>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</si>
  <si>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</si>
  <si>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</si>
  <si>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</si>
  <si>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</si>
  <si>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</si>
  <si>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</si>
  <si>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</si>
  <si>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</si>
  <si>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</si>
  <si>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</si>
  <si>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</si>
  <si>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</si>
  <si>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</si>
  <si>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</si>
  <si>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</si>
  <si>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</si>
  <si>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</si>
  <si>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</si>
  <si>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</si>
  <si>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</si>
  <si>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</si>
  <si>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</si>
  <si>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</si>
  <si>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</si>
  <si>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</si>
  <si>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</si>
  <si>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</si>
  <si>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</si>
  <si>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</si>
  <si>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</si>
  <si>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</si>
  <si>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</si>
  <si>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</si>
  <si>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</si>
  <si>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</si>
  <si>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</si>
  <si>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</si>
  <si>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</si>
  <si>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</si>
  <si>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</si>
  <si>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</si>
  <si>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</si>
  <si>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</si>
  <si>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</si>
  <si>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</si>
  <si>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</si>
  <si>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</si>
  <si>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</si>
  <si>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</si>
  <si>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</si>
  <si>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</si>
  <si>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</si>
  <si>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</si>
  <si>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</si>
  <si>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</si>
  <si>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</si>
  <si>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</si>
  <si>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</si>
  <si>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</si>
  <si>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</si>
  <si>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</si>
  <si>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</si>
  <si>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</si>
  <si>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</si>
  <si>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</si>
  <si>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</si>
  <si>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</si>
  <si>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</si>
  <si>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</si>
  <si>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</si>
  <si>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</si>
  <si>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</si>
  <si>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</si>
  <si>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</si>
  <si>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</si>
  <si>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</si>
  <si>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</si>
  <si>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</si>
  <si>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</si>
  <si>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</si>
  <si>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</si>
  <si>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</si>
  <si>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</si>
  <si>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</si>
  <si>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</si>
  <si>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</si>
  <si>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</si>
  <si>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</si>
  <si>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</si>
  <si>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</si>
  <si>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</si>
  <si>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</si>
  <si>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</si>
  <si>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</si>
  <si>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</si>
  <si>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</si>
  <si>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</si>
  <si>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</si>
  <si>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</si>
  <si>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</si>
  <si>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</si>
  <si>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</si>
  <si>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</si>
  <si>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</si>
  <si>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</si>
  <si>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</si>
  <si>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</si>
  <si>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</si>
  <si>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</si>
  <si>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</si>
  <si>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</si>
  <si>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</si>
  <si>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</si>
  <si>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</si>
  <si>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</si>
  <si>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</si>
  <si>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</si>
  <si>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</si>
  <si>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</si>
  <si>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</si>
  <si>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</si>
  <si>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</si>
  <si>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</si>
  <si>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</si>
  <si>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</si>
  <si>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</si>
  <si>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</si>
  <si>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</si>
  <si>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</si>
  <si>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</si>
  <si>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</si>
  <si>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</si>
  <si>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</si>
  <si>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</si>
  <si>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</si>
  <si>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</si>
  <si>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</si>
  <si>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</si>
  <si>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</si>
  <si>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</si>
  <si>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</si>
  <si>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</si>
  <si>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</si>
  <si>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</si>
  <si>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</si>
  <si>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</si>
  <si>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</si>
  <si>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</si>
  <si>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</si>
  <si>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</si>
  <si>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</si>
  <si>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</si>
  <si>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</si>
  <si>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</si>
  <si>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</si>
  <si>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</si>
  <si>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</si>
  <si>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</si>
  <si>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</si>
  <si>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</si>
  <si>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</si>
  <si>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</si>
  <si>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</si>
  <si>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</si>
  <si>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</si>
  <si>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</si>
  <si>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</si>
  <si>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</si>
  <si>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</si>
  <si>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</si>
  <si>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</si>
  <si>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</si>
  <si>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</si>
  <si>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</si>
  <si>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</si>
  <si>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</si>
  <si>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</si>
  <si>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</si>
  <si>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</si>
  <si>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</si>
  <si>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</si>
  <si>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</si>
  <si>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</si>
  <si>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</si>
  <si>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</si>
  <si>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</si>
  <si>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</si>
  <si>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</si>
  <si>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</si>
  <si>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</si>
  <si>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</si>
  <si>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</si>
  <si>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</si>
  <si>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</si>
  <si>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</si>
  <si>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</si>
  <si>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</si>
  <si>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</si>
  <si>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</si>
  <si>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</si>
  <si>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</si>
  <si>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</si>
  <si>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</si>
  <si>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</si>
  <si>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</si>
  <si>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</si>
  <si>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</si>
  <si>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</si>
  <si>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</si>
  <si>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</si>
  <si>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</si>
  <si>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</si>
  <si>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</si>
  <si>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</si>
  <si>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</si>
  <si>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</si>
  <si>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</si>
  <si>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</si>
  <si>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</si>
  <si>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</si>
  <si>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</si>
  <si>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</si>
  <si>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</si>
  <si>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</si>
  <si>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</si>
  <si>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</si>
  <si>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</si>
  <si>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</si>
  <si>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</si>
  <si>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</si>
  <si>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</si>
  <si>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</si>
  <si>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</si>
  <si>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</si>
  <si>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</si>
  <si>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</si>
  <si>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</si>
  <si>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</si>
  <si>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</si>
  <si>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</si>
  <si>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</si>
  <si>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</si>
  <si>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</si>
  <si>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</si>
  <si>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</si>
  <si>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</si>
  <si>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</si>
  <si>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</si>
  <si>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</si>
  <si>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</si>
  <si>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</si>
  <si>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</si>
  <si>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</si>
  <si>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</si>
  <si>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</si>
  <si>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</si>
  <si>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</si>
  <si>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</si>
  <si>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</si>
  <si>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</si>
  <si>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</si>
  <si>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</si>
  <si>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</si>
  <si>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</si>
  <si>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</si>
  <si>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</si>
  <si>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</si>
  <si>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</si>
  <si>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</si>
  <si>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</si>
  <si>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</si>
  <si>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</si>
  <si>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</si>
  <si>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</si>
  <si>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</si>
  <si>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</si>
  <si>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</si>
  <si>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</si>
  <si>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</si>
  <si>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</si>
  <si>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</si>
  <si>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</si>
  <si>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</si>
  <si>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</si>
  <si>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</si>
  <si>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</si>
  <si>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</si>
  <si>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</si>
  <si>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</si>
  <si>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</si>
  <si>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</si>
  <si>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</si>
  <si>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</si>
  <si>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</si>
  <si>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</si>
  <si>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</si>
  <si>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</si>
  <si>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</si>
  <si>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</si>
  <si>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</si>
  <si>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</si>
  <si>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</si>
  <si>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</si>
  <si>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</si>
  <si>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</si>
  <si>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</si>
  <si>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</si>
  <si>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</si>
  <si>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</si>
  <si>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</si>
  <si>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</si>
  <si>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</si>
  <si>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</si>
  <si>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</si>
  <si>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</si>
  <si>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</si>
  <si>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</si>
  <si>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</si>
  <si>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</si>
  <si>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</si>
  <si>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</si>
  <si>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</si>
  <si>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</si>
  <si>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</si>
  <si>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</si>
  <si>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</si>
  <si>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</si>
  <si>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</si>
  <si>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</si>
  <si>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</si>
  <si>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</si>
  <si>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</si>
  <si>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</si>
  <si>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</si>
  <si>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</si>
  <si>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</si>
  <si>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</si>
  <si>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</si>
  <si>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</si>
  <si>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</si>
  <si>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</si>
  <si>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</si>
  <si>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</si>
  <si>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</si>
  <si>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</si>
  <si>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</si>
  <si>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</si>
  <si>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</si>
  <si>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</si>
  <si>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</si>
  <si>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</si>
  <si>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</si>
  <si>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</si>
  <si>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</si>
  <si>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</si>
  <si>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</si>
  <si>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</si>
  <si>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</si>
  <si>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</si>
  <si>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</si>
  <si>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</si>
  <si>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</si>
  <si>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</si>
  <si>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</si>
  <si>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</si>
  <si>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</si>
  <si>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</si>
  <si>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</si>
  <si>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</si>
  <si>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</si>
  <si>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</si>
  <si>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</si>
  <si>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</si>
  <si>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</si>
  <si>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</si>
  <si>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</si>
  <si>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</si>
  <si>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</si>
  <si>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</si>
  <si>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</si>
  <si>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</si>
  <si>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</si>
  <si>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</si>
  <si>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</si>
  <si>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</si>
  <si>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</si>
  <si>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</si>
  <si>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</si>
  <si>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</si>
  <si>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</si>
  <si>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</si>
  <si>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</si>
  <si>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</si>
  <si>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</si>
  <si>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</si>
  <si>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</si>
  <si>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</si>
  <si>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</si>
  <si>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</si>
  <si>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</si>
  <si>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</si>
  <si>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</si>
  <si>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</si>
  <si>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</si>
  <si>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</si>
  <si>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</si>
  <si>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</si>
  <si>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</si>
  <si>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</si>
  <si>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</si>
  <si>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</si>
  <si>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</si>
  <si>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</si>
  <si>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</si>
  <si>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</si>
  <si>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</si>
  <si>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</si>
  <si>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</si>
  <si>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</si>
  <si>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</si>
  <si>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</si>
  <si>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</si>
  <si>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</si>
  <si>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</si>
  <si>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</si>
  <si>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</si>
  <si>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</si>
  <si>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</si>
  <si>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</si>
  <si>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</si>
  <si>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</si>
  <si>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</si>
  <si>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</si>
  <si>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</si>
  <si>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</si>
  <si>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</si>
  <si>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</si>
  <si>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</si>
  <si>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</si>
  <si>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</si>
  <si>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</si>
  <si>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</si>
  <si>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</si>
  <si>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</si>
  <si>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</si>
  <si>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</si>
  <si>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</si>
  <si>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</si>
  <si>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</si>
  <si>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</si>
  <si>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</si>
  <si>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SCW Индефлятор </t>
  </si>
  <si>
    <t>50 ml</t>
  </si>
  <si>
    <t>Launcher 6F AL 3</t>
  </si>
  <si>
    <t xml:space="preserve">Заведующий отделения: Д.В. Карчевский </t>
  </si>
  <si>
    <t>Lepu Medical Balancium</t>
  </si>
  <si>
    <t>DES, Metafor</t>
  </si>
  <si>
    <t>Проводник коронарный  0,8g, Angioline</t>
  </si>
  <si>
    <t xml:space="preserve">1) Строгий контроль места пункции, повязка  на руке до 6 ч. </t>
  </si>
  <si>
    <t xml:space="preserve">проходим, контуры ровные. </t>
  </si>
  <si>
    <t>20:00</t>
  </si>
  <si>
    <t>Васецкая О.И.</t>
  </si>
  <si>
    <t xml:space="preserve">Сбалансированный </t>
  </si>
  <si>
    <t>неровности контуров проксимального сегмента. Антеградный кровоток TIMI III</t>
  </si>
  <si>
    <t>стеноз устья до 30%, острая тотальная окклюзия на границе среднего и дистального сегментов, TTG2. Антеградный кровоток TIMI III</t>
  </si>
  <si>
    <t>стеноз пркосимального сегмента до 30%, неровности контуров среднего сегмента. Антеградный кровоток TIMI III</t>
  </si>
  <si>
    <t xml:space="preserve">Совместно с д/кардиологом: с учетом клинических данных, ЭКГ и КАГ рекомендована ЧКВ ОА в экстренном порядке. </t>
  </si>
  <si>
    <t>250 ml</t>
  </si>
  <si>
    <t>Устье ствола ЛКА катетеризировано проводниковым катетером Launcher JL 3.5 6Fr. Коронарный проводник Angioline 1 гр. заведен  в дистальный сегмент ОА, в ЗБВ ОА проводник balancium провести не удалось. Реканализация артерии выполнена БК Колибри 2.0-15, давлением 14 атм. В зону значимого остаточного стеноза среднего сегмента ОА позиционирован и имплантирован DES Metafor 2.5-24 мм, давлением 14 атм. На контрольных съемках стент раскрыт удовлетворительно, тромбоза, экстравазации контрастного вещества не определяется, дистальный сегмент ЗБВ ОА не контрастируется. Предприняты повторные попытки реканализации ЗБВ, реканализовать не удалось.  Антеградный кровоток по дистальному сегменту ОА восстановлен до TIMI III. Пациентка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</si>
</sst>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
      <color theme="1"/>
      <name val="Arial Narrow"/>
      <family val="2"/>
      <charset val="204"/>
    </font>
    <font>
      <sz val="10.5"/>
      <color theme="1"/>
      <name val="Times New Roman"/>
      <family val="1"/>
      <charset val="204"/>
    </font>
    <font>
      <sz val="10.5"/>
      <color theme="1"/>
      <name val="Calibri"/>
      <family val="2"/>
      <scheme val="minor"/>
    </font>
    <font>
      <u/>
      <sz val="11"/>
      <color theme="1"/>
      <name val="Calibri Light"/>
      <family val="2"/>
      <charset val="204"/>
      <scheme val="maj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2"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6"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Alignment="1">
      <alignment horizontal="left" vertical="center"/>
    </xf>
    <xf numFmtId="0" fontId="11" fillId="2" borderId="1" xfId="0" applyFont="1" applyFill="1" applyBorder="1" applyAlignment="1">
      <alignment horizontal="center" vertical="center"/>
    </xf>
    <xf numFmtId="0" fontId="0" fillId="0" borderId="0" xfId="0" applyAlignment="1">
      <alignment horizontal="fill" vertical="center"/>
    </xf>
    <xf numFmtId="0" fontId="20" fillId="0" borderId="0" xfId="0" applyFont="1" applyAlignment="1">
      <alignment horizontal="left"/>
    </xf>
    <xf numFmtId="0" fontId="0" fillId="0" borderId="0" xfId="0" applyAlignment="1">
      <alignment vertical="center"/>
    </xf>
    <xf numFmtId="0" fontId="0" fillId="0" borderId="2"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4" fillId="0" borderId="7" xfId="0" applyFont="1" applyBorder="1" applyAlignment="1" applyProtection="1">
      <alignment horizontal="left" vertical="center"/>
      <protection locked="0"/>
    </xf>
    <xf numFmtId="14" fontId="30" fillId="6" borderId="7" xfId="4" applyNumberFormat="1" applyFont="1" applyBorder="1" applyAlignment="1" applyProtection="1">
      <alignment horizontal="left" vertical="center"/>
      <protection locked="0"/>
    </xf>
    <xf numFmtId="0" fontId="10" fillId="7" borderId="8" xfId="5" applyFont="1" applyBorder="1" applyAlignment="1">
      <alignment horizontal="left" vertical="center"/>
    </xf>
    <xf numFmtId="166" fontId="10" fillId="6" borderId="9" xfId="4" applyNumberFormat="1"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14" fillId="0" borderId="9" xfId="0" applyFont="1" applyBorder="1" applyAlignment="1" applyProtection="1">
      <alignment vertical="center"/>
      <protection locked="0"/>
    </xf>
    <xf numFmtId="0" fontId="14" fillId="0" borderId="7" xfId="0" applyFont="1" applyBorder="1" applyAlignment="1" applyProtection="1">
      <alignment vertical="center"/>
      <protection locked="0"/>
    </xf>
    <xf numFmtId="0" fontId="0" fillId="0" borderId="10" xfId="0" applyBorder="1"/>
    <xf numFmtId="0" fontId="31" fillId="0" borderId="0" xfId="0" applyFont="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lignment horizontal="left" vertical="center"/>
    </xf>
    <xf numFmtId="0" fontId="0" fillId="0" borderId="3" xfId="0" applyBorder="1"/>
    <xf numFmtId="0" fontId="31" fillId="0" borderId="12"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0" fillId="0" borderId="12" xfId="0" applyBorder="1" applyAlignment="1">
      <alignment vertical="top" wrapText="1"/>
    </xf>
    <xf numFmtId="0" fontId="32" fillId="0" borderId="0" xfId="0" applyFont="1" applyAlignment="1" applyProtection="1">
      <alignment vertical="center"/>
      <protection locked="0"/>
    </xf>
    <xf numFmtId="0" fontId="14"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9" fillId="0" borderId="0" xfId="0" applyFont="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Alignment="1">
      <alignment horizontal="centerContinuous" vertical="distributed" wrapText="1"/>
    </xf>
    <xf numFmtId="0" fontId="25" fillId="0" borderId="13" xfId="0" applyFont="1" applyBorder="1" applyAlignment="1">
      <alignment horizontal="centerContinuous" vertical="distributed" wrapText="1"/>
    </xf>
    <xf numFmtId="0" fontId="36"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4" fillId="0" borderId="13" xfId="0" applyFont="1" applyBorder="1" applyAlignment="1" applyProtection="1">
      <alignment vertical="center"/>
      <protection locked="0"/>
    </xf>
    <xf numFmtId="0" fontId="37" fillId="0" borderId="12" xfId="0" applyFont="1" applyBorder="1" applyAlignment="1">
      <alignment horizontal="left" vertical="center"/>
    </xf>
    <xf numFmtId="0" fontId="29" fillId="0" borderId="8" xfId="0" applyFont="1" applyBorder="1" applyAlignment="1">
      <alignment vertical="top" wrapText="1"/>
    </xf>
    <xf numFmtId="0" fontId="37" fillId="0" borderId="10" xfId="0" applyFont="1" applyBorder="1" applyAlignment="1">
      <alignment horizontal="left" vertical="top" wrapText="1"/>
    </xf>
    <xf numFmtId="0" fontId="29" fillId="0" borderId="12" xfId="0" applyFont="1" applyBorder="1" applyAlignment="1">
      <alignment vertical="top" wrapText="1"/>
    </xf>
    <xf numFmtId="0" fontId="39"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3" fillId="0" borderId="12" xfId="0" applyFont="1" applyBorder="1"/>
    <xf numFmtId="0" fontId="0" fillId="0" borderId="0" xfId="0" applyProtection="1">
      <protection locked="0"/>
    </xf>
    <xf numFmtId="165" fontId="14" fillId="0" borderId="7" xfId="0" applyNumberFormat="1" applyFont="1" applyBorder="1" applyAlignment="1">
      <alignment horizontal="left" vertical="center"/>
    </xf>
    <xf numFmtId="0" fontId="14" fillId="0" borderId="7" xfId="0" applyFont="1" applyBorder="1" applyAlignment="1">
      <alignment horizontal="left" vertical="center"/>
    </xf>
    <xf numFmtId="0" fontId="26" fillId="0" borderId="0" xfId="0" applyFont="1" applyAlignment="1">
      <alignment horizontal="centerContinuous" vertical="top" wrapText="1"/>
    </xf>
    <xf numFmtId="0" fontId="14" fillId="0" borderId="0" xfId="0" applyFont="1" applyAlignment="1" applyProtection="1">
      <alignment vertical="top" wrapText="1"/>
      <protection locked="0"/>
    </xf>
    <xf numFmtId="0" fontId="14" fillId="0" borderId="0" xfId="0" applyFont="1" applyAlignment="1" applyProtection="1">
      <alignment horizontal="centerContinuous" vertical="top" wrapText="1"/>
      <protection locked="0"/>
    </xf>
    <xf numFmtId="0" fontId="31" fillId="0" borderId="0" xfId="0" applyFont="1" applyAlignment="1">
      <alignment vertical="top"/>
    </xf>
    <xf numFmtId="0" fontId="31" fillId="0" borderId="13" xfId="0" applyFont="1" applyBorder="1" applyAlignment="1">
      <alignment vertical="top"/>
    </xf>
    <xf numFmtId="0" fontId="21" fillId="0" borderId="0" xfId="0" applyFont="1"/>
    <xf numFmtId="0" fontId="21" fillId="7" borderId="6" xfId="5" applyFont="1" applyBorder="1" applyAlignment="1" applyProtection="1">
      <alignment vertical="center"/>
    </xf>
    <xf numFmtId="0" fontId="10" fillId="7" borderId="8" xfId="5" applyFont="1" applyBorder="1" applyAlignment="1" applyProtection="1">
      <alignment horizontal="left" vertical="center"/>
    </xf>
    <xf numFmtId="0" fontId="34" fillId="0" borderId="0" xfId="0" applyFont="1" applyAlignment="1" applyProtection="1">
      <alignment horizontal="left"/>
      <protection locked="0"/>
    </xf>
    <xf numFmtId="0" fontId="43" fillId="0" borderId="0" xfId="0" applyFont="1" applyAlignment="1">
      <alignment horizontal="left" vertical="center"/>
    </xf>
    <xf numFmtId="0" fontId="14" fillId="0" borderId="3" xfId="0" applyFont="1" applyBorder="1" applyAlignment="1">
      <alignment vertical="center"/>
    </xf>
    <xf numFmtId="0" fontId="14" fillId="0" borderId="4" xfId="0" applyFont="1" applyBorder="1" applyAlignment="1">
      <alignment vertical="center"/>
    </xf>
    <xf numFmtId="0" fontId="27" fillId="0" borderId="8" xfId="0" applyFont="1" applyBorder="1" applyAlignment="1">
      <alignment vertical="center"/>
    </xf>
    <xf numFmtId="165" fontId="14" fillId="0" borderId="9" xfId="0" applyNumberFormat="1" applyFont="1" applyBorder="1" applyAlignment="1" applyProtection="1">
      <alignment horizontal="left" vertical="center"/>
      <protection locked="0"/>
    </xf>
    <xf numFmtId="0" fontId="10" fillId="7" borderId="15" xfId="5" applyFont="1" applyBorder="1" applyAlignment="1">
      <alignment horizontal="left" vertical="center"/>
    </xf>
    <xf numFmtId="166" fontId="10" fillId="6" borderId="16" xfId="4" applyNumberFormat="1" applyFont="1" applyBorder="1" applyAlignment="1" applyProtection="1">
      <alignment horizontal="left" vertical="center"/>
      <protection locked="0"/>
    </xf>
    <xf numFmtId="0" fontId="37" fillId="0" borderId="0" xfId="0" applyFont="1" applyAlignment="1">
      <alignment horizontal="left" vertical="center"/>
    </xf>
    <xf numFmtId="0" fontId="34" fillId="0" borderId="13" xfId="0" applyFont="1" applyBorder="1" applyAlignment="1" applyProtection="1">
      <alignment horizontal="left"/>
      <protection locked="0"/>
    </xf>
    <xf numFmtId="0" fontId="34" fillId="0" borderId="0" xfId="0" applyFont="1" applyAlignment="1" applyProtection="1">
      <alignment vertical="center"/>
      <protection locked="0"/>
    </xf>
    <xf numFmtId="0" fontId="0" fillId="0" borderId="3" xfId="0" applyBorder="1" applyAlignment="1">
      <alignment vertical="top" wrapText="1"/>
    </xf>
    <xf numFmtId="0" fontId="14" fillId="8" borderId="17" xfId="6" applyFont="1" applyBorder="1" applyAlignment="1">
      <alignment horizontal="left" vertical="center"/>
    </xf>
    <xf numFmtId="0" fontId="14" fillId="0" borderId="9" xfId="0" applyFont="1" applyBorder="1" applyAlignment="1">
      <alignment vertical="center"/>
    </xf>
    <xf numFmtId="0" fontId="14" fillId="0" borderId="7" xfId="0" applyFont="1" applyBorder="1" applyAlignment="1">
      <alignment vertical="center"/>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16" fillId="0" borderId="10" xfId="0" applyFont="1" applyBorder="1" applyAlignment="1">
      <alignment horizontal="right"/>
    </xf>
    <xf numFmtId="165" fontId="16" fillId="0" borderId="5" xfId="0" applyNumberFormat="1" applyFont="1" applyBorder="1" applyAlignment="1">
      <alignment horizontal="center"/>
    </xf>
    <xf numFmtId="0" fontId="18" fillId="0" borderId="11" xfId="0" applyFont="1" applyBorder="1" applyAlignment="1">
      <alignment horizontal="right" vertical="top"/>
    </xf>
    <xf numFmtId="0" fontId="17" fillId="0" borderId="12" xfId="0" applyFont="1" applyBorder="1" applyAlignment="1">
      <alignment horizontal="centerContinuous" vertical="top"/>
    </xf>
    <xf numFmtId="0" fontId="15" fillId="0" borderId="0" xfId="0" applyFont="1" applyAlignment="1">
      <alignment horizontal="centerContinuous"/>
    </xf>
    <xf numFmtId="0" fontId="48" fillId="9" borderId="21" xfId="7" applyFont="1" applyAlignment="1">
      <alignment horizontal="left" vertical="center"/>
    </xf>
    <xf numFmtId="14" fontId="47" fillId="9" borderId="22" xfId="7" applyNumberFormat="1" applyFont="1" applyBorder="1" applyAlignment="1" applyProtection="1">
      <alignment horizontal="right" vertical="center"/>
    </xf>
    <xf numFmtId="0" fontId="47" fillId="9" borderId="22" xfId="7" applyFont="1" applyBorder="1" applyAlignment="1" applyProtection="1">
      <alignment horizontal="right" vertical="center"/>
    </xf>
    <xf numFmtId="0" fontId="15" fillId="0" borderId="0" xfId="0" applyFont="1" applyAlignment="1">
      <alignment horizontal="center"/>
    </xf>
    <xf numFmtId="0" fontId="48" fillId="9" borderId="21" xfId="7" applyFont="1" applyAlignment="1" applyProtection="1">
      <alignment horizontal="left" vertical="center"/>
    </xf>
    <xf numFmtId="0" fontId="22" fillId="0" borderId="12" xfId="0" applyFont="1" applyBorder="1" applyAlignment="1">
      <alignment horizontal="justify" vertical="center" wrapText="1"/>
    </xf>
    <xf numFmtId="0" fontId="23" fillId="0" borderId="13" xfId="0" applyFont="1" applyBorder="1" applyAlignment="1" applyProtection="1">
      <alignment horizontal="center" vertical="center"/>
      <protection locked="0"/>
    </xf>
    <xf numFmtId="0" fontId="23" fillId="0" borderId="0" xfId="0" applyFont="1" applyAlignment="1" applyProtection="1">
      <alignment horizontal="justify" vertical="center" wrapText="1"/>
      <protection locked="0"/>
    </xf>
    <xf numFmtId="0" fontId="23" fillId="0" borderId="0" xfId="0" applyFont="1" applyAlignment="1" applyProtection="1">
      <alignment vertical="center"/>
      <protection locked="0"/>
    </xf>
    <xf numFmtId="0" fontId="21"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1" fillId="0" borderId="0" xfId="0" applyFont="1" applyAlignment="1">
      <alignment horizontal="left" vertical="center" wrapText="1"/>
    </xf>
    <xf numFmtId="20" fontId="15" fillId="0" borderId="0" xfId="0" applyNumberFormat="1" applyFont="1" applyAlignment="1" applyProtection="1">
      <alignment vertical="center"/>
      <protection locked="0"/>
    </xf>
    <xf numFmtId="0" fontId="0" fillId="0" borderId="0" xfId="0" applyAlignment="1">
      <alignment vertical="top" wrapText="1"/>
    </xf>
    <xf numFmtId="0" fontId="40" fillId="0" borderId="0" xfId="0" applyFont="1" applyAlignment="1" applyProtection="1">
      <alignment vertical="top" wrapText="1"/>
      <protection locked="0"/>
    </xf>
    <xf numFmtId="0" fontId="52" fillId="0" borderId="0" xfId="0" applyFont="1" applyAlignment="1">
      <alignment vertical="top"/>
    </xf>
    <xf numFmtId="0" fontId="53"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7" fillId="0" borderId="0" xfId="0" applyFont="1" applyAlignment="1">
      <alignment horizontal="centerContinuous" vertical="center"/>
    </xf>
    <xf numFmtId="0" fontId="49" fillId="0" borderId="0" xfId="0" applyFont="1" applyAlignment="1" applyProtection="1">
      <alignment vertical="top" wrapText="1"/>
      <protection locked="0"/>
    </xf>
    <xf numFmtId="0" fontId="49" fillId="0" borderId="3" xfId="0" applyFont="1" applyBorder="1" applyAlignment="1" applyProtection="1">
      <alignment vertical="top" wrapText="1"/>
      <protection locked="0"/>
    </xf>
    <xf numFmtId="0" fontId="53"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8" fillId="9" borderId="23" xfId="7" applyFont="1" applyBorder="1" applyAlignment="1">
      <alignment horizontal="left" vertical="center"/>
    </xf>
    <xf numFmtId="0" fontId="46" fillId="9" borderId="12" xfId="7" applyBorder="1" applyAlignment="1" applyProtection="1">
      <alignment horizontal="left" vertical="center"/>
    </xf>
    <xf numFmtId="0" fontId="46" fillId="9" borderId="24" xfId="7" applyBorder="1" applyAlignment="1" applyProtection="1">
      <alignment horizontal="justify" vertical="justify" wrapText="1"/>
    </xf>
    <xf numFmtId="0" fontId="46" fillId="9" borderId="24" xfId="7" applyBorder="1" applyAlignment="1" applyProtection="1">
      <alignment horizontal="justify" vertical="top" wrapText="1"/>
    </xf>
    <xf numFmtId="0" fontId="55" fillId="0" borderId="25" xfId="0" applyFont="1" applyBorder="1" applyAlignment="1" applyProtection="1">
      <alignment horizontal="center" vertical="center"/>
      <protection locked="0"/>
    </xf>
    <xf numFmtId="0" fontId="56" fillId="4" borderId="28" xfId="0" applyFont="1" applyFill="1" applyBorder="1" applyAlignment="1">
      <alignment horizontal="center" vertical="center"/>
    </xf>
    <xf numFmtId="0" fontId="56" fillId="4" borderId="29" xfId="0" applyFont="1" applyFill="1" applyBorder="1" applyAlignment="1">
      <alignment horizontal="center" vertical="center"/>
    </xf>
    <xf numFmtId="0" fontId="56" fillId="4" borderId="27" xfId="0" applyFont="1" applyFill="1" applyBorder="1" applyAlignment="1">
      <alignment horizontal="center" vertical="center"/>
    </xf>
    <xf numFmtId="0" fontId="10" fillId="0" borderId="30" xfId="0" applyFont="1" applyBorder="1" applyAlignment="1">
      <alignment horizontal="justify" vertical="center" wrapText="1"/>
    </xf>
    <xf numFmtId="0" fontId="55" fillId="0" borderId="31" xfId="0" applyFont="1" applyBorder="1" applyAlignment="1" applyProtection="1">
      <alignment horizontal="center" vertical="center"/>
      <protection locked="0"/>
    </xf>
    <xf numFmtId="0" fontId="10" fillId="0" borderId="32" xfId="0" applyFont="1" applyBorder="1" applyAlignment="1">
      <alignment horizontal="justify" vertical="center" wrapText="1"/>
    </xf>
    <xf numFmtId="0" fontId="55" fillId="0" borderId="33" xfId="0" applyFont="1" applyBorder="1" applyAlignment="1" applyProtection="1">
      <alignment horizontal="center" vertical="center"/>
      <protection locked="0"/>
    </xf>
    <xf numFmtId="0" fontId="22" fillId="0" borderId="32" xfId="0" applyFont="1" applyBorder="1" applyAlignment="1">
      <alignment horizontal="justify" vertical="center" wrapText="1"/>
    </xf>
    <xf numFmtId="0" fontId="22" fillId="0" borderId="34" xfId="0" applyFont="1" applyBorder="1" applyAlignment="1">
      <alignment horizontal="justify" vertical="center" wrapText="1"/>
    </xf>
    <xf numFmtId="0" fontId="55" fillId="0" borderId="35" xfId="0" applyFont="1" applyBorder="1" applyAlignment="1" applyProtection="1">
      <alignment horizontal="center" vertical="center"/>
      <protection locked="0"/>
    </xf>
    <xf numFmtId="0" fontId="55" fillId="0" borderId="36" xfId="0" applyFont="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4" fillId="8" borderId="37" xfId="6" applyFont="1" applyBorder="1" applyAlignment="1">
      <alignment horizontal="left" vertical="center"/>
    </xf>
    <xf numFmtId="14" fontId="54" fillId="9" borderId="38" xfId="7" applyNumberFormat="1" applyFont="1" applyBorder="1" applyAlignment="1">
      <alignment horizontal="left" vertical="center"/>
    </xf>
    <xf numFmtId="14" fontId="47" fillId="9" borderId="39" xfId="7" applyNumberFormat="1" applyFont="1" applyBorder="1" applyAlignment="1" applyProtection="1">
      <alignment horizontal="right" vertical="center"/>
    </xf>
    <xf numFmtId="0" fontId="17" fillId="0" borderId="5" xfId="0" applyFont="1" applyBorder="1" applyAlignment="1">
      <alignment horizontal="center"/>
    </xf>
    <xf numFmtId="0" fontId="55" fillId="0" borderId="26" xfId="0" applyFont="1" applyBorder="1" applyAlignment="1" applyProtection="1">
      <alignment horizontal="justify" vertical="center" wrapText="1"/>
      <protection locked="0"/>
    </xf>
    <xf numFmtId="0" fontId="55" fillId="0" borderId="25" xfId="0" applyFont="1" applyBorder="1" applyAlignment="1" applyProtection="1">
      <alignment horizontal="justify" vertical="center" wrapText="1"/>
      <protection locked="0"/>
    </xf>
    <xf numFmtId="16" fontId="55" fillId="0" borderId="25" xfId="0" applyNumberFormat="1" applyFont="1" applyBorder="1" applyAlignment="1" applyProtection="1">
      <alignment horizontal="justify" vertical="center" wrapText="1"/>
      <protection locked="0"/>
    </xf>
    <xf numFmtId="0" fontId="55" fillId="0" borderId="35" xfId="0" applyFont="1" applyBorder="1" applyAlignment="1" applyProtection="1">
      <alignment horizontal="justify" vertical="center" wrapText="1"/>
      <protection locked="0"/>
    </xf>
    <xf numFmtId="0" fontId="3" fillId="0" borderId="0" xfId="0" applyFont="1"/>
    <xf numFmtId="0" fontId="57" fillId="0" borderId="40" xfId="0" applyFont="1" applyBorder="1" applyProtection="1">
      <protection locked="0"/>
    </xf>
    <xf numFmtId="0" fontId="0" fillId="0" borderId="0" xfId="0" applyAlignment="1">
      <alignment horizontal="center" vertical="top"/>
    </xf>
    <xf numFmtId="0" fontId="15" fillId="0" borderId="0" xfId="0" applyFont="1"/>
    <xf numFmtId="0" fontId="2" fillId="0" borderId="0" xfId="0" applyFont="1"/>
    <xf numFmtId="0" fontId="14" fillId="0" borderId="0" xfId="0" applyFont="1" applyAlignment="1" applyProtection="1">
      <alignment horizontal="justify" vertical="top"/>
      <protection locked="0"/>
    </xf>
    <xf numFmtId="0" fontId="24" fillId="7" borderId="15" xfId="5" applyFont="1" applyBorder="1" applyAlignment="1" applyProtection="1">
      <alignment horizontal="left" vertical="center"/>
    </xf>
    <xf numFmtId="0" fontId="45" fillId="0" borderId="20" xfId="0" applyFont="1" applyBorder="1" applyAlignment="1" applyProtection="1">
      <alignment horizontal="left" vertical="center" wrapText="1"/>
      <protection locked="0"/>
    </xf>
    <xf numFmtId="0" fontId="44" fillId="0" borderId="19" xfId="0" applyFont="1" applyBorder="1" applyAlignment="1">
      <alignment horizontal="left" vertical="center"/>
    </xf>
    <xf numFmtId="0" fontId="15"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5"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8"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4"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0"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5" fillId="0" borderId="20" xfId="0" applyNumberFormat="1" applyFont="1" applyBorder="1" applyAlignment="1">
      <alignment horizontal="left" vertical="center" wrapText="1"/>
    </xf>
    <xf numFmtId="0" fontId="45" fillId="0" borderId="20" xfId="0" applyFont="1" applyBorder="1" applyAlignment="1">
      <alignment horizontal="left" vertical="center" wrapText="1"/>
    </xf>
    <xf numFmtId="14" fontId="55"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7" fillId="0" borderId="0" xfId="0" applyFont="1" applyAlignment="1">
      <alignment horizontal="left"/>
    </xf>
    <xf numFmtId="20" fontId="28" fillId="0" borderId="13" xfId="0" applyNumberFormat="1" applyFont="1" applyBorder="1" applyAlignment="1">
      <alignment horizontal="left" wrapText="1"/>
    </xf>
    <xf numFmtId="0" fontId="14" fillId="0" borderId="13" xfId="0" applyFont="1" applyBorder="1" applyAlignment="1" applyProtection="1">
      <alignment horizontal="fill" vertical="center"/>
      <protection hidden="1"/>
    </xf>
    <xf numFmtId="14" fontId="55" fillId="0" borderId="26" xfId="0" applyNumberFormat="1" applyFont="1" applyBorder="1" applyAlignment="1" applyProtection="1">
      <alignment horizontal="center" vertical="center"/>
      <protection locked="0"/>
    </xf>
    <xf numFmtId="166" fontId="21" fillId="6" borderId="9" xfId="4" applyNumberFormat="1" applyFont="1" applyBorder="1" applyAlignment="1" applyProtection="1">
      <alignment horizontal="left" vertical="center"/>
    </xf>
    <xf numFmtId="0" fontId="0" fillId="0" borderId="0" xfId="0" applyAlignment="1">
      <alignment horizontal="left"/>
    </xf>
    <xf numFmtId="0" fontId="15"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6" fillId="0" borderId="8" xfId="0" applyFont="1" applyBorder="1" applyAlignment="1">
      <alignment horizontal="left" vertical="center"/>
    </xf>
    <xf numFmtId="167" fontId="0" fillId="0" borderId="0" xfId="0" applyNumberFormat="1" applyAlignment="1">
      <alignment horizontal="left"/>
    </xf>
    <xf numFmtId="0" fontId="15" fillId="0" borderId="4" xfId="0" applyFont="1" applyBorder="1" applyAlignment="1" applyProtection="1">
      <alignment horizontal="center" vertical="center"/>
      <protection locked="0"/>
    </xf>
    <xf numFmtId="0" fontId="10" fillId="0" borderId="12" xfId="0" applyFont="1" applyBorder="1" applyAlignment="1">
      <alignment horizontal="left"/>
    </xf>
    <xf numFmtId="0" fontId="1" fillId="0" borderId="8" xfId="0" applyFont="1" applyBorder="1"/>
    <xf numFmtId="0" fontId="36"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1" fillId="8" borderId="18" xfId="6" applyFont="1" applyBorder="1" applyAlignment="1" applyProtection="1">
      <alignment horizontal="left" vertical="center"/>
      <protection locked="0"/>
    </xf>
    <xf numFmtId="0" fontId="44" fillId="8" borderId="16" xfId="6" applyFont="1" applyBorder="1" applyAlignment="1" applyProtection="1">
      <alignment horizontal="left" vertical="center"/>
      <protection locked="0"/>
    </xf>
    <xf numFmtId="0" fontId="21" fillId="8" borderId="18" xfId="6" applyFont="1" applyBorder="1" applyAlignment="1" applyProtection="1">
      <alignment horizontal="left" vertical="center"/>
    </xf>
    <xf numFmtId="0" fontId="58" fillId="0" borderId="0" xfId="0" applyFont="1" applyAlignment="1" applyProtection="1">
      <alignment horizontal="justify" vertical="top" wrapText="1"/>
      <protection locked="0"/>
    </xf>
    <xf numFmtId="0" fontId="5" fillId="0" borderId="0" xfId="0" applyFont="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7"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1" fillId="0" borderId="0" xfId="0" applyFont="1" applyAlignment="1" applyProtection="1">
      <alignment horizontal="justify" vertical="top" wrapText="1"/>
      <protection locked="0"/>
    </xf>
    <xf numFmtId="0" fontId="51" fillId="0" borderId="13" xfId="0" applyFont="1" applyBorder="1" applyAlignment="1" applyProtection="1">
      <alignment horizontal="justify" vertical="top" wrapText="1"/>
      <protection locked="0"/>
    </xf>
    <xf numFmtId="0" fontId="38" fillId="0" borderId="12" xfId="0" applyFont="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13" xfId="0" applyFont="1" applyBorder="1" applyAlignment="1" applyProtection="1">
      <alignment horizontal="center" vertical="center" wrapText="1"/>
      <protection locked="0"/>
    </xf>
    <xf numFmtId="0" fontId="52"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9" fillId="0" borderId="5" xfId="0" applyFont="1" applyBorder="1" applyAlignment="1" applyProtection="1">
      <alignment horizontal="justify" vertical="top" wrapText="1"/>
      <protection locked="0"/>
    </xf>
    <xf numFmtId="0" fontId="69" fillId="0" borderId="11" xfId="0" applyFont="1" applyBorder="1" applyAlignment="1" applyProtection="1">
      <alignment horizontal="justify" vertical="top" wrapText="1"/>
      <protection locked="0"/>
    </xf>
    <xf numFmtId="0" fontId="69" fillId="0" borderId="0" xfId="0" applyFont="1" applyAlignment="1" applyProtection="1">
      <alignment horizontal="justify" vertical="top" wrapText="1"/>
      <protection locked="0"/>
    </xf>
    <xf numFmtId="0" fontId="69" fillId="0" borderId="13" xfId="0" applyFont="1" applyBorder="1" applyAlignment="1" applyProtection="1">
      <alignment horizontal="justify" vertical="top" wrapText="1"/>
      <protection locked="0"/>
    </xf>
    <xf numFmtId="0" fontId="69" fillId="0" borderId="3" xfId="0" applyFont="1" applyBorder="1" applyAlignment="1" applyProtection="1">
      <alignment horizontal="justify" vertical="top" wrapText="1"/>
      <protection locked="0"/>
    </xf>
    <xf numFmtId="0" fontId="69" fillId="0" borderId="9"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0" fillId="0" borderId="3" xfId="0" applyFont="1" applyBorder="1" applyAlignment="1" applyProtection="1">
      <alignment horizontal="left" vertical="center"/>
      <protection locked="0"/>
    </xf>
    <xf numFmtId="0" fontId="35" fillId="0" borderId="12" xfId="0" applyFont="1" applyBorder="1" applyAlignment="1" applyProtection="1">
      <alignment horizontal="center" vertical="distributed" wrapText="1"/>
      <protection locked="0"/>
    </xf>
    <xf numFmtId="0" fontId="35" fillId="0" borderId="0" xfId="0" applyFont="1" applyAlignment="1" applyProtection="1">
      <alignment horizontal="center" vertical="distributed" wrapText="1"/>
      <protection locked="0"/>
    </xf>
    <xf numFmtId="0" fontId="35" fillId="0" borderId="13" xfId="0" applyFont="1" applyBorder="1" applyAlignment="1" applyProtection="1">
      <alignment horizontal="center" vertical="distributed" wrapText="1"/>
      <protection locked="0"/>
    </xf>
    <xf numFmtId="0" fontId="50" fillId="0" borderId="4" xfId="0" applyFont="1" applyBorder="1" applyAlignment="1" applyProtection="1">
      <alignment horizontal="left" vertical="center"/>
      <protection locked="0"/>
    </xf>
    <xf numFmtId="0" fontId="72" fillId="0" borderId="0" xfId="0" applyFont="1" applyAlignment="1" applyProtection="1">
      <alignment horizontal="justify" vertical="top" wrapText="1"/>
      <protection locked="0"/>
    </xf>
    <xf numFmtId="0" fontId="40" fillId="0" borderId="0" xfId="0" applyFont="1" applyAlignment="1" applyProtection="1">
      <alignment horizontal="justify" vertical="top" wrapText="1"/>
      <protection locked="0"/>
    </xf>
    <xf numFmtId="0" fontId="40"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71" fillId="0" borderId="0" xfId="0" applyFont="1" applyAlignment="1">
      <alignment horizontal="justify" vertical="top" wrapText="1"/>
    </xf>
    <xf numFmtId="0" fontId="71" fillId="0" borderId="13" xfId="0" applyFont="1" applyBorder="1" applyAlignment="1">
      <alignment horizontal="justify" vertical="top" wrapText="1"/>
    </xf>
    <xf numFmtId="0" fontId="71"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87628</xdr:colOff>
      <xdr:row>40</xdr:row>
      <xdr:rowOff>28575</xdr:rowOff>
    </xdr:from>
    <xdr:to>
      <xdr:col>1</xdr:col>
      <xdr:colOff>1000125</xdr:colOff>
      <xdr:row>49</xdr:row>
      <xdr:rowOff>12623</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28" y="7724775"/>
          <a:ext cx="2169797" cy="1612823"/>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4"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4"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учёта'!$B$21,Расходка[[#This Row],[Наименование расходного материала]])),MAX($I$1:I1)+1,0)</calculatedColumnFormula>
    </tableColumn>
    <tableColumn id="6" name="Индекс6" dataDxfId="23">
      <calculatedColumnFormula>IF(ISNUMBER(SEARCH('Карта учёта'!$B$19,Расходка[[#This Row],[Наименование расходного материала]])),MAX($J$1:J1)+1,0)</calculatedColumnFormula>
    </tableColumn>
    <tableColumn id="7" name="Индекс7" dataDxfId="22">
      <calculatedColumnFormula>IF(ISNUMBER(SEARCH('Карта учёта'!$B$17,Расходка[[#This Row],[Наименование расходного материала]])),MAX($K$1:K1)+1,0)</calculatedColumnFormula>
    </tableColumn>
    <tableColumn id="8" name="Индекс8" dataDxfId="21">
      <calculatedColumnFormula>IF(ISNUMBER(SEARCH('Карта учёта'!$B$18,Расходка[[#This Row],[Наименование расходного материала]])),MAX($L$1:L1)+1,0)</calculatedColumnFormula>
    </tableColumn>
    <tableColumn id="9" name="Индекс9" dataDxfId="20">
      <calculatedColumnFormula>IF(ISNUMBER(SEARCH('Карта учёта'!$B$20,Расходка[[#This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zoomScaleNormal="100" zoomScaleSheetLayoutView="100" zoomScalePageLayoutView="90" workbookViewId="0">
      <selection activeCell="S27" sqref="S27"/>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45242</v>
      </c>
      <c r="C8" s="54"/>
      <c r="D8" s="16" t="s">
        <v>186</v>
      </c>
      <c r="E8" s="29"/>
      <c r="F8" s="29"/>
      <c r="G8" s="17"/>
      <c r="H8" s="18"/>
    </row>
    <row r="9" spans="1:8" ht="15.6" customHeight="1">
      <c r="A9" s="21" t="s">
        <v>193</v>
      </c>
      <c r="B9" s="22">
        <v>0.85416666666666663</v>
      </c>
      <c r="C9" s="54"/>
      <c r="D9" s="94" t="s">
        <v>172</v>
      </c>
      <c r="E9" s="92"/>
      <c r="F9" s="92"/>
      <c r="G9" s="23" t="s">
        <v>163</v>
      </c>
      <c r="H9" s="25"/>
    </row>
    <row r="10" spans="1:8" ht="15.6" customHeight="1" thickBot="1">
      <c r="A10" s="83" t="s">
        <v>194</v>
      </c>
      <c r="B10" s="84">
        <v>0.86111111111111116</v>
      </c>
      <c r="C10" s="55"/>
      <c r="D10" s="95" t="s">
        <v>173</v>
      </c>
      <c r="E10" s="93"/>
      <c r="F10" s="93"/>
      <c r="G10" s="24" t="s">
        <v>164</v>
      </c>
      <c r="H10" s="26"/>
    </row>
    <row r="11" spans="1:8" ht="17.25" thickTop="1" thickBot="1">
      <c r="A11" s="89" t="s">
        <v>192</v>
      </c>
      <c r="B11" s="201" t="s">
        <v>522</v>
      </c>
      <c r="C11" s="8"/>
      <c r="D11" s="95" t="s">
        <v>170</v>
      </c>
      <c r="E11" s="93"/>
      <c r="F11" s="93"/>
      <c r="G11" s="24" t="s">
        <v>254</v>
      </c>
      <c r="H11" s="26"/>
    </row>
    <row r="12" spans="1:8" ht="16.5" thickTop="1">
      <c r="A12" s="81" t="s">
        <v>8</v>
      </c>
      <c r="B12" s="82">
        <v>22377</v>
      </c>
      <c r="C12" s="12"/>
      <c r="D12" s="95" t="s">
        <v>303</v>
      </c>
      <c r="E12" s="93"/>
      <c r="F12" s="93"/>
      <c r="G12" s="24" t="s">
        <v>260</v>
      </c>
      <c r="H12" s="26"/>
    </row>
    <row r="13" spans="1:8" ht="15.75">
      <c r="A13" s="15" t="s">
        <v>10</v>
      </c>
      <c r="B13" s="30">
        <f>DATEDIF(B12,B8,"y")</f>
        <v>62</v>
      </c>
      <c r="C13" s="12"/>
      <c r="D13" s="95"/>
      <c r="E13" s="93"/>
      <c r="F13" s="93"/>
      <c r="G13" s="24"/>
      <c r="H13" s="26"/>
    </row>
    <row r="14" spans="1:8" ht="15.75">
      <c r="A14" s="15" t="s">
        <v>12</v>
      </c>
      <c r="B14" s="19">
        <v>31007</v>
      </c>
      <c r="C14" s="12"/>
      <c r="D14" s="36"/>
      <c r="E14" s="36"/>
      <c r="F14" s="36"/>
      <c r="G14" s="37"/>
      <c r="H14" s="56"/>
    </row>
    <row r="15" spans="1:8" ht="15.75">
      <c r="A15" s="15" t="s">
        <v>133</v>
      </c>
      <c r="B15" s="19">
        <v>35</v>
      </c>
      <c r="D15" s="36"/>
      <c r="E15" s="36"/>
      <c r="F15" s="36"/>
      <c r="G15" s="166" t="s">
        <v>402</v>
      </c>
      <c r="H15" s="170" t="s">
        <v>521</v>
      </c>
    </row>
    <row r="16" spans="1:8" ht="15.6" customHeight="1">
      <c r="A16" s="15" t="s">
        <v>106</v>
      </c>
      <c r="B16" s="19" t="s">
        <v>488</v>
      </c>
      <c r="D16" s="36"/>
      <c r="E16" s="36"/>
      <c r="F16" s="36"/>
      <c r="G16" s="167" t="s">
        <v>404</v>
      </c>
      <c r="H16" s="165">
        <v>8150</v>
      </c>
    </row>
    <row r="17" spans="1:8" ht="14.45" customHeight="1">
      <c r="A17" s="40"/>
      <c r="B17" s="31"/>
      <c r="C17" s="31"/>
      <c r="D17" s="88"/>
      <c r="E17" s="88"/>
      <c r="F17" s="88"/>
      <c r="G17" s="168" t="s">
        <v>391</v>
      </c>
      <c r="H17" s="169">
        <f>H16*0.0019</f>
        <v>15.484999999999999</v>
      </c>
    </row>
    <row r="18" spans="1:8" ht="14.45" customHeight="1">
      <c r="A18" s="57" t="s">
        <v>188</v>
      </c>
      <c r="B18" s="87" t="s">
        <v>523</v>
      </c>
      <c r="D18" s="28" t="s">
        <v>210</v>
      </c>
      <c r="E18" s="28"/>
      <c r="F18" s="28"/>
      <c r="G18" s="85" t="s">
        <v>189</v>
      </c>
      <c r="H18" s="86" t="s">
        <v>509</v>
      </c>
    </row>
    <row r="19" spans="1:8" ht="14.45" customHeight="1">
      <c r="A19" s="40"/>
      <c r="B19" s="31"/>
      <c r="C19" s="31"/>
      <c r="D19" s="34"/>
      <c r="E19" s="34"/>
      <c r="F19" s="34"/>
      <c r="G19" s="31"/>
      <c r="H19" s="41"/>
    </row>
    <row r="20" spans="1:8" ht="14.45" customHeight="1">
      <c r="A20" s="57" t="s">
        <v>212</v>
      </c>
      <c r="B20" s="214" t="s">
        <v>520</v>
      </c>
      <c r="C20" s="215"/>
      <c r="D20" s="215"/>
      <c r="E20" s="215"/>
      <c r="F20" s="215"/>
      <c r="G20" s="215"/>
      <c r="H20" s="216"/>
    </row>
    <row r="21" spans="1:8">
      <c r="A21" s="58"/>
      <c r="B21" s="217"/>
      <c r="C21" s="217"/>
      <c r="D21" s="217"/>
      <c r="E21" s="217"/>
      <c r="F21" s="217"/>
      <c r="G21" s="217"/>
      <c r="H21" s="218"/>
    </row>
    <row r="22" spans="1:8" ht="15.6" customHeight="1">
      <c r="A22" s="59" t="s">
        <v>271</v>
      </c>
      <c r="B22" s="219" t="s">
        <v>524</v>
      </c>
      <c r="C22" s="220"/>
      <c r="D22" s="220"/>
      <c r="E22" s="220"/>
      <c r="F22" s="220"/>
      <c r="G22" s="220"/>
      <c r="H22" s="221"/>
    </row>
    <row r="23" spans="1:8" ht="14.45" customHeight="1">
      <c r="A23" s="38"/>
      <c r="B23" s="222"/>
      <c r="C23" s="222"/>
      <c r="D23" s="222"/>
      <c r="E23" s="222"/>
      <c r="F23" s="222"/>
      <c r="G23" s="222"/>
      <c r="H23" s="223"/>
    </row>
    <row r="24" spans="1:8" ht="14.45" customHeight="1">
      <c r="A24" s="60"/>
      <c r="B24" s="222"/>
      <c r="C24" s="222"/>
      <c r="D24" s="222"/>
      <c r="E24" s="222"/>
      <c r="F24" s="222"/>
      <c r="G24" s="222"/>
      <c r="H24" s="223"/>
    </row>
    <row r="25" spans="1:8" ht="14.45" customHeight="1">
      <c r="A25" s="38"/>
      <c r="B25" s="222"/>
      <c r="C25" s="222"/>
      <c r="D25" s="222"/>
      <c r="E25" s="222"/>
      <c r="F25" s="222"/>
      <c r="G25" s="222"/>
      <c r="H25" s="223"/>
    </row>
    <row r="26" spans="1:8" ht="14.45" customHeight="1">
      <c r="A26" s="40"/>
      <c r="B26" s="224"/>
      <c r="C26" s="224"/>
      <c r="D26" s="224"/>
      <c r="E26" s="224"/>
      <c r="F26" s="224"/>
      <c r="G26" s="224"/>
      <c r="H26" s="225"/>
    </row>
    <row r="27" spans="1:8" ht="14.45" customHeight="1">
      <c r="A27" s="59" t="s">
        <v>272</v>
      </c>
      <c r="B27" s="219" t="s">
        <v>525</v>
      </c>
      <c r="C27" s="219"/>
      <c r="D27" s="219"/>
      <c r="E27" s="219"/>
      <c r="F27" s="219"/>
      <c r="G27" s="219"/>
      <c r="H27" s="226"/>
    </row>
    <row r="28" spans="1:8" ht="15.6" customHeight="1">
      <c r="A28" s="38"/>
      <c r="B28" s="227"/>
      <c r="C28" s="227"/>
      <c r="D28" s="227"/>
      <c r="E28" s="227"/>
      <c r="F28" s="227"/>
      <c r="G28" s="227"/>
      <c r="H28" s="228"/>
    </row>
    <row r="29" spans="1:8" ht="14.45" customHeight="1">
      <c r="A29" s="38"/>
      <c r="B29" s="227"/>
      <c r="C29" s="227"/>
      <c r="D29" s="227"/>
      <c r="E29" s="227"/>
      <c r="F29" s="227"/>
      <c r="G29" s="227"/>
      <c r="H29" s="228"/>
    </row>
    <row r="30" spans="1:8" ht="14.45" customHeight="1">
      <c r="A30" s="32"/>
      <c r="B30" s="227"/>
      <c r="C30" s="227"/>
      <c r="D30" s="227"/>
      <c r="E30" s="227"/>
      <c r="F30" s="227"/>
      <c r="G30" s="227"/>
      <c r="H30" s="228"/>
    </row>
    <row r="31" spans="1:8" ht="14.45" customHeight="1">
      <c r="A31" s="33"/>
      <c r="B31" s="229"/>
      <c r="C31" s="229"/>
      <c r="D31" s="229"/>
      <c r="E31" s="229"/>
      <c r="F31" s="229"/>
      <c r="G31" s="229"/>
      <c r="H31" s="230"/>
    </row>
    <row r="32" spans="1:8" ht="14.45" customHeight="1">
      <c r="A32" s="59" t="s">
        <v>273</v>
      </c>
      <c r="B32" s="219" t="s">
        <v>526</v>
      </c>
      <c r="C32" s="219"/>
      <c r="D32" s="219"/>
      <c r="E32" s="219"/>
      <c r="F32" s="219"/>
      <c r="G32" s="219"/>
      <c r="H32" s="226"/>
    </row>
    <row r="33" spans="1:8" ht="14.45" customHeight="1">
      <c r="A33" s="38"/>
      <c r="B33" s="227"/>
      <c r="C33" s="227"/>
      <c r="D33" s="227"/>
      <c r="E33" s="227"/>
      <c r="F33" s="227"/>
      <c r="G33" s="227"/>
      <c r="H33" s="228"/>
    </row>
    <row r="34" spans="1:8" ht="15.6" customHeight="1">
      <c r="A34" s="38"/>
      <c r="B34" s="227"/>
      <c r="C34" s="227"/>
      <c r="D34" s="227"/>
      <c r="E34" s="227"/>
      <c r="F34" s="227"/>
      <c r="G34" s="227"/>
      <c r="H34" s="228"/>
    </row>
    <row r="35" spans="1:8" ht="14.45" customHeight="1">
      <c r="A35" s="38"/>
      <c r="B35" s="227"/>
      <c r="C35" s="227"/>
      <c r="D35" s="227"/>
      <c r="E35" s="227"/>
      <c r="F35" s="227"/>
      <c r="G35" s="227"/>
      <c r="H35" s="228"/>
    </row>
    <row r="36" spans="1:8" ht="15.6" customHeight="1">
      <c r="A36" s="38"/>
      <c r="B36" s="227"/>
      <c r="C36" s="227"/>
      <c r="D36" s="227"/>
      <c r="E36" s="227"/>
      <c r="F36" s="227"/>
      <c r="G36" s="227"/>
      <c r="H36" s="228"/>
    </row>
    <row r="37" spans="1:8" ht="14.45" customHeight="1">
      <c r="A37" s="38"/>
      <c r="D37" s="207" t="str">
        <f>IF($A$6=Вмешательства!$D$3,Вмешательства!$F$18,"")</f>
        <v/>
      </c>
      <c r="E37" s="207"/>
      <c r="F37" s="119"/>
      <c r="G37" s="119"/>
      <c r="H37" s="123"/>
    </row>
    <row r="38" spans="1:8" ht="14.45" customHeight="1">
      <c r="A38" s="38"/>
      <c r="C38" s="124"/>
      <c r="D38" s="208"/>
      <c r="E38" s="209"/>
      <c r="F38" s="209"/>
      <c r="G38" s="209"/>
      <c r="H38" s="210"/>
    </row>
    <row r="39" spans="1:8" ht="14.45" customHeight="1">
      <c r="A39" s="35"/>
      <c r="B39" s="119"/>
      <c r="C39" s="124"/>
      <c r="D39" s="209"/>
      <c r="E39" s="209"/>
      <c r="F39" s="209"/>
      <c r="G39" s="209"/>
      <c r="H39" s="210"/>
    </row>
    <row r="40" spans="1:8" ht="14.45" customHeight="1">
      <c r="A40" s="35"/>
      <c r="B40" s="119"/>
      <c r="C40" s="124"/>
      <c r="D40" s="209"/>
      <c r="E40" s="209"/>
      <c r="F40" s="209"/>
      <c r="G40" s="209"/>
      <c r="H40" s="210"/>
    </row>
    <row r="41" spans="1:8" ht="14.45" customHeight="1">
      <c r="A41" s="35"/>
      <c r="B41" s="119"/>
      <c r="C41" s="124"/>
      <c r="D41" s="209"/>
      <c r="E41" s="209"/>
      <c r="F41" s="209"/>
      <c r="G41" s="209"/>
      <c r="H41" s="210"/>
    </row>
    <row r="42" spans="1:8" ht="14.45" customHeight="1">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04" t="s">
        <v>527</v>
      </c>
      <c r="E43" s="205"/>
      <c r="F43" s="205"/>
      <c r="G43" s="205"/>
      <c r="H43" s="206"/>
    </row>
    <row r="44" spans="1:8" ht="14.45" customHeight="1">
      <c r="A44" s="35"/>
      <c r="B44" s="119"/>
      <c r="C44" s="126"/>
      <c r="D44" s="205"/>
      <c r="E44" s="205"/>
      <c r="F44" s="205"/>
      <c r="G44" s="205"/>
      <c r="H44" s="206"/>
    </row>
    <row r="45" spans="1:8" ht="14.45" customHeight="1">
      <c r="A45" s="35"/>
      <c r="B45" s="119"/>
      <c r="C45" s="126"/>
      <c r="D45" s="205"/>
      <c r="E45" s="205"/>
      <c r="F45" s="205"/>
      <c r="G45" s="205"/>
      <c r="H45" s="206"/>
    </row>
    <row r="46" spans="1:8">
      <c r="A46" s="35"/>
      <c r="B46" s="119"/>
      <c r="C46" s="126"/>
      <c r="D46" s="205"/>
      <c r="E46" s="205"/>
      <c r="F46" s="205"/>
      <c r="G46" s="205"/>
      <c r="H46" s="206"/>
    </row>
    <row r="47" spans="1:8">
      <c r="A47" s="38"/>
      <c r="C47" s="126"/>
      <c r="D47" s="205"/>
      <c r="E47" s="205"/>
      <c r="F47" s="205"/>
      <c r="G47" s="205"/>
      <c r="H47" s="206"/>
    </row>
    <row r="48" spans="1:8">
      <c r="A48" s="38"/>
      <c r="C48" s="126"/>
      <c r="D48" s="205"/>
      <c r="E48" s="205"/>
      <c r="F48" s="205"/>
      <c r="G48" s="205"/>
      <c r="H48" s="206"/>
    </row>
    <row r="49" spans="1:13">
      <c r="A49" s="40"/>
      <c r="B49" s="31"/>
      <c r="C49" s="127"/>
      <c r="D49" s="205"/>
      <c r="E49" s="205"/>
      <c r="F49" s="205"/>
      <c r="G49" s="205"/>
      <c r="H49" s="206"/>
    </row>
    <row r="50" spans="1:13">
      <c r="A50" s="38"/>
      <c r="D50" s="205"/>
      <c r="E50" s="205"/>
      <c r="F50" s="205"/>
      <c r="G50" s="205"/>
      <c r="H50" s="206"/>
      <c r="M50" t="s">
        <v>211</v>
      </c>
    </row>
    <row r="51" spans="1:13">
      <c r="A51" s="62" t="s">
        <v>204</v>
      </c>
      <c r="B51" s="63" t="s">
        <v>513</v>
      </c>
      <c r="G51" s="74" t="str">
        <f>$G$9</f>
        <v>Щербаков А.С.</v>
      </c>
      <c r="H51" s="64"/>
    </row>
    <row r="52" spans="1:13">
      <c r="A52" s="38"/>
      <c r="H52" s="39"/>
    </row>
    <row r="53" spans="1:13">
      <c r="A53" s="65" t="s">
        <v>206</v>
      </c>
      <c r="B53" s="66" t="s">
        <v>311</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4" zoomScale="110" zoomScaleNormal="100" zoomScaleSheetLayoutView="110" zoomScalePageLayoutView="90" workbookViewId="0">
      <selection activeCell="I35" sqref="I35"/>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1" t="s">
        <v>208</v>
      </c>
      <c r="B6" s="242"/>
      <c r="C6" s="242"/>
      <c r="D6" s="242"/>
      <c r="E6" s="242"/>
      <c r="F6" s="242"/>
      <c r="G6" s="242"/>
      <c r="H6" s="243"/>
    </row>
    <row r="7" spans="1:8" ht="21.6" customHeight="1">
      <c r="A7" s="241"/>
      <c r="B7" s="242"/>
      <c r="C7" s="242"/>
      <c r="D7" s="242"/>
      <c r="E7" s="242"/>
      <c r="F7" s="242"/>
      <c r="G7" s="242"/>
      <c r="H7" s="243"/>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209</v>
      </c>
      <c r="D8" s="240"/>
      <c r="E8" s="240"/>
      <c r="F8" s="191">
        <v>1</v>
      </c>
      <c r="G8" s="118" t="s">
        <v>309</v>
      </c>
      <c r="H8" s="159"/>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40"/>
      <c r="D9" s="240"/>
      <c r="E9" s="240"/>
      <c r="F9" s="191"/>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0"/>
      <c r="C10" s="244"/>
      <c r="D10" s="244"/>
      <c r="E10" s="244"/>
      <c r="F10" s="195"/>
      <c r="G10" s="118"/>
      <c r="H10" s="39"/>
    </row>
    <row r="11" spans="1:8">
      <c r="A11" s="193"/>
      <c r="B11" s="198"/>
      <c r="C11" s="194">
        <f>SUM(F8:F10)</f>
        <v>1</v>
      </c>
      <c r="H11" s="39"/>
    </row>
    <row r="12" spans="1:8" ht="18.75">
      <c r="A12" s="75" t="s">
        <v>191</v>
      </c>
      <c r="B12" s="20">
        <f>КАГ!B8</f>
        <v>45242</v>
      </c>
      <c r="C12" s="12"/>
      <c r="D12" s="16" t="s">
        <v>186</v>
      </c>
      <c r="E12" s="29"/>
      <c r="F12" s="29"/>
      <c r="G12" s="17"/>
      <c r="H12" s="18"/>
    </row>
    <row r="13" spans="1:8" ht="15.75">
      <c r="A13" s="76" t="s">
        <v>193</v>
      </c>
      <c r="B13" s="22">
        <v>0.86111111111111116</v>
      </c>
      <c r="C13" s="12"/>
      <c r="D13" s="94" t="s">
        <v>172</v>
      </c>
      <c r="E13" s="92"/>
      <c r="F13" s="92"/>
      <c r="G13" s="79" t="str">
        <f>КАГ!G9</f>
        <v>Щербаков А.С.</v>
      </c>
      <c r="H13" s="90" t="str">
        <f>IF(ISBLANK(КАГ!H9),"",КАГ!H9)</f>
        <v/>
      </c>
    </row>
    <row r="14" spans="1:8" ht="15.75">
      <c r="A14" s="76" t="s">
        <v>194</v>
      </c>
      <c r="B14" s="22">
        <v>0.90277777777777779</v>
      </c>
      <c r="C14" s="12"/>
      <c r="D14" s="95" t="s">
        <v>173</v>
      </c>
      <c r="E14" s="93"/>
      <c r="F14" s="93"/>
      <c r="G14" s="80" t="str">
        <f>КАГ!G10</f>
        <v>Севринова О.В.</v>
      </c>
      <c r="H14" s="91" t="str">
        <f>IF(ISBLANK(КАГ!H10),"",КАГ!H10)</f>
        <v/>
      </c>
    </row>
    <row r="15" spans="1:8" ht="16.5" thickBot="1">
      <c r="A15" s="164" t="s">
        <v>390</v>
      </c>
      <c r="B15" s="189">
        <f>IF(B14&lt;B13,B14+1,B14)-B13</f>
        <v>4.166666666666663E-2</v>
      </c>
      <c r="D15" s="95" t="s">
        <v>170</v>
      </c>
      <c r="E15" s="93"/>
      <c r="F15" s="93"/>
      <c r="G15" s="80" t="str">
        <f>КАГ!G11</f>
        <v>Молотков А.В.</v>
      </c>
      <c r="H15" s="91" t="str">
        <f>IF(ISBLANK(КАГ!H11),"",КАГ!H11)</f>
        <v/>
      </c>
    </row>
    <row r="16" spans="1:8" ht="17.25" thickTop="1" thickBot="1">
      <c r="A16" s="89" t="s">
        <v>192</v>
      </c>
      <c r="B16" s="203" t="str">
        <f>КАГ!B11</f>
        <v>Васецкая О.И.</v>
      </c>
      <c r="D16" s="95" t="s">
        <v>303</v>
      </c>
      <c r="E16" s="93"/>
      <c r="F16" s="93"/>
      <c r="G16" s="80" t="str">
        <f>КАГ!G12</f>
        <v>Баранова В.Б.</v>
      </c>
      <c r="H16" s="91" t="str">
        <f>IF(ISBLANK(КАГ!H12),"",КАГ!H12)</f>
        <v/>
      </c>
    </row>
    <row r="17" spans="1:8" ht="16.5" thickTop="1">
      <c r="A17" s="15" t="s">
        <v>8</v>
      </c>
      <c r="B17" s="67">
        <f>КАГ!B12</f>
        <v>22377</v>
      </c>
      <c r="D17" s="95" t="s">
        <v>184</v>
      </c>
      <c r="E17" s="93"/>
      <c r="F17" s="93"/>
      <c r="G17" s="80" t="str">
        <f>IF(ISBLANK(КАГ!G13),"",КАГ!G13)</f>
        <v/>
      </c>
      <c r="H17" s="91" t="str">
        <f>IF(ISBLANK(КАГ!H13),"",КАГ!H13)</f>
        <v/>
      </c>
    </row>
    <row r="18" spans="1:8" ht="15.75">
      <c r="A18" s="15" t="s">
        <v>10</v>
      </c>
      <c r="B18" s="30">
        <f>КАГ!B13</f>
        <v>62</v>
      </c>
      <c r="H18" s="39"/>
    </row>
    <row r="19" spans="1:8" ht="14.45" customHeight="1">
      <c r="A19" s="15" t="s">
        <v>12</v>
      </c>
      <c r="B19" s="68">
        <f>КАГ!B14</f>
        <v>31007</v>
      </c>
      <c r="C19" s="69"/>
      <c r="D19" s="69"/>
      <c r="E19" s="69"/>
      <c r="F19" s="69"/>
      <c r="G19" s="166" t="s">
        <v>402</v>
      </c>
      <c r="H19" s="181" t="str">
        <f>КАГ!H15</f>
        <v>20:00</v>
      </c>
    </row>
    <row r="20" spans="1:8" ht="14.45" customHeight="1">
      <c r="A20" s="15" t="s">
        <v>133</v>
      </c>
      <c r="B20" s="68">
        <f>КАГ!B15</f>
        <v>35</v>
      </c>
      <c r="C20" s="70"/>
      <c r="D20" s="70"/>
      <c r="E20" s="70"/>
      <c r="F20" s="70"/>
      <c r="G20" s="167" t="s">
        <v>404</v>
      </c>
      <c r="H20" s="182">
        <f>КАГ!H16</f>
        <v>8150</v>
      </c>
    </row>
    <row r="21" spans="1:8" ht="14.45" customHeight="1">
      <c r="A21" s="15" t="s">
        <v>106</v>
      </c>
      <c r="B21" s="67" t="str">
        <f>КАГ!B16</f>
        <v>ОКС с ↑ ST</v>
      </c>
      <c r="C21" s="70"/>
      <c r="E21" s="71"/>
      <c r="F21" s="71"/>
      <c r="G21" s="168" t="s">
        <v>391</v>
      </c>
      <c r="H21" s="169">
        <f>КАГ!H17</f>
        <v>15.484999999999999</v>
      </c>
    </row>
    <row r="22" spans="1:8" ht="14.45" customHeight="1">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0.86416666666666664</v>
      </c>
    </row>
    <row r="23" spans="1:8" ht="14.45" customHeight="1">
      <c r="A23" s="65" t="s">
        <v>394</v>
      </c>
      <c r="B23" s="173" t="s">
        <v>393</v>
      </c>
      <c r="C23" s="163"/>
      <c r="D23" s="163"/>
      <c r="E23" s="163"/>
      <c r="F23" s="163"/>
      <c r="H23" s="39"/>
    </row>
    <row r="24" spans="1:8" ht="14.45" customHeight="1">
      <c r="A24" s="184" t="s">
        <v>392</v>
      </c>
      <c r="B24" s="171"/>
      <c r="C24" s="171"/>
      <c r="D24" s="171"/>
      <c r="E24" s="171"/>
      <c r="F24" s="171"/>
      <c r="G24" s="171"/>
      <c r="H24" s="172"/>
    </row>
    <row r="25" spans="1:8" ht="14.45" customHeight="1">
      <c r="A25" s="248" t="s">
        <v>529</v>
      </c>
      <c r="B25" s="249"/>
      <c r="C25" s="249"/>
      <c r="D25" s="249"/>
      <c r="E25" s="249"/>
      <c r="F25" s="249"/>
      <c r="G25" s="249"/>
      <c r="H25" s="250"/>
    </row>
    <row r="26" spans="1:8" ht="14.45" customHeight="1">
      <c r="A26" s="251"/>
      <c r="B26" s="249"/>
      <c r="C26" s="249"/>
      <c r="D26" s="249"/>
      <c r="E26" s="249"/>
      <c r="F26" s="249"/>
      <c r="G26" s="249"/>
      <c r="H26" s="250"/>
    </row>
    <row r="27" spans="1:8" ht="14.45" customHeight="1">
      <c r="A27" s="251"/>
      <c r="B27" s="249"/>
      <c r="C27" s="249"/>
      <c r="D27" s="249"/>
      <c r="E27" s="249"/>
      <c r="F27" s="249"/>
      <c r="G27" s="249"/>
      <c r="H27" s="250"/>
    </row>
    <row r="28" spans="1:8" ht="14.45" customHeight="1">
      <c r="A28" s="251"/>
      <c r="B28" s="249"/>
      <c r="C28" s="249"/>
      <c r="D28" s="249"/>
      <c r="E28" s="249"/>
      <c r="F28" s="249"/>
      <c r="G28" s="249"/>
      <c r="H28" s="250"/>
    </row>
    <row r="29" spans="1:8" ht="14.45" customHeight="1">
      <c r="A29" s="251"/>
      <c r="B29" s="249"/>
      <c r="C29" s="249"/>
      <c r="D29" s="249"/>
      <c r="E29" s="249"/>
      <c r="F29" s="249"/>
      <c r="G29" s="249"/>
      <c r="H29" s="250"/>
    </row>
    <row r="30" spans="1:8" ht="14.45" customHeight="1">
      <c r="A30" s="251"/>
      <c r="B30" s="249"/>
      <c r="C30" s="249"/>
      <c r="D30" s="249"/>
      <c r="E30" s="249"/>
      <c r="F30" s="249"/>
      <c r="G30" s="249"/>
      <c r="H30" s="250"/>
    </row>
    <row r="31" spans="1:8" ht="14.45" customHeight="1">
      <c r="A31" s="251"/>
      <c r="B31" s="249"/>
      <c r="C31" s="249"/>
      <c r="D31" s="249"/>
      <c r="E31" s="249"/>
      <c r="F31" s="249"/>
      <c r="G31" s="249"/>
      <c r="H31" s="250"/>
    </row>
    <row r="32" spans="1:8" ht="14.45" customHeight="1">
      <c r="A32" s="251"/>
      <c r="B32" s="249"/>
      <c r="C32" s="249"/>
      <c r="D32" s="249"/>
      <c r="E32" s="249"/>
      <c r="F32" s="249"/>
      <c r="G32" s="249"/>
      <c r="H32" s="250"/>
    </row>
    <row r="33" spans="1:12" ht="14.45" customHeight="1">
      <c r="A33" s="251"/>
      <c r="B33" s="249"/>
      <c r="C33" s="249"/>
      <c r="D33" s="249"/>
      <c r="E33" s="249"/>
      <c r="F33" s="249"/>
      <c r="G33" s="249"/>
      <c r="H33" s="250"/>
    </row>
    <row r="34" spans="1:12" ht="14.45" customHeight="1">
      <c r="A34" s="251"/>
      <c r="B34" s="249"/>
      <c r="C34" s="249"/>
      <c r="D34" s="249"/>
      <c r="E34" s="249"/>
      <c r="F34" s="249"/>
      <c r="G34" s="249"/>
      <c r="H34" s="250"/>
    </row>
    <row r="35" spans="1:12" ht="14.45" customHeight="1">
      <c r="A35" s="251"/>
      <c r="B35" s="249"/>
      <c r="C35" s="249"/>
      <c r="D35" s="249"/>
      <c r="E35" s="249"/>
      <c r="F35" s="249"/>
      <c r="G35" s="249"/>
      <c r="H35" s="250"/>
    </row>
    <row r="36" spans="1:12" ht="14.45" customHeight="1">
      <c r="A36" s="251"/>
      <c r="B36" s="249"/>
      <c r="C36" s="249"/>
      <c r="D36" s="249"/>
      <c r="E36" s="249"/>
      <c r="F36" s="249"/>
      <c r="G36" s="249"/>
      <c r="H36" s="250"/>
    </row>
    <row r="37" spans="1:12" ht="14.45" customHeight="1">
      <c r="A37" s="251"/>
      <c r="B37" s="249"/>
      <c r="C37" s="249"/>
      <c r="D37" s="249"/>
      <c r="E37" s="249"/>
      <c r="F37" s="249"/>
      <c r="G37" s="249"/>
      <c r="H37" s="250"/>
    </row>
    <row r="38" spans="1:12" ht="14.45" customHeight="1">
      <c r="A38" s="178" t="s">
        <v>398</v>
      </c>
      <c r="B38" s="176"/>
      <c r="C38" s="177"/>
      <c r="D38" s="177"/>
      <c r="E38" s="187" t="str">
        <f>IF(A6=Вмешательства!D4,Вмешательства!V16,IF(ЧКВ!A6=Вмешательства!D36,Вмешательства!V16,"-----"))</f>
        <v>СТЕНТ/Ы</v>
      </c>
      <c r="F38" s="177"/>
      <c r="G38" s="180"/>
    </row>
    <row r="39" spans="1:12" ht="15.75">
      <c r="A39" s="174" t="s">
        <v>395</v>
      </c>
      <c r="B39" s="70" t="s">
        <v>397</v>
      </c>
      <c r="C39" s="121"/>
      <c r="D39" s="122" t="s">
        <v>187</v>
      </c>
      <c r="E39" s="72"/>
      <c r="F39" s="72"/>
      <c r="G39" s="72"/>
      <c r="H39" s="73"/>
    </row>
    <row r="40" spans="1:12" ht="14.45" customHeight="1">
      <c r="A40" s="175" t="s">
        <v>396</v>
      </c>
      <c r="B40" s="179" t="s">
        <v>513</v>
      </c>
      <c r="C40" s="120"/>
      <c r="D40" s="245" t="s">
        <v>519</v>
      </c>
      <c r="E40" s="246"/>
      <c r="F40" s="246"/>
      <c r="G40" s="246"/>
      <c r="H40" s="247"/>
    </row>
    <row r="41" spans="1:12" ht="14.45" customHeight="1">
      <c r="A41" s="32"/>
      <c r="B41" s="28"/>
      <c r="C41" s="120"/>
      <c r="D41" s="246"/>
      <c r="E41" s="246"/>
      <c r="F41" s="246"/>
      <c r="G41" s="246"/>
      <c r="H41" s="247"/>
    </row>
    <row r="42" spans="1:12" ht="14.45" customHeight="1">
      <c r="A42" s="32"/>
      <c r="B42" s="28"/>
      <c r="C42" s="120"/>
      <c r="D42" s="246"/>
      <c r="E42" s="246"/>
      <c r="F42" s="246"/>
      <c r="G42" s="246"/>
      <c r="H42" s="247"/>
    </row>
    <row r="43" spans="1:12" ht="14.45" customHeight="1">
      <c r="A43" s="32"/>
      <c r="B43" s="28"/>
      <c r="C43" s="120"/>
      <c r="D43" s="246"/>
      <c r="E43" s="246"/>
      <c r="F43" s="246"/>
      <c r="G43" s="246"/>
      <c r="H43" s="247"/>
    </row>
    <row r="44" spans="1:12" ht="14.45" customHeight="1">
      <c r="A44" s="32"/>
      <c r="B44" s="28"/>
      <c r="C44" s="120"/>
      <c r="D44" s="246"/>
      <c r="E44" s="246"/>
      <c r="F44" s="246"/>
      <c r="G44" s="246"/>
      <c r="H44" s="247"/>
      <c r="L44" s="161"/>
    </row>
    <row r="45" spans="1:12" ht="14.45" customHeight="1">
      <c r="A45" s="32"/>
      <c r="B45" s="28"/>
      <c r="C45" s="120"/>
      <c r="D45" s="246"/>
      <c r="E45" s="246"/>
      <c r="F45" s="246"/>
      <c r="G45" s="246"/>
      <c r="H45" s="247"/>
    </row>
    <row r="46" spans="1:12" ht="14.45" customHeight="1">
      <c r="A46" s="32"/>
      <c r="B46" s="28"/>
      <c r="C46" s="120"/>
      <c r="D46" s="246"/>
      <c r="E46" s="246"/>
      <c r="F46" s="246"/>
      <c r="G46" s="246"/>
      <c r="H46" s="247"/>
    </row>
    <row r="47" spans="1:12" ht="14.45" customHeight="1">
      <c r="A47" s="38"/>
      <c r="C47" s="120"/>
      <c r="D47" s="246"/>
      <c r="E47" s="246"/>
      <c r="F47" s="246"/>
      <c r="G47" s="246"/>
      <c r="H47" s="247"/>
    </row>
    <row r="48" spans="1:12" ht="14.45" customHeight="1">
      <c r="A48" s="38"/>
      <c r="C48" s="120"/>
      <c r="D48" s="246"/>
      <c r="E48" s="246"/>
      <c r="F48" s="246"/>
      <c r="G48" s="246"/>
      <c r="H48" s="247"/>
    </row>
    <row r="49" spans="1:8" ht="14.45" customHeight="1">
      <c r="A49" s="38"/>
      <c r="C49" s="120"/>
      <c r="D49" s="246"/>
      <c r="E49" s="246"/>
      <c r="F49" s="246"/>
      <c r="G49" s="246"/>
      <c r="H49" s="247"/>
    </row>
    <row r="50" spans="1:8">
      <c r="A50" s="62" t="s">
        <v>204</v>
      </c>
      <c r="B50" s="63" t="s">
        <v>528</v>
      </c>
      <c r="H50" s="39"/>
    </row>
    <row r="51" spans="1:8">
      <c r="A51" s="65" t="s">
        <v>206</v>
      </c>
      <c r="B51" s="66" t="s">
        <v>311</v>
      </c>
      <c r="G51" s="74" t="str">
        <f>$G$13</f>
        <v>Щербаков А.С.</v>
      </c>
      <c r="H51" s="64"/>
    </row>
    <row r="52" spans="1:8">
      <c r="A52" s="231" t="s">
        <v>375</v>
      </c>
      <c r="B52" s="232"/>
      <c r="C52" s="232"/>
      <c r="D52" s="232"/>
      <c r="E52" s="232"/>
      <c r="F52" s="233"/>
      <c r="H52" s="39"/>
    </row>
    <row r="53" spans="1:8" ht="15" customHeight="1">
      <c r="A53" s="234"/>
      <c r="B53" s="235"/>
      <c r="C53" s="235"/>
      <c r="D53" s="235"/>
      <c r="E53" s="235"/>
      <c r="F53" s="236"/>
      <c r="G53" s="74" t="str">
        <f>IF(ISBLANK(H13),"",H13)</f>
        <v/>
      </c>
      <c r="H53" s="64"/>
    </row>
    <row r="54" spans="1:8">
      <c r="A54" s="237"/>
      <c r="B54" s="238"/>
      <c r="C54" s="238"/>
      <c r="D54" s="238"/>
      <c r="E54" s="238"/>
      <c r="F54" s="239"/>
      <c r="G54" s="31"/>
      <c r="H54" s="41"/>
    </row>
  </sheetData>
  <sheetProtection sheet="1" formatCells="0" formatColumns="0"/>
  <mergeCells count="7">
    <mergeCell ref="A52:F54"/>
    <mergeCell ref="C8:E8"/>
    <mergeCell ref="A6:H7"/>
    <mergeCell ref="C9:E9"/>
    <mergeCell ref="C10:E10"/>
    <mergeCell ref="D40:H49"/>
    <mergeCell ref="A25:H37"/>
  </mergeCells>
  <phoneticPr fontId="13"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B19" sqref="B19:B20"/>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45242</v>
      </c>
      <c r="C2" s="153"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8" t="s">
        <v>195</v>
      </c>
      <c r="B4" s="149" t="s">
        <v>105</v>
      </c>
      <c r="C4" s="150" t="s">
        <v>15</v>
      </c>
      <c r="D4" s="202" t="str">
        <f>КАГ!$B$11</f>
        <v>Васецкая О.И.</v>
      </c>
    </row>
    <row r="5" spans="1:4" ht="15.75" thickTop="1">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22377</v>
      </c>
    </row>
    <row r="6" spans="1:4" ht="30">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62</v>
      </c>
    </row>
    <row r="7" spans="1:4">
      <c r="A7" s="38"/>
      <c r="C7" s="101" t="s">
        <v>12</v>
      </c>
      <c r="D7" s="103">
        <f>КАГ!$B$14</f>
        <v>31007</v>
      </c>
    </row>
    <row r="8" spans="1:4">
      <c r="A8" s="196" t="str">
        <f>ЧКВ!$A$9</f>
        <v>Код модели: 21166</v>
      </c>
      <c r="B8" s="104"/>
      <c r="C8" s="101" t="s">
        <v>133</v>
      </c>
      <c r="D8" s="103">
        <f>КАГ!$B$15</f>
        <v>35</v>
      </c>
    </row>
    <row r="9" spans="1:4">
      <c r="A9" s="196" t="str">
        <f>ЧКВ!$A$10</f>
        <v>Код метода: 47</v>
      </c>
      <c r="C9" s="105" t="s">
        <v>106</v>
      </c>
      <c r="D9" s="103" t="str">
        <f>КАГ!$B$16</f>
        <v>ОКС с ↑ ST</v>
      </c>
    </row>
    <row r="10" spans="1:4">
      <c r="A10" s="197"/>
      <c r="B10" s="31"/>
      <c r="C10" s="151" t="s">
        <v>13</v>
      </c>
      <c r="D10" s="152">
        <f>КАГ!$B$8</f>
        <v>45242</v>
      </c>
    </row>
    <row r="11" spans="1:4">
      <c r="A11" s="27"/>
      <c r="B11" s="112"/>
      <c r="C11" s="112"/>
      <c r="D11" s="113"/>
    </row>
    <row r="12" spans="1:4" ht="18.75" customHeight="1">
      <c r="A12" s="137" t="s">
        <v>336</v>
      </c>
      <c r="B12" s="138" t="s">
        <v>0</v>
      </c>
      <c r="C12" s="138" t="s">
        <v>14</v>
      </c>
      <c r="D12" s="139" t="s">
        <v>100</v>
      </c>
    </row>
    <row r="13" spans="1:4" ht="27.75" customHeight="1">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512</v>
      </c>
      <c r="C13" s="188"/>
      <c r="D13" s="141">
        <v>1</v>
      </c>
    </row>
    <row r="14" spans="1:4" ht="27.75" customHeight="1">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328</v>
      </c>
      <c r="C14" s="136"/>
      <c r="D14" s="141">
        <v>1</v>
      </c>
    </row>
    <row r="15" spans="1:4" ht="27.75" customHeight="1">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516</v>
      </c>
      <c r="C15" s="136"/>
      <c r="D15" s="141">
        <v>1</v>
      </c>
    </row>
    <row r="16" spans="1:4" ht="27.75" customHeight="1">
      <c r="A16"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5" t="s">
        <v>347</v>
      </c>
      <c r="C16" s="183"/>
      <c r="D16" s="141">
        <v>1</v>
      </c>
    </row>
    <row r="17" spans="1:4" ht="27.75" customHeight="1">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379</v>
      </c>
      <c r="C17" s="183" t="s">
        <v>409</v>
      </c>
      <c r="D17" s="141">
        <v>1</v>
      </c>
    </row>
    <row r="18" spans="1:4" ht="27.75" customHeight="1">
      <c r="A18"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6" t="s">
        <v>517</v>
      </c>
      <c r="C18" s="136" t="s">
        <v>444</v>
      </c>
      <c r="D18" s="141">
        <v>1</v>
      </c>
    </row>
    <row r="19" spans="1:4" ht="27.75" customHeight="1">
      <c r="A19" s="142" t="str">
        <f>IFERROR(INDEX(Расходка[[Тип расходного материала ]],MATCH(Карта_Учёта[[#This Row],[Наименование расходного материала]],Расходка[Наименование расходного материала],0)),"")</f>
        <v/>
      </c>
      <c r="B19" s="155"/>
      <c r="C19" s="136"/>
      <c r="D19" s="141"/>
    </row>
    <row r="20" spans="1:4" ht="27.75" customHeight="1">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6"/>
      <c r="D20" s="141"/>
    </row>
    <row r="21" spans="1:4" ht="27.75" customHeight="1">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515</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372</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3"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howErrorMessage="1" sqref="B39 B35">
      <formula1>INDIRECT("Сотрудники[Должность: ФИО]")</formula1>
    </dataValidation>
    <dataValidation type="list" allowBlank="1" showInputMessage="1" sqref="B21">
      <formula1>ВЫП.Список_Расходка_5</formula1>
    </dataValidation>
    <dataValidation type="list" allowBlank="1" showInputMessage="1" sqref="B19">
      <formula1>ВЫП.Список_Расходка_6</formula1>
    </dataValidation>
    <dataValidation type="list" allowBlank="1" showInputMessage="1" sqref="B17">
      <formula1>ВЫП.Список_Расходка_7</formula1>
    </dataValidation>
    <dataValidation type="list" allowBlank="1" showInputMessage="1" sqref="B18:B19">
      <formula1>ВЫП.Список_Расходка_8</formula1>
    </dataValidation>
    <dataValidation type="list" allowBlank="1" showInputMessage="1" sqref="B20">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 type="list" allowBlank="1" showInputMessage="1" sqref="B16:B20">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5"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489</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488</v>
      </c>
      <c r="G3" s="3" t="s">
        <v>489</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489</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403</v>
      </c>
      <c r="F5" t="s">
        <v>131</v>
      </c>
      <c r="G5" s="3" t="s">
        <v>489</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489</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489</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489</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489</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490</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488</v>
      </c>
      <c r="G13" s="3" t="s">
        <v>490</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490</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490</v>
      </c>
      <c r="H15" s="3">
        <v>2633</v>
      </c>
      <c r="I15" s="3">
        <v>46</v>
      </c>
      <c r="J15" s="3">
        <v>45</v>
      </c>
      <c r="K15" s="3">
        <v>45</v>
      </c>
      <c r="L15" s="3">
        <v>45</v>
      </c>
      <c r="M15" s="3">
        <v>45</v>
      </c>
      <c r="N15" s="3">
        <v>45</v>
      </c>
      <c r="O15" s="3">
        <v>45</v>
      </c>
      <c r="P15" s="3">
        <v>45</v>
      </c>
      <c r="Q15" s="3">
        <v>45</v>
      </c>
      <c r="R15" s="3">
        <v>45</v>
      </c>
      <c r="S15" s="3">
        <v>45</v>
      </c>
      <c r="T15" s="3">
        <v>45</v>
      </c>
      <c r="V15" t="s">
        <v>398</v>
      </c>
      <c r="W15" s="12"/>
    </row>
    <row r="16" spans="1:23">
      <c r="A16" s="8">
        <v>15</v>
      </c>
      <c r="B16" s="2" t="s">
        <v>31</v>
      </c>
      <c r="C16" s="8" t="s">
        <v>237</v>
      </c>
      <c r="D16" s="5" t="s">
        <v>32</v>
      </c>
      <c r="V16" t="s">
        <v>399</v>
      </c>
    </row>
    <row r="17" spans="1:23">
      <c r="A17" s="8">
        <v>16</v>
      </c>
      <c r="B17" s="2" t="s">
        <v>33</v>
      </c>
      <c r="C17" s="8" t="s">
        <v>238</v>
      </c>
      <c r="D17" s="5" t="s">
        <v>34</v>
      </c>
      <c r="F17" t="s">
        <v>491</v>
      </c>
      <c r="V17" t="s">
        <v>400</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506</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3"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AJ45" sqref="AJ45"/>
    </sheetView>
  </sheetViews>
  <sheetFormatPr defaultRowHeight="15" outlineLevelCol="1"/>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503</v>
      </c>
      <c r="AN1" s="2" t="s">
        <v>497</v>
      </c>
      <c r="AO1" t="s">
        <v>357</v>
      </c>
      <c r="AP1" s="160"/>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учёта'!$B$19,Расходка[[#This Row],[Наименование расходного материала]])),MAX($J$1:J1)+1,0)</f>
        <v>1</v>
      </c>
      <c r="K2" s="116">
        <f>IF(ISNUMBER(SEARCH('Карта учёта'!$B$17,Расходка[[#This Row],[Наименование расходного материала]])),MAX($K$1:K1)+1,0)</f>
        <v>0</v>
      </c>
      <c r="L2" s="116">
        <f>IF(ISNUMBER(SEARCH('Карта учёта'!$B$18,Расходка[[#This Row],[Наименование расходного материала]])),MAX($L$1:L1)+1,0)</f>
        <v>0</v>
      </c>
      <c r="M2" s="116">
        <f>IF(ISNUMBER(SEARCH('Карта учёта'!$B$20,Расходка[[#This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JL 3.5</v>
      </c>
      <c r="T2" s="115" t="str">
        <f>IFERROR(INDEX(Расходка[Наименование расходного материала],MATCH(Расходка[[#This Row],[№]],Поиск_расходки[Индекс3],0)),"")</f>
        <v>Lepu Medical Balancium</v>
      </c>
      <c r="U2" s="115" t="str">
        <f>IFERROR(INDEX(Расходка[Наименование расходного материала],MATCH(Расходка[[#This Row],[№]],Поиск_расходки[Индекс4],0)),"")</f>
        <v>Проводник коронарный  1g, Angioline</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Hunter® 6F</v>
      </c>
      <c r="X2" s="115" t="str">
        <f>IFERROR(INDEX(Расходка[Наименование расходного материала],MATCH(Расходка[[#This Row],[№]],Поиск_расходки[Индекс7],0)),"")</f>
        <v>Колибри</v>
      </c>
      <c r="Y2" s="115" t="str">
        <f>IFERROR(INDEX(Расходка[Наименование расходного материала],MATCH(Расходка[[#This Row],[№]],Поиск_расходки[Индекс8],0)),"")</f>
        <v>DES, Metafor</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405</v>
      </c>
      <c r="AI2" t="s">
        <v>190</v>
      </c>
      <c r="AJ2" t="s">
        <v>199</v>
      </c>
      <c r="AK2" t="str">
        <f>CONCATENATE(AI2,AJ2)</f>
        <v xml:space="preserve">Контраст: Ультравист 370 </v>
      </c>
      <c r="AM2" s="190">
        <v>155800</v>
      </c>
      <c r="AN2" s="2" t="s">
        <v>309</v>
      </c>
      <c r="AO2" t="s">
        <v>499</v>
      </c>
      <c r="AP2" s="129"/>
    </row>
    <row r="3" spans="1:42">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учёта'!$B$19,Расходка[[#This Row],[Наименование расходного материала]])),MAX($J$1:J2)+1,0)</f>
        <v>2</v>
      </c>
      <c r="K3" s="116">
        <f>IF(ISNUMBER(SEARCH('Карта учёта'!$B$17,Расходка[[#This Row],[Наименование расходного материала]])),MAX($K$1:K2)+1,0)</f>
        <v>0</v>
      </c>
      <c r="L3" s="116">
        <f>IF(ISNUMBER(SEARCH('Карта учёта'!$B$18,Расходка[[#This Row],[Наименование расходного материала]])),MAX($L$1:L2)+1,0)</f>
        <v>0</v>
      </c>
      <c r="M3" s="116">
        <f>IF(ISNUMBER(SEARCH('Карта учёта'!$B$20,Расходка[[#This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xml:space="preserve">Medtronic Export Advance </v>
      </c>
      <c r="X3" s="115" t="str">
        <f>IFERROR(INDEX(Расходка[Наименование расходного материала],MATCH(Расходка[[#This Row],[№]],Поиск_расходки[Индекс7],0)),"")</f>
        <v xml:space="preserve">NC Колибри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406</v>
      </c>
      <c r="AI3" t="s">
        <v>190</v>
      </c>
      <c r="AJ3" t="s">
        <v>200</v>
      </c>
      <c r="AK3" t="str">
        <f t="shared" ref="AK3:AK6" si="0">CONCATENATE(AI3,AJ3)</f>
        <v>Контраст: Омнипак 350</v>
      </c>
      <c r="AM3" s="190">
        <v>218190</v>
      </c>
      <c r="AN3" s="2" t="s">
        <v>492</v>
      </c>
      <c r="AO3" t="s">
        <v>500</v>
      </c>
      <c r="AP3" s="130"/>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учёта'!$B$19,Расходка[[#This Row],[Наименование расходного материала]])),MAX($J$1:J3)+1,0)</f>
        <v>3</v>
      </c>
      <c r="K4" s="116">
        <f>IF(ISNUMBER(SEARCH('Карта учёта'!$B$17,Расходка[[#This Row],[Наименование расходного материала]])),MAX($K$1:K3)+1,0)</f>
        <v>0</v>
      </c>
      <c r="L4" s="116">
        <f>IF(ISNUMBER(SEARCH('Карта учёта'!$B$18,Расходка[[#This Row],[Наименование расходного материала]])),MAX($L$1:L3)+1,0)</f>
        <v>0</v>
      </c>
      <c r="M4" s="116">
        <f>IF(ISNUMBER(SEARCH('Карта учёта'!$B$20,Расходка[[#This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Euphora</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407</v>
      </c>
      <c r="AI4" t="s">
        <v>190</v>
      </c>
      <c r="AJ4" t="s">
        <v>201</v>
      </c>
      <c r="AK4" t="str">
        <f t="shared" si="0"/>
        <v>Контраст: Оптирей 350</v>
      </c>
      <c r="AM4" s="190">
        <v>337440</v>
      </c>
      <c r="AN4" s="2" t="s">
        <v>505</v>
      </c>
      <c r="AO4" t="s">
        <v>502</v>
      </c>
      <c r="AP4" s="130"/>
    </row>
    <row r="5" spans="1:42">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учёта'!$B$19,Расходка[[#This Row],[Наименование расходного материала]])),MAX($J$1:J4)+1,0)</f>
        <v>4</v>
      </c>
      <c r="K5" s="116">
        <f>IF(ISNUMBER(SEARCH('Карта учёта'!$B$17,Расходка[[#This Row],[Наименование расходного материала]])),MAX($K$1:K4)+1,0)</f>
        <v>0</v>
      </c>
      <c r="L5" s="116">
        <f>IF(ISNUMBER(SEARCH('Карта учёта'!$B$18,Расходка[[#This Row],[Наименование расходного материала]])),MAX($L$1:L4)+1,0)</f>
        <v>0</v>
      </c>
      <c r="M5" s="116">
        <f>IF(ISNUMBER(SEARCH('Карта учёта'!$B$20,Расходка[[#This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NC Accuforce</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408</v>
      </c>
      <c r="AI5" t="s">
        <v>190</v>
      </c>
      <c r="AJ5" t="s">
        <v>202</v>
      </c>
      <c r="AK5" t="str">
        <f t="shared" si="0"/>
        <v>Контраст: Юнигексол 350</v>
      </c>
      <c r="AM5" s="190">
        <v>136170</v>
      </c>
      <c r="AN5" s="2"/>
      <c r="AO5" t="s">
        <v>501</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учёта'!$B$19,Расходка[[#This Row],[Наименование расходного материала]])),MAX($J$1:J5)+1,0)</f>
        <v>5</v>
      </c>
      <c r="K6" s="116">
        <f>IF(ISNUMBER(SEARCH('Карта учёта'!$B$17,Расходка[[#This Row],[Наименование расходного материала]])),MAX($K$1:K5)+1,0)</f>
        <v>0</v>
      </c>
      <c r="L6" s="116">
        <f>IF(ISNUMBER(SEARCH('Карта учёта'!$B$18,Расходка[[#This Row],[Наименование расходного материала]])),MAX($L$1:L5)+1,0)</f>
        <v>0</v>
      </c>
      <c r="M6" s="116">
        <f>IF(ISNUMBER(SEARCH('Карта учёта'!$B$20,Расходка[[#This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NC Euphora</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409</v>
      </c>
      <c r="AI6" t="s">
        <v>190</v>
      </c>
      <c r="AJ6" t="s">
        <v>203</v>
      </c>
      <c r="AK6" t="str">
        <f t="shared" si="0"/>
        <v>Контраст: Сканлюкс 370</v>
      </c>
      <c r="AM6" s="190">
        <v>135820</v>
      </c>
      <c r="AN6" s="2"/>
      <c r="AO6" t="s">
        <v>504</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учёта'!$B$19,Расходка[[#This Row],[Наименование расходного материала]])),MAX($J$1:J6)+1,0)</f>
        <v>6</v>
      </c>
      <c r="K7" s="116">
        <f>IF(ISNUMBER(SEARCH('Карта учёта'!$B$17,Расходка[[#This Row],[Наименование расходного материала]])),MAX($K$1:K6)+1,0)</f>
        <v>0</v>
      </c>
      <c r="L7" s="116">
        <f>IF(ISNUMBER(SEARCH('Карта учёта'!$B$18,Расходка[[#This Row],[Наименование расходного материала]])),MAX($L$1:L6)+1,0)</f>
        <v>0</v>
      </c>
      <c r="M7" s="116">
        <f>IF(ISNUMBER(SEARCH('Карта учёта'!$B$20,Расходка[[#This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Sapphire</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410</v>
      </c>
      <c r="AI7" t="s">
        <v>190</v>
      </c>
      <c r="AJ7" t="s">
        <v>204</v>
      </c>
      <c r="AK7" t="str">
        <f t="shared" ref="AK7:AK8" si="1">CONCATENATE(AI7,AJ7)</f>
        <v>Контраст: Йогексол 350</v>
      </c>
      <c r="AM7" s="190">
        <v>155760</v>
      </c>
      <c r="AN7" s="2"/>
      <c r="AO7" t="s">
        <v>498</v>
      </c>
    </row>
    <row r="8" spans="1:42">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учёта'!$B$19,Расходка[[#This Row],[Наименование расходного материала]])),MAX($J$1:J7)+1,0)</f>
        <v>7</v>
      </c>
      <c r="K8" s="116">
        <f>IF(ISNUMBER(SEARCH('Карта учёта'!$B$17,Расходка[[#This Row],[Наименование расходного материала]])),MAX($K$1:K7)+1,0)</f>
        <v>0</v>
      </c>
      <c r="L8" s="116">
        <f>IF(ISNUMBER(SEARCH('Карта учёта'!$B$18,Расходка[[#This Row],[Наименование расходного материала]])),MAX($L$1:L7)+1,0)</f>
        <v>0</v>
      </c>
      <c r="M8" s="116">
        <f>IF(ISNUMBER(SEARCH('Карта учёта'!$B$20,Расходка[[#This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Sprinter Legend</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411</v>
      </c>
      <c r="AI8" t="s">
        <v>190</v>
      </c>
      <c r="AJ8" t="s">
        <v>205</v>
      </c>
      <c r="AK8" t="str">
        <f t="shared" si="1"/>
        <v>Контраст: Визипак 320</v>
      </c>
      <c r="AM8" s="190">
        <v>218140</v>
      </c>
      <c r="AN8" s="2"/>
      <c r="AO8" t="s">
        <v>89</v>
      </c>
    </row>
    <row r="9" spans="1:42">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учёта'!$B$19,Расходка[[#This Row],[Наименование расходного материала]])),MAX($J$1:J8)+1,0)</f>
        <v>8</v>
      </c>
      <c r="K9" s="116">
        <f>IF(ISNUMBER(SEARCH('Карта учёта'!$B$17,Расходка[[#This Row],[Наименование расходного материала]])),MAX($K$1:K8)+1,0)</f>
        <v>0</v>
      </c>
      <c r="L9" s="116">
        <f>IF(ISNUMBER(SEARCH('Карта учёта'!$B$18,Расходка[[#This Row],[Наименование расходного материала]])),MAX($L$1:L8)+1,0)</f>
        <v>0</v>
      </c>
      <c r="M9" s="116">
        <f>IF(ISNUMBER(SEARCH('Карта учёта'!$B$20,Расходка[[#This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SubMarine Rapido, Invatec</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412</v>
      </c>
      <c r="AM9" s="190">
        <v>218160</v>
      </c>
      <c r="AN9" s="2"/>
      <c r="AO9" t="s">
        <v>90</v>
      </c>
    </row>
    <row r="10" spans="1:42">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учёта'!$B$21,Расходка[[#This Row],[Наименование расходного материала]])),MAX($I$1:I9)+1,0)</f>
        <v>9</v>
      </c>
      <c r="J10" s="116">
        <f>IF(ISNUMBER(SEARCH('Карта учёта'!$B$19,Расходка[[#This Row],[Наименование расходного материала]])),MAX($J$1:J9)+1,0)</f>
        <v>9</v>
      </c>
      <c r="K10" s="116">
        <f>IF(ISNUMBER(SEARCH('Карта учёта'!$B$17,Расходка[[#This Row],[Наименование расходного материала]])),MAX($K$1:K9)+1,0)</f>
        <v>1</v>
      </c>
      <c r="L10" s="116">
        <f>IF(ISNUMBER(SEARCH('Карта учёта'!$B$18,Расходка[[#This Row],[Наименование расходного материала]])),MAX($L$1:L9)+1,0)</f>
        <v>0</v>
      </c>
      <c r="M10" s="116">
        <f>IF(ISNUMBER(SEARCH('Карта учёта'!$B$20,Расходка[[#This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Колибри</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413</v>
      </c>
      <c r="AI10" t="s">
        <v>356</v>
      </c>
      <c r="AM10" s="190">
        <v>194510</v>
      </c>
      <c r="AN10" s="2"/>
      <c r="AO10" t="s">
        <v>91</v>
      </c>
    </row>
    <row r="11" spans="1:42">
      <c r="A11">
        <v>10</v>
      </c>
      <c r="B11" t="s">
        <v>5</v>
      </c>
      <c r="C11" t="s">
        <v>401</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учёта'!$B$21,Расходка[[#This Row],[Наименование расходного материала]])),MAX($I$1:I10)+1,0)</f>
        <v>10</v>
      </c>
      <c r="J11" s="116">
        <f>IF(ISNUMBER(SEARCH('Карта учёта'!$B$19,Расходка[[#This Row],[Наименование расходного материала]])),MAX($J$1:J10)+1,0)</f>
        <v>10</v>
      </c>
      <c r="K11" s="116">
        <f>IF(ISNUMBER(SEARCH('Карта учёта'!$B$17,Расходка[[#This Row],[Наименование расходного материала]])),MAX($K$1:K10)+1,0)</f>
        <v>2</v>
      </c>
      <c r="L11" s="116">
        <f>IF(ISNUMBER(SEARCH('Карта учёта'!$B$18,Расходка[[#This Row],[Наименование расходного материала]])),MAX($L$1:L10)+1,0)</f>
        <v>0</v>
      </c>
      <c r="M11" s="116">
        <f>IF(ISNUMBER(SEARCH('Карта учёта'!$B$20,Расходка[[#This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xml:space="preserve">NC Колибри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414</v>
      </c>
      <c r="AI11" t="s">
        <v>4</v>
      </c>
      <c r="AM11" s="190">
        <v>323500</v>
      </c>
      <c r="AN11" s="2"/>
      <c r="AO11" t="s">
        <v>92</v>
      </c>
    </row>
    <row r="12" spans="1:42">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учёта'!$B$19,Расходка[[#This Row],[Наименование расходного материала]])),MAX($J$1:J11)+1,0)</f>
        <v>11</v>
      </c>
      <c r="K12" s="116">
        <f>IF(ISNUMBER(SEARCH('Карта учёта'!$B$17,Расходка[[#This Row],[Наименование расходного материала]])),MAX($K$1:K11)+1,0)</f>
        <v>0</v>
      </c>
      <c r="L12" s="116">
        <f>IF(ISNUMBER(SEARCH('Карта учёта'!$B$18,Расходка[[#This Row],[Наименование расходного материала]])),MAX($L$1:L11)+1,0)</f>
        <v>0</v>
      </c>
      <c r="M12" s="116">
        <f>IF(ISNUMBER(SEARCH('Карта учёта'!$B$20,Расходка[[#This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Nitrex 260</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415</v>
      </c>
      <c r="AI12" t="s">
        <v>3</v>
      </c>
      <c r="AM12" s="190">
        <v>323510</v>
      </c>
      <c r="AN12" s="2"/>
      <c r="AO12" t="s">
        <v>93</v>
      </c>
    </row>
    <row r="13" spans="1:42">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учёта'!$B$19,Расходка[[#This Row],[Наименование расходного материала]])),MAX($J$1:J12)+1,0)</f>
        <v>12</v>
      </c>
      <c r="K13" s="116">
        <f>IF(ISNUMBER(SEARCH('Карта учёта'!$B$17,Расходка[[#This Row],[Наименование расходного материала]])),MAX($K$1:K12)+1,0)</f>
        <v>0</v>
      </c>
      <c r="L13" s="116">
        <f>IF(ISNUMBER(SEARCH('Карта учёта'!$B$18,Расходка[[#This Row],[Наименование расходного материала]])),MAX($L$1:L12)+1,0)</f>
        <v>0</v>
      </c>
      <c r="M13" s="116">
        <f>IF(ISNUMBER(SEARCH('Карта учёта'!$B$20,Расходка[[#This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RadiFocus</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416</v>
      </c>
      <c r="AI13" t="s">
        <v>6</v>
      </c>
      <c r="AN13" s="2"/>
    </row>
    <row r="14" spans="1:42">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учёта'!$B$19,Расходка[[#This Row],[Наименование расходного материала]])),MAX($J$1:J13)+1,0)</f>
        <v>13</v>
      </c>
      <c r="K14" s="116">
        <f>IF(ISNUMBER(SEARCH('Карта учёта'!$B$17,Расходка[[#This Row],[Наименование расходного материала]])),MAX($K$1:K13)+1,0)</f>
        <v>0</v>
      </c>
      <c r="L14" s="116">
        <f>IF(ISNUMBER(SEARCH('Карта учёта'!$B$18,Расходка[[#This Row],[Наименование расходного материала]])),MAX($L$1:L13)+1,0)</f>
        <v>0</v>
      </c>
      <c r="M14" s="116">
        <f>IF(ISNUMBER(SEARCH('Карта учёта'!$B$20,Расходка[[#This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BasixCOMPAK</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495</v>
      </c>
      <c r="AI14" t="s">
        <v>5</v>
      </c>
      <c r="AM14" s="190"/>
      <c r="AN14" s="2"/>
    </row>
    <row r="15" spans="1:42">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учёта'!$B$19,Расходка[[#This Row],[Наименование расходного материала]])),MAX($J$1:J14)+1,0)</f>
        <v>14</v>
      </c>
      <c r="K15" s="116">
        <f>IF(ISNUMBER(SEARCH('Карта учёта'!$B$17,Расходка[[#This Row],[Наименование расходного материала]])),MAX($K$1:K14)+1,0)</f>
        <v>0</v>
      </c>
      <c r="L15" s="116">
        <f>IF(ISNUMBER(SEARCH('Карта учёта'!$B$18,Расходка[[#This Row],[Наименование расходного материала]])),MAX($L$1:L14)+1,0)</f>
        <v>0</v>
      </c>
      <c r="M15" s="116">
        <f>IF(ISNUMBER(SEARCH('Карта учёта'!$B$20,Расходка[[#This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BasixTOUCH</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417</v>
      </c>
      <c r="AI15" t="s">
        <v>94</v>
      </c>
    </row>
    <row r="16" spans="1:42">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учёта'!$B$19,Расходка[[#This Row],[Наименование расходного материала]])),MAX($J$1:J15)+1,0)</f>
        <v>15</v>
      </c>
      <c r="K16" s="116">
        <f>IF(ISNUMBER(SEARCH('Карта учёта'!$B$17,Расходка[[#This Row],[Наименование расходного материала]])),MAX($K$1:K15)+1,0)</f>
        <v>0</v>
      </c>
      <c r="L16" s="116">
        <f>IF(ISNUMBER(SEARCH('Карта учёта'!$B$18,Расходка[[#This Row],[Наименование расходного материала]])),MAX($L$1:L15)+1,0)</f>
        <v>0</v>
      </c>
      <c r="M16" s="116">
        <f>IF(ISNUMBER(SEARCH('Карта учёта'!$B$20,Расходка[[#This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Dolphin</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418</v>
      </c>
      <c r="AI16" t="s">
        <v>306</v>
      </c>
    </row>
    <row r="17" spans="1:3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учёта'!$B$19,Расходка[[#This Row],[Наименование расходного материала]])),MAX($J$1:J16)+1,0)</f>
        <v>16</v>
      </c>
      <c r="K17" s="116">
        <f>IF(ISNUMBER(SEARCH('Карта учёта'!$B$17,Расходка[[#This Row],[Наименование расходного материала]])),MAX($K$1:K16)+1,0)</f>
        <v>0</v>
      </c>
      <c r="L17" s="116">
        <f>IF(ISNUMBER(SEARCH('Карта учёта'!$B$18,Расходка[[#This Row],[Наименование расходного материала]])),MAX($L$1:L16)+1,0)</f>
        <v>0</v>
      </c>
      <c r="M17" s="116">
        <f>IF(ISNUMBER(SEARCH('Карта учёта'!$B$20,Расходка[[#This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Lepu Medical</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419</v>
      </c>
      <c r="AI17" t="s">
        <v>206</v>
      </c>
    </row>
    <row r="18" spans="1:3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учёта'!$B$19,Расходка[[#This Row],[Наименование расходного материала]])),MAX($J$1:J17)+1,0)</f>
        <v>17</v>
      </c>
      <c r="K18" s="116">
        <f>IF(ISNUMBER(SEARCH('Карта учёта'!$B$17,Расходка[[#This Row],[Наименование расходного материала]])),MAX($K$1:K17)+1,0)</f>
        <v>0</v>
      </c>
      <c r="L18" s="116">
        <f>IF(ISNUMBER(SEARCH('Карта учёта'!$B$18,Расходка[[#This Row],[Наименование расходного материала]])),MAX($L$1:L17)+1,0)</f>
        <v>0</v>
      </c>
      <c r="M18" s="116">
        <f>IF(ISNUMBER(SEARCH('Карта учёта'!$B$20,Расходка[[#This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Perouse Medical FLAMINGO</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420</v>
      </c>
      <c r="AI18" t="s">
        <v>95</v>
      </c>
    </row>
    <row r="19" spans="1:35">
      <c r="A19">
        <v>18</v>
      </c>
      <c r="B19" t="s">
        <v>306</v>
      </c>
      <c r="C19" t="s">
        <v>508</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учёта'!$B$19,Расходка[[#This Row],[Наименование расходного материала]])),MAX($J$1:J18)+1,0)</f>
        <v>18</v>
      </c>
      <c r="K19" s="116">
        <f>IF(ISNUMBER(SEARCH('Карта учёта'!$B$17,Расходка[[#This Row],[Наименование расходного материала]])),MAX($K$1:K18)+1,0)</f>
        <v>0</v>
      </c>
      <c r="L19" s="116">
        <f>IF(ISNUMBER(SEARCH('Карта учёта'!$B$18,Расходка[[#This Row],[Наименование расходного материала]])),MAX($L$1:L18)+1,0)</f>
        <v>0</v>
      </c>
      <c r="M19" s="116">
        <f>IF(ISNUMBER(SEARCH('Карта учёта'!$B$20,Расходка[[#This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Demax</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421</v>
      </c>
      <c r="AI19" t="s">
        <v>301</v>
      </c>
    </row>
    <row r="20" spans="1:3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учёта'!$B$19,Расходка[[#This Row],[Наименование расходного материала]])),MAX($J$1:J19)+1,0)</f>
        <v>19</v>
      </c>
      <c r="K20" s="116">
        <f>IF(ISNUMBER(SEARCH('Карта учёта'!$B$17,Расходка[[#This Row],[Наименование расходного материала]])),MAX($K$1:K19)+1,0)</f>
        <v>0</v>
      </c>
      <c r="L20" s="116">
        <f>IF(ISNUMBER(SEARCH('Карта учёта'!$B$18,Расходка[[#This Row],[Наименование расходного материала]])),MAX($L$1:L19)+1,0)</f>
        <v>0</v>
      </c>
      <c r="M20" s="116">
        <f>IF(ISNUMBER(SEARCH('Карта учёта'!$B$20,Расходка[[#This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Oscor 7F</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422</v>
      </c>
      <c r="AI20" t="s">
        <v>308</v>
      </c>
    </row>
    <row r="21" spans="1:35">
      <c r="A21">
        <v>20</v>
      </c>
      <c r="B21" t="s">
        <v>306</v>
      </c>
      <c r="C21" s="1" t="s">
        <v>511</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учёта'!$B$19,Расходка[[#This Row],[Наименование расходного материала]])),MAX($J$1:J20)+1,0)</f>
        <v>20</v>
      </c>
      <c r="K21" s="116">
        <f>IF(ISNUMBER(SEARCH('Карта учёта'!$B$17,Расходка[[#This Row],[Наименование расходного материала]])),MAX($K$1:K20)+1,0)</f>
        <v>0</v>
      </c>
      <c r="L21" s="116">
        <f>IF(ISNUMBER(SEARCH('Карта учёта'!$B$18,Расходка[[#This Row],[Наименование расходного материала]])),MAX($L$1:L20)+1,0)</f>
        <v>0</v>
      </c>
      <c r="M21" s="116">
        <f>IF(ISNUMBER(SEARCH('Карта учёта'!$B$20,Расходка[[#This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"МИМ". Тюмень</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423</v>
      </c>
    </row>
    <row r="22" spans="1:35">
      <c r="A22">
        <v>21</v>
      </c>
      <c r="B22" t="s">
        <v>306</v>
      </c>
      <c r="C22" s="1" t="s">
        <v>512</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учёта'!$B$19,Расходка[[#This Row],[Наименование расходного материала]])),MAX($J$1:J21)+1,0)</f>
        <v>21</v>
      </c>
      <c r="K22" s="116">
        <f>IF(ISNUMBER(SEARCH('Карта учёта'!$B$17,Расходка[[#This Row],[Наименование расходного материала]])),MAX($K$1:K21)+1,0)</f>
        <v>0</v>
      </c>
      <c r="L22" s="116">
        <f>IF(ISNUMBER(SEARCH('Карта учёта'!$B$18,Расходка[[#This Row],[Наименование расходного материала]])),MAX($L$1:L21)+1,0)</f>
        <v>0</v>
      </c>
      <c r="M22" s="116">
        <f>IF(ISNUMBER(SEARCH('Карта учёта'!$B$20,Расходка[[#This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xml:space="preserve">SCW Индефлятор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xml:space="preserve">SCW Индефлятор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424</v>
      </c>
    </row>
    <row r="23" spans="1:35">
      <c r="A23">
        <v>22</v>
      </c>
      <c r="B23" t="s">
        <v>3</v>
      </c>
      <c r="C23" t="s">
        <v>322</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учёта'!$B$19,Расходка[[#This Row],[Наименование расходного материала]])),MAX($J$1:J22)+1,0)</f>
        <v>22</v>
      </c>
      <c r="K23" s="116">
        <f>IF(ISNUMBER(SEARCH('Карта учёта'!$B$17,Расходка[[#This Row],[Наименование расходного материала]])),MAX($K$1:K22)+1,0)</f>
        <v>0</v>
      </c>
      <c r="L23" s="116">
        <f>IF(ISNUMBER(SEARCH('Карта учёта'!$B$18,Расходка[[#This Row],[Наименование расходного материала]])),MAX($L$1:L22)+1,0)</f>
        <v>0</v>
      </c>
      <c r="M23" s="116">
        <f>IF(ISNUMBER(SEARCH('Карта учёта'!$B$20,Расходка[[#This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Cougar LS Hydro-Track®</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425</v>
      </c>
    </row>
    <row r="24" spans="1:35">
      <c r="A24">
        <v>23</v>
      </c>
      <c r="B24" t="s">
        <v>3</v>
      </c>
      <c r="C24" t="s">
        <v>343</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учёта'!$B$19,Расходка[[#This Row],[Наименование расходного материала]])),MAX($J$1:J23)+1,0)</f>
        <v>23</v>
      </c>
      <c r="K24" s="116">
        <f>IF(ISNUMBER(SEARCH('Карта учёта'!$B$17,Расходка[[#This Row],[Наименование расходного материала]])),MAX($K$1:K23)+1,0)</f>
        <v>0</v>
      </c>
      <c r="L24" s="116">
        <f>IF(ISNUMBER(SEARCH('Карта учёта'!$B$18,Расходка[[#This Row],[Наименование расходного материала]])),MAX($L$1:L23)+1,0)</f>
        <v>0</v>
      </c>
      <c r="M24" s="116">
        <f>IF(ISNUMBER(SEARCH('Карта учёта'!$B$20,Расходка[[#This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Cougar XT Hydro-Track®</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426</v>
      </c>
    </row>
    <row r="25" spans="1:35">
      <c r="A25">
        <v>24</v>
      </c>
      <c r="B25" t="s">
        <v>3</v>
      </c>
      <c r="C25" t="s">
        <v>315</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учёта'!$B$19,Расходка[[#This Row],[Наименование расходного материала]])),MAX($J$1:J24)+1,0)</f>
        <v>24</v>
      </c>
      <c r="K25" s="116">
        <f>IF(ISNUMBER(SEARCH('Карта учёта'!$B$17,Расходка[[#This Row],[Наименование расходного материала]])),MAX($K$1:K24)+1,0)</f>
        <v>0</v>
      </c>
      <c r="L25" s="116">
        <f>IF(ISNUMBER(SEARCH('Карта учёта'!$B$18,Расходка[[#This Row],[Наименование расходного материала]])),MAX($L$1:L24)+1,0)</f>
        <v>0</v>
      </c>
      <c r="M25" s="116">
        <f>IF(ISNUMBER(SEARCH('Карта учёта'!$B$20,Расходка[[#This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Fielder</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427</v>
      </c>
    </row>
    <row r="26" spans="1:35">
      <c r="A26">
        <v>25</v>
      </c>
      <c r="B26" t="s">
        <v>3</v>
      </c>
      <c r="C26" t="s">
        <v>377</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учёта'!$B$19,Расходка[[#This Row],[Наименование расходного материала]])),MAX($J$1:J25)+1,0)</f>
        <v>25</v>
      </c>
      <c r="K26" s="116">
        <f>IF(ISNUMBER(SEARCH('Карта учёта'!$B$17,Расходка[[#This Row],[Наименование расходного материала]])),MAX($K$1:K25)+1,0)</f>
        <v>0</v>
      </c>
      <c r="L26" s="116">
        <f>IF(ISNUMBER(SEARCH('Карта учёта'!$B$18,Расходка[[#This Row],[Наименование расходного материала]])),MAX($L$1:L25)+1,0)</f>
        <v>0</v>
      </c>
      <c r="M26" s="116">
        <f>IF(ISNUMBER(SEARCH('Карта учёта'!$B$20,Расходка[[#This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Fielder XT-A</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428</v>
      </c>
    </row>
    <row r="27" spans="1:35">
      <c r="A27">
        <v>26</v>
      </c>
      <c r="B27" t="s">
        <v>3</v>
      </c>
      <c r="C27" t="s">
        <v>378</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учёта'!$B$19,Расходка[[#This Row],[Наименование расходного материала]])),MAX($J$1:J26)+1,0)</f>
        <v>26</v>
      </c>
      <c r="K27" s="116">
        <f>IF(ISNUMBER(SEARCH('Карта учёта'!$B$17,Расходка[[#This Row],[Наименование расходного материала]])),MAX($K$1:K26)+1,0)</f>
        <v>0</v>
      </c>
      <c r="L27" s="116">
        <f>IF(ISNUMBER(SEARCH('Карта учёта'!$B$18,Расходка[[#This Row],[Наименование расходного материала]])),MAX($L$1:L26)+1,0)</f>
        <v>0</v>
      </c>
      <c r="M27" s="116">
        <f>IF(ISNUMBER(SEARCH('Карта учёта'!$B$20,Расходка[[#This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Fielder XT-R</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429</v>
      </c>
    </row>
    <row r="28" spans="1:35">
      <c r="A28">
        <v>27</v>
      </c>
      <c r="B28" t="s">
        <v>3</v>
      </c>
      <c r="C28" s="1" t="s">
        <v>360</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учёта'!$B$19,Расходка[[#This Row],[Наименование расходного материала]])),MAX($J$1:J27)+1,0)</f>
        <v>27</v>
      </c>
      <c r="K28" s="116">
        <f>IF(ISNUMBER(SEARCH('Карта учёта'!$B$17,Расходка[[#This Row],[Наименование расходного материала]])),MAX($K$1:K27)+1,0)</f>
        <v>0</v>
      </c>
      <c r="L28" s="116">
        <f>IF(ISNUMBER(SEARCH('Карта учёта'!$B$18,Расходка[[#This Row],[Наименование расходного материала]])),MAX($L$1:L27)+1,0)</f>
        <v>0</v>
      </c>
      <c r="M28" s="116">
        <f>IF(ISNUMBER(SEARCH('Карта учёта'!$B$20,Расходка[[#This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Gaia Second</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430</v>
      </c>
    </row>
    <row r="29" spans="1:35">
      <c r="A29">
        <v>28</v>
      </c>
      <c r="B29" t="s">
        <v>3</v>
      </c>
      <c r="C29" s="1"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учёта'!$B$19,Расходка[[#This Row],[Наименование расходного материала]])),MAX($J$1:J28)+1,0)</f>
        <v>28</v>
      </c>
      <c r="K29" s="116">
        <f>IF(ISNUMBER(SEARCH('Карта учёта'!$B$17,Расходка[[#This Row],[Наименование расходного материала]])),MAX($K$1:K28)+1,0)</f>
        <v>0</v>
      </c>
      <c r="L29" s="116">
        <f>IF(ISNUMBER(SEARCH('Карта учёта'!$B$18,Расходка[[#This Row],[Наименование расходного материала]])),MAX($L$1:L28)+1,0)</f>
        <v>0</v>
      </c>
      <c r="M29" s="116">
        <f>IF(ISNUMBER(SEARCH('Карта учёта'!$B$20,Расходка[[#This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Gaia Third</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431</v>
      </c>
    </row>
    <row r="30" spans="1:35">
      <c r="A30">
        <v>29</v>
      </c>
      <c r="B30" t="s">
        <v>3</v>
      </c>
      <c r="C30" s="1" t="s">
        <v>323</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учёта'!$B$19,Расходка[[#This Row],[Наименование расходного материала]])),MAX($J$1:J29)+1,0)</f>
        <v>29</v>
      </c>
      <c r="K30" s="116">
        <f>IF(ISNUMBER(SEARCH('Карта учёта'!$B$17,Расходка[[#This Row],[Наименование расходного материала]])),MAX($K$1:K29)+1,0)</f>
        <v>0</v>
      </c>
      <c r="L30" s="116">
        <f>IF(ISNUMBER(SEARCH('Карта учёта'!$B$18,Расходка[[#This Row],[Наименование расходного материала]])),MAX($L$1:L29)+1,0)</f>
        <v>0</v>
      </c>
      <c r="M30" s="116">
        <f>IF(ISNUMBER(SEARCH('Карта учёта'!$B$20,Расходка[[#This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Intuition</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493</v>
      </c>
    </row>
    <row r="31" spans="1:35">
      <c r="A31">
        <v>30</v>
      </c>
      <c r="B31" t="s">
        <v>3</v>
      </c>
      <c r="C31" t="s">
        <v>319</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учёта'!$B$19,Расходка[[#This Row],[Наименование расходного материала]])),MAX($J$1:J30)+1,0)</f>
        <v>30</v>
      </c>
      <c r="K31" s="116">
        <f>IF(ISNUMBER(SEARCH('Карта учёта'!$B$17,Расходка[[#This Row],[Наименование расходного материала]])),MAX($K$1:K30)+1,0)</f>
        <v>0</v>
      </c>
      <c r="L31" s="116">
        <f>IF(ISNUMBER(SEARCH('Карта учёта'!$B$18,Расходка[[#This Row],[Наименование расходного материала]])),MAX($L$1:L30)+1,0)</f>
        <v>0</v>
      </c>
      <c r="M31" s="116">
        <f>IF(ISNUMBER(SEARCH('Карта учёта'!$B$20,Расходка[[#This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ProVia 3 Hydro-Track®</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432</v>
      </c>
    </row>
    <row r="32" spans="1:35">
      <c r="A32">
        <v>31</v>
      </c>
      <c r="B32" t="s">
        <v>3</v>
      </c>
      <c r="C32" t="s">
        <v>320</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учёта'!$B$19,Расходка[[#This Row],[Наименование расходного материала]])),MAX($J$1:J31)+1,0)</f>
        <v>31</v>
      </c>
      <c r="K32" s="116">
        <f>IF(ISNUMBER(SEARCH('Карта учёта'!$B$17,Расходка[[#This Row],[Наименование расходного материала]])),MAX($K$1:K31)+1,0)</f>
        <v>0</v>
      </c>
      <c r="L32" s="116">
        <f>IF(ISNUMBER(SEARCH('Карта учёта'!$B$18,Расходка[[#This Row],[Наименование расходного материала]])),MAX($L$1:L31)+1,0)</f>
        <v>0</v>
      </c>
      <c r="M32" s="116">
        <f>IF(ISNUMBER(SEARCH('Карта учёта'!$B$20,Расходка[[#This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ProVia 6 Hydro-Track®</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433</v>
      </c>
    </row>
    <row r="33" spans="1:33">
      <c r="A33">
        <v>32</v>
      </c>
      <c r="B33" t="s">
        <v>3</v>
      </c>
      <c r="C33" t="s">
        <v>321</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учёта'!$B$19,Расходка[[#This Row],[Наименование расходного материала]])),MAX($J$1:J32)+1,0)</f>
        <v>32</v>
      </c>
      <c r="K33" s="116">
        <f>IF(ISNUMBER(SEARCH('Карта учёта'!$B$17,Расходка[[#This Row],[Наименование расходного материала]])),MAX($K$1:K32)+1,0)</f>
        <v>0</v>
      </c>
      <c r="L33" s="116">
        <f>IF(ISNUMBER(SEARCH('Карта учёта'!$B$18,Расходка[[#This Row],[Наименование расходного материала]])),MAX($L$1:L32)+1,0)</f>
        <v>0</v>
      </c>
      <c r="M33" s="116">
        <f>IF(ISNUMBER(SEARCH('Карта учёта'!$B$20,Расходка[[#This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ProVia 9 Hydro-Track®</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434</v>
      </c>
    </row>
    <row r="34" spans="1:33">
      <c r="A34">
        <v>33</v>
      </c>
      <c r="B34" t="s">
        <v>3</v>
      </c>
      <c r="C34" t="s">
        <v>317</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учёта'!$B$19,Расходка[[#This Row],[Наименование расходного материала]])),MAX($J$1:J33)+1,0)</f>
        <v>33</v>
      </c>
      <c r="K34" s="116">
        <f>IF(ISNUMBER(SEARCH('Карта учёта'!$B$17,Расходка[[#This Row],[Наименование расходного материала]])),MAX($K$1:K33)+1,0)</f>
        <v>0</v>
      </c>
      <c r="L34" s="116">
        <f>IF(ISNUMBER(SEARCH('Карта учёта'!$B$18,Расходка[[#This Row],[Наименование расходного материала]])),MAX($L$1:L33)+1,0)</f>
        <v>0</v>
      </c>
      <c r="M34" s="116">
        <f>IF(ISNUMBER(SEARCH('Карта учёта'!$B$20,Расходка[[#This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Rinato</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435</v>
      </c>
    </row>
    <row r="35" spans="1:33">
      <c r="A35">
        <v>34</v>
      </c>
      <c r="B35" t="s">
        <v>3</v>
      </c>
      <c r="C35" s="1" t="s">
        <v>354</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учёта'!$B$19,Расходка[[#This Row],[Наименование расходного материала]])),MAX($J$1:J34)+1,0)</f>
        <v>34</v>
      </c>
      <c r="K35" s="116">
        <f>IF(ISNUMBER(SEARCH('Карта учёта'!$B$17,Расходка[[#This Row],[Наименование расходного материала]])),MAX($K$1:K34)+1,0)</f>
        <v>0</v>
      </c>
      <c r="L35" s="116">
        <f>IF(ISNUMBER(SEARCH('Карта учёта'!$B$18,Расходка[[#This Row],[Наименование расходного материала]])),MAX($L$1:L34)+1,0)</f>
        <v>0</v>
      </c>
      <c r="M35" s="116">
        <f>IF(ISNUMBER(SEARCH('Карта учёта'!$B$20,Расходка[[#This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Runthrough NS (Floppy)</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494</v>
      </c>
    </row>
    <row r="36" spans="1:33">
      <c r="A36">
        <v>35</v>
      </c>
      <c r="B36" t="s">
        <v>3</v>
      </c>
      <c r="C36" s="1" t="s">
        <v>362</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учёта'!$B$19,Расходка[[#This Row],[Наименование расходного материала]])),MAX($J$1:J35)+1,0)</f>
        <v>35</v>
      </c>
      <c r="K36" s="116">
        <f>IF(ISNUMBER(SEARCH('Карта учёта'!$B$17,Расходка[[#This Row],[Наименование расходного материала]])),MAX($K$1:K35)+1,0)</f>
        <v>0</v>
      </c>
      <c r="L36" s="116">
        <f>IF(ISNUMBER(SEARCH('Карта учёта'!$B$18,Расходка[[#This Row],[Наименование расходного материала]])),MAX($L$1:L35)+1,0)</f>
        <v>0</v>
      </c>
      <c r="M36" s="116">
        <f>IF(ISNUMBER(SEARCH('Карта учёта'!$B$20,Расходка[[#This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Runthrough NS Hypercoat</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436</v>
      </c>
    </row>
    <row r="37" spans="1:33">
      <c r="A37">
        <v>36</v>
      </c>
      <c r="B37" t="s">
        <v>3</v>
      </c>
      <c r="C37" s="1" t="s">
        <v>361</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учёта'!$B$19,Расходка[[#This Row],[Наименование расходного материала]])),MAX($J$1:J36)+1,0)</f>
        <v>36</v>
      </c>
      <c r="K37" s="116">
        <f>IF(ISNUMBER(SEARCH('Карта учёта'!$B$17,Расходка[[#This Row],[Наименование расходного материала]])),MAX($K$1:K36)+1,0)</f>
        <v>0</v>
      </c>
      <c r="L37" s="116">
        <f>IF(ISNUMBER(SEARCH('Карта учёта'!$B$18,Расходка[[#This Row],[Наименование расходного материала]])),MAX($L$1:L36)+1,0)</f>
        <v>0</v>
      </c>
      <c r="M37" s="116">
        <f>IF(ISNUMBER(SEARCH('Карта учёта'!$B$20,Расходка[[#This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Runthrough NS Intermediate</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409</v>
      </c>
    </row>
    <row r="38" spans="1:33">
      <c r="A38">
        <v>37</v>
      </c>
      <c r="B38" t="s">
        <v>3</v>
      </c>
      <c r="C38" t="s">
        <v>316</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учёта'!$B$19,Расходка[[#This Row],[Наименование расходного материала]])),MAX($J$1:J37)+1,0)</f>
        <v>37</v>
      </c>
      <c r="K38" s="116">
        <f>IF(ISNUMBER(SEARCH('Карта учёта'!$B$17,Расходка[[#This Row],[Наименование расходного материала]])),MAX($K$1:K37)+1,0)</f>
        <v>0</v>
      </c>
      <c r="L38" s="116">
        <f>IF(ISNUMBER(SEARCH('Карта учёта'!$B$18,Расходка[[#This Row],[Наименование расходного материала]])),MAX($L$1:L37)+1,0)</f>
        <v>0</v>
      </c>
      <c r="M38" s="116">
        <f>IF(ISNUMBER(SEARCH('Карта учёта'!$B$20,Расходка[[#This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Sion</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496</v>
      </c>
    </row>
    <row r="39" spans="1:33">
      <c r="A39">
        <v>38</v>
      </c>
      <c r="B39" t="s">
        <v>3</v>
      </c>
      <c r="C39" t="s">
        <v>381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учёта'!$B$19,Расходка[[#This Row],[Наименование расходного материала]])),MAX($J$1:J38)+1,0)</f>
        <v>38</v>
      </c>
      <c r="K39" s="116">
        <f>IF(ISNUMBER(SEARCH('Карта учёта'!$B$17,Расходка[[#This Row],[Наименование расходного материала]])),MAX($K$1:K38)+1,0)</f>
        <v>0</v>
      </c>
      <c r="L39" s="116">
        <f>IF(ISNUMBER(SEARCH('Карта учёта'!$B$18,Расходка[[#This Row],[Наименование расходного материала]])),MAX($L$1:L38)+1,0)</f>
        <v>0</v>
      </c>
      <c r="M39" s="116">
        <f>IF(ISNUMBER(SEARCH('Карта учёта'!$B$20,Расходка[[#This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Sion Black</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437</v>
      </c>
    </row>
    <row r="40" spans="1:33">
      <c r="A40">
        <v>39</v>
      </c>
      <c r="B40" t="s">
        <v>3</v>
      </c>
      <c r="C40" s="1" t="s">
        <v>376</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учёта'!$B$19,Расходка[[#This Row],[Наименование расходного материала]])),MAX($J$1:J39)+1,0)</f>
        <v>39</v>
      </c>
      <c r="K40" s="116">
        <f>IF(ISNUMBER(SEARCH('Карта учёта'!$B$17,Расходка[[#This Row],[Наименование расходного материала]])),MAX($K$1:K39)+1,0)</f>
        <v>0</v>
      </c>
      <c r="L40" s="116">
        <f>IF(ISNUMBER(SEARCH('Карта учёта'!$B$18,Расходка[[#This Row],[Наименование расходного материала]])),MAX($L$1:L39)+1,0)</f>
        <v>0</v>
      </c>
      <c r="M40" s="116">
        <f>IF(ISNUMBER(SEARCH('Карта учёта'!$B$20,Расходка[[#This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Sion Blue</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438</v>
      </c>
    </row>
    <row r="41" spans="1:33">
      <c r="A41">
        <v>40</v>
      </c>
      <c r="B41" t="s">
        <v>3</v>
      </c>
      <c r="C41" t="s">
        <v>318</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учёта'!$B$19,Расходка[[#This Row],[Наименование расходного материала]])),MAX($J$1:J40)+1,0)</f>
        <v>40</v>
      </c>
      <c r="K41" s="116">
        <f>IF(ISNUMBER(SEARCH('Карта учёта'!$B$17,Расходка[[#This Row],[Наименование расходного материала]])),MAX($K$1:K40)+1,0)</f>
        <v>0</v>
      </c>
      <c r="L41" s="116">
        <f>IF(ISNUMBER(SEARCH('Карта учёта'!$B$18,Расходка[[#This Row],[Наименование расходного материала]])),MAX($L$1:L40)+1,0)</f>
        <v>0</v>
      </c>
      <c r="M41" s="116">
        <f>IF(ISNUMBER(SEARCH('Карта учёта'!$B$20,Расходка[[#This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Thunder</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439</v>
      </c>
    </row>
    <row r="42" spans="1:33">
      <c r="A42">
        <v>41</v>
      </c>
      <c r="B42" t="s">
        <v>3</v>
      </c>
      <c r="C42" t="s">
        <v>363</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учёта'!$B$19,Расходка[[#This Row],[Наименование расходного материала]])),MAX($J$1:J41)+1,0)</f>
        <v>41</v>
      </c>
      <c r="K42" s="116">
        <f>IF(ISNUMBER(SEARCH('Карта учёта'!$B$17,Расходка[[#This Row],[Наименование расходного материала]])),MAX($K$1:K41)+1,0)</f>
        <v>0</v>
      </c>
      <c r="L42" s="116">
        <f>IF(ISNUMBER(SEARCH('Карта учёта'!$B$18,Расходка[[#This Row],[Наименование расходного материала]])),MAX($L$1:L41)+1,0)</f>
        <v>0</v>
      </c>
      <c r="M42" s="116">
        <f>IF(ISNUMBER(SEARCH('Карта учёта'!$B$20,Расходка[[#This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Whisper MS</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440</v>
      </c>
    </row>
    <row r="43" spans="1:33">
      <c r="A43">
        <v>42</v>
      </c>
      <c r="B43" t="s">
        <v>3</v>
      </c>
      <c r="C43" t="s">
        <v>364</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учёта'!$B$19,Расходка[[#This Row],[Наименование расходного материала]])),MAX($J$1:J42)+1,0)</f>
        <v>42</v>
      </c>
      <c r="K43" s="116">
        <f>IF(ISNUMBER(SEARCH('Карта учёта'!$B$17,Расходка[[#This Row],[Наименование расходного материала]])),MAX($K$1:K42)+1,0)</f>
        <v>0</v>
      </c>
      <c r="L43" s="116">
        <f>IF(ISNUMBER(SEARCH('Карта учёта'!$B$18,Расходка[[#This Row],[Наименование расходного материала]])),MAX($L$1:L42)+1,0)</f>
        <v>0</v>
      </c>
      <c r="M43" s="116">
        <f>IF(ISNUMBER(SEARCH('Карта учёта'!$B$20,Расходка[[#This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Winn 200T</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413</v>
      </c>
    </row>
    <row r="44" spans="1:33">
      <c r="A44">
        <v>43</v>
      </c>
      <c r="B44" t="s">
        <v>3</v>
      </c>
      <c r="C44" t="s">
        <v>518</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учёта'!$B$19,Расходка[[#This Row],[Наименование расходного материала]])),MAX($J$1:J43)+1,0)</f>
        <v>43</v>
      </c>
      <c r="K44" s="116">
        <f>IF(ISNUMBER(SEARCH('Карта учёта'!$B$17,Расходка[[#This Row],[Наименование расходного материала]])),MAX($K$1:K43)+1,0)</f>
        <v>0</v>
      </c>
      <c r="L44" s="116">
        <f>IF(ISNUMBER(SEARCH('Карта учёта'!$B$18,Расходка[[#This Row],[Наименование расходного материала]])),MAX($L$1:L43)+1,0)</f>
        <v>0</v>
      </c>
      <c r="M44" s="116">
        <f>IF(ISNUMBER(SEARCH('Карта учёта'!$B$20,Расходка[[#This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0,8g, Angioline</v>
      </c>
      <c r="W44" s="115" t="str">
        <f>IFERROR(INDEX(Расходка[Наименование расходного материала],MATCH(Расходка[[#This Row],[№]],Поиск_расходки[Индекс6],0)),"")</f>
        <v>Проводник коронарный  0,8g, Angioline</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0,8g, Angioline</v>
      </c>
      <c r="AA44" s="115" t="str">
        <f>IFERROR(INDEX(Расходка[Наименование расходного материала],MATCH(Расходка[[#This Row],[№]],Поиск_расходки[Индекс10],0)),"")</f>
        <v>Проводник коронарный  0,8g, Angioline</v>
      </c>
      <c r="AB44" s="115" t="str">
        <f>IFERROR(INDEX(Расходка[Наименование расходного материала],MATCH(Расходка[[#This Row],[№]],Поиск_расходки[Индекс11],0)),"")</f>
        <v>Проводник коронарный  0,8g, Angioline</v>
      </c>
      <c r="AC44" s="115" t="str">
        <f>IFERROR(INDEX(Расходка[Наименование расходного материала],MATCH(Расходка[[#This Row],[№]],Поиск_расходки[Индекс12],0)),"")</f>
        <v>Проводник коронарный  0,8g, Angioline</v>
      </c>
      <c r="AD44" s="115" t="str">
        <f>IFERROR(INDEX(Расходка[Наименование расходного материала],MATCH(Расходка[[#This Row],[№]],Поиск_расходки[Индекс13],0)),"")</f>
        <v>Проводник коронарный  0,8g, Angioline</v>
      </c>
      <c r="AF44" s="4" t="s">
        <v>6</v>
      </c>
      <c r="AG44" s="4" t="s">
        <v>441</v>
      </c>
    </row>
    <row r="45" spans="1:33">
      <c r="A45">
        <v>44</v>
      </c>
      <c r="B45" t="s">
        <v>3</v>
      </c>
      <c r="C45" t="s">
        <v>347</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1</v>
      </c>
      <c r="I45" s="116">
        <f>IF(ISNUMBER(SEARCH('Карта учёта'!$B$21,Расходка[[#This Row],[Наименование расходного материала]])),MAX($I$1:I44)+1,0)</f>
        <v>44</v>
      </c>
      <c r="J45" s="116">
        <f>IF(ISNUMBER(SEARCH('Карта учёта'!$B$19,Расходка[[#This Row],[Наименование расходного материала]])),MAX($J$1:J44)+1,0)</f>
        <v>44</v>
      </c>
      <c r="K45" s="116">
        <f>IF(ISNUMBER(SEARCH('Карта учёта'!$B$17,Расходка[[#This Row],[Наименование расходного материала]])),MAX($K$1:K44)+1,0)</f>
        <v>0</v>
      </c>
      <c r="L45" s="116">
        <f>IF(ISNUMBER(SEARCH('Карта учёта'!$B$18,Расходка[[#This Row],[Наименование расходного материала]])),MAX($L$1:L44)+1,0)</f>
        <v>0</v>
      </c>
      <c r="M45" s="116">
        <f>IF(ISNUMBER(SEARCH('Карта учёта'!$B$20,Расходка[[#This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1g, Angioline</v>
      </c>
      <c r="W45" s="115" t="str">
        <f>IFERROR(INDEX(Расходка[Наименование расходного материала],MATCH(Расходка[[#This Row],[№]],Поиск_расходки[Индекс6],0)),"")</f>
        <v>Проводник коронарный  1g, Angioline</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Проводник коронарный  1g, Angioline</v>
      </c>
      <c r="AA45" s="115" t="str">
        <f>IFERROR(INDEX(Расходка[Наименование расходного материала],MATCH(Расходка[[#This Row],[№]],Поиск_расходки[Индекс10],0)),"")</f>
        <v>Проводник коронарный  1g, Angioline</v>
      </c>
      <c r="AB45" s="115" t="str">
        <f>IFERROR(INDEX(Расходка[Наименование расходного материала],MATCH(Расходка[[#This Row],[№]],Поиск_расходки[Индекс11],0)),"")</f>
        <v>Проводник коронарный  1g, Angioline</v>
      </c>
      <c r="AC45" s="115" t="str">
        <f>IFERROR(INDEX(Расходка[Наименование расходного материала],MATCH(Расходка[[#This Row],[№]],Поиск_расходки[Индекс12],0)),"")</f>
        <v>Проводник коронарный  1g, Angioline</v>
      </c>
      <c r="AD45" s="115" t="str">
        <f>IFERROR(INDEX(Расходка[Наименование расходного материала],MATCH(Расходка[[#This Row],[№]],Поиск_расходки[Индекс13],0)),"")</f>
        <v>Проводник коронарный  1g, Angioline</v>
      </c>
      <c r="AF45" s="4" t="s">
        <v>6</v>
      </c>
      <c r="AG45" s="4" t="s">
        <v>442</v>
      </c>
    </row>
    <row r="46" spans="1:33">
      <c r="A46">
        <v>45</v>
      </c>
      <c r="B46" t="s">
        <v>3</v>
      </c>
      <c r="C46" t="s">
        <v>96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учёта'!$B$19,Расходка[[#This Row],[Наименование расходного материала]])),MAX($J$1:J45)+1,0)</f>
        <v>45</v>
      </c>
      <c r="K46" s="116">
        <f>IF(ISNUMBER(SEARCH('Карта учёта'!$B$17,Расходка[[#This Row],[Наименование расходного материала]])),MAX($K$1:K45)+1,0)</f>
        <v>0</v>
      </c>
      <c r="L46" s="116">
        <f>IF(ISNUMBER(SEARCH('Карта учёта'!$B$18,Расходка[[#This Row],[Наименование расходного материала]])),MAX($L$1:L45)+1,0)</f>
        <v>0</v>
      </c>
      <c r="M46" s="116">
        <f>IF(ISNUMBER(SEARCH('Карта учёта'!$B$20,Расходка[[#This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Проводник коронарный  3g, Angioline</v>
      </c>
      <c r="W46" s="115" t="str">
        <f>IFERROR(INDEX(Расходка[Наименование расходного материала],MATCH(Расходка[[#This Row],[№]],Поиск_расходки[Индекс6],0)),"")</f>
        <v>Проводник коронарный  3g, Angioline</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Проводник коронарный  3g, Angioline</v>
      </c>
      <c r="AA46" s="115" t="str">
        <f>IFERROR(INDEX(Расходка[Наименование расходного материала],MATCH(Расходка[[#This Row],[№]],Поиск_расходки[Индекс10],0)),"")</f>
        <v>Проводник коронарный  3g, Angioline</v>
      </c>
      <c r="AB46" s="115" t="str">
        <f>IFERROR(INDEX(Расходка[Наименование расходного материала],MATCH(Расходка[[#This Row],[№]],Поиск_расходки[Индекс11],0)),"")</f>
        <v>Проводник коронарный  3g, Angioline</v>
      </c>
      <c r="AC46" s="115" t="str">
        <f>IFERROR(INDEX(Расходка[Наименование расходного материала],MATCH(Расходка[[#This Row],[№]],Поиск_расходки[Индекс12],0)),"")</f>
        <v>Проводник коронарный  3g, Angioline</v>
      </c>
      <c r="AD46" s="115" t="str">
        <f>IFERROR(INDEX(Расходка[Наименование расходного материала],MATCH(Расходка[[#This Row],[№]],Поиск_расходки[Индекс13],0)),"")</f>
        <v>Проводник коронарный  3g, Angioline</v>
      </c>
      <c r="AF46" s="4" t="s">
        <v>6</v>
      </c>
      <c r="AG46" s="4" t="s">
        <v>443</v>
      </c>
    </row>
    <row r="47" spans="1:33">
      <c r="A47">
        <v>46</v>
      </c>
      <c r="B47" t="s">
        <v>3</v>
      </c>
      <c r="C47" t="s">
        <v>516</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1</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учёта'!$B$19,Расходка[[#This Row],[Наименование расходного материала]])),MAX($J$1:J46)+1,0)</f>
        <v>46</v>
      </c>
      <c r="K47" s="116">
        <f>IF(ISNUMBER(SEARCH('Карта учёта'!$B$17,Расходка[[#This Row],[Наименование расходного материала]])),MAX($K$1:K46)+1,0)</f>
        <v>0</v>
      </c>
      <c r="L47" s="116">
        <f>IF(ISNUMBER(SEARCH('Карта учёта'!$B$18,Расходка[[#This Row],[Наименование расходного материала]])),MAX($L$1:L46)+1,0)</f>
        <v>0</v>
      </c>
      <c r="M47" s="116">
        <f>IF(ISNUMBER(SEARCH('Карта учёта'!$B$20,Расходка[[#This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Lepu Medical Balancium</v>
      </c>
      <c r="W47" s="115" t="str">
        <f>IFERROR(INDEX(Расходка[Наименование расходного материала],MATCH(Расходка[[#This Row],[№]],Поиск_расходки[Индекс6],0)),"")</f>
        <v>Lepu Medical Balancium</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Lepu Medical Balancium</v>
      </c>
      <c r="AA47" s="115" t="str">
        <f>IFERROR(INDEX(Расходка[Наименование расходного материала],MATCH(Расходка[[#This Row],[№]],Поиск_расходки[Индекс10],0)),"")</f>
        <v>Lepu Medical Balancium</v>
      </c>
      <c r="AB47" s="115" t="str">
        <f>IFERROR(INDEX(Расходка[Наименование расходного материала],MATCH(Расходка[[#This Row],[№]],Поиск_расходки[Индекс11],0)),"")</f>
        <v>Lepu Medical Balancium</v>
      </c>
      <c r="AC47" s="115" t="str">
        <f>IFERROR(INDEX(Расходка[Наименование расходного материала],MATCH(Расходка[[#This Row],[№]],Поиск_расходки[Индекс12],0)),"")</f>
        <v>Lepu Medical Balancium</v>
      </c>
      <c r="AD47" s="115" t="str">
        <f>IFERROR(INDEX(Расходка[Наименование расходного материала],MATCH(Расходка[[#This Row],[№]],Поиск_расходки[Индекс13],0)),"")</f>
        <v>Lepu Medical Balancium</v>
      </c>
      <c r="AF47" s="4" t="s">
        <v>6</v>
      </c>
      <c r="AG47" s="4" t="s">
        <v>444</v>
      </c>
    </row>
    <row r="48" spans="1:33">
      <c r="A48">
        <v>47</v>
      </c>
      <c r="B48" t="s">
        <v>6</v>
      </c>
      <c r="C48" s="1" t="s">
        <v>278</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учёта'!$B$19,Расходка[[#This Row],[Наименование расходного материала]])),MAX($J$1:J47)+1,0)</f>
        <v>47</v>
      </c>
      <c r="K48" s="116">
        <f>IF(ISNUMBER(SEARCH('Карта учёта'!$B$17,Расходка[[#This Row],[Наименование расходного материала]])),MAX($K$1:K47)+1,0)</f>
        <v>0</v>
      </c>
      <c r="L48" s="116">
        <f>IF(ISNUMBER(SEARCH('Карта учёта'!$B$18,Расходка[[#This Row],[Наименование расходного материала]])),MAX($L$1:L47)+1,0)</f>
        <v>0</v>
      </c>
      <c r="M48" s="116">
        <f>IF(ISNUMBER(SEARCH('Карта учёта'!$B$20,Расходка[[#This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BMS, Integtity</v>
      </c>
      <c r="W48" s="115" t="str">
        <f>IFERROR(INDEX(Расходка[Наименование расходного материала],MATCH(Расходка[[#This Row],[№]],Поиск_расходки[Индекс6],0)),"")</f>
        <v>BMS, Integtity</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BMS, Integtity</v>
      </c>
      <c r="AA48" s="115" t="str">
        <f>IFERROR(INDEX(Расходка[Наименование расходного материала],MATCH(Расходка[[#This Row],[№]],Поиск_расходки[Индекс10],0)),"")</f>
        <v>BMS, Integtity</v>
      </c>
      <c r="AB48" s="115" t="str">
        <f>IFERROR(INDEX(Расходка[Наименование расходного материала],MATCH(Расходка[[#This Row],[№]],Поиск_расходки[Индекс11],0)),"")</f>
        <v>BMS, Integtity</v>
      </c>
      <c r="AC48" s="115" t="str">
        <f>IFERROR(INDEX(Расходка[Наименование расходного материала],MATCH(Расходка[[#This Row],[№]],Поиск_расходки[Индекс12],0)),"")</f>
        <v>BMS, Integtity</v>
      </c>
      <c r="AD48" s="115" t="str">
        <f>IFERROR(INDEX(Расходка[Наименование расходного материала],MATCH(Расходка[[#This Row],[№]],Поиск_расходки[Индекс13],0)),"")</f>
        <v>BMS, Integtity</v>
      </c>
      <c r="AF48" s="4" t="s">
        <v>6</v>
      </c>
      <c r="AG48" s="4" t="s">
        <v>445</v>
      </c>
    </row>
    <row r="49" spans="1:33">
      <c r="A49">
        <v>48</v>
      </c>
      <c r="B49" t="s">
        <v>6</v>
      </c>
      <c r="C49" s="158" t="s">
        <v>346</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учёта'!$B$21,Расходка[[#This Row],[Наименование расходного материала]])),MAX($I$1:I48)+1,0)</f>
        <v>48</v>
      </c>
      <c r="J49" s="116">
        <f>IF(ISNUMBER(SEARCH('Карта учёта'!$B$19,Расходка[[#This Row],[Наименование расходного материала]])),MAX($J$1:J48)+1,0)</f>
        <v>48</v>
      </c>
      <c r="K49" s="116">
        <f>IF(ISNUMBER(SEARCH('Карта учёта'!$B$17,Расходка[[#This Row],[Наименование расходного материала]])),MAX($K$1:K48)+1,0)</f>
        <v>0</v>
      </c>
      <c r="L49" s="116">
        <f>IF(ISNUMBER(SEARCH('Карта учёта'!$B$18,Расходка[[#This Row],[Наименование расходного материала]])),MAX($L$1:L48)+1,0)</f>
        <v>0</v>
      </c>
      <c r="M49" s="116">
        <f>IF(ISNUMBER(SEARCH('Карта учёта'!$B$20,Расходка[[#This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DES, Calipso</v>
      </c>
      <c r="W49" s="115" t="str">
        <f>IFERROR(INDEX(Расходка[Наименование расходного материала],MATCH(Расходка[[#This Row],[№]],Поиск_расходки[Индекс6],0)),"")</f>
        <v>DES, Calipso</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Calipso</v>
      </c>
      <c r="AA49" s="115" t="str">
        <f>IFERROR(INDEX(Расходка[Наименование расходного материала],MATCH(Расходка[[#This Row],[№]],Поиск_расходки[Индекс10],0)),"")</f>
        <v>DES, Calipso</v>
      </c>
      <c r="AB49" s="115" t="str">
        <f>IFERROR(INDEX(Расходка[Наименование расходного материала],MATCH(Расходка[[#This Row],[№]],Поиск_расходки[Индекс11],0)),"")</f>
        <v>DES, Calipso</v>
      </c>
      <c r="AC49" s="115" t="str">
        <f>IFERROR(INDEX(Расходка[Наименование расходного материала],MATCH(Расходка[[#This Row],[№]],Поиск_расходки[Индекс12],0)),"")</f>
        <v>DES, Calipso</v>
      </c>
      <c r="AD49" s="115" t="str">
        <f>IFERROR(INDEX(Расходка[Наименование расходного материала],MATCH(Расходка[[#This Row],[№]],Поиск_расходки[Индекс13],0)),"")</f>
        <v>DES, Calipso</v>
      </c>
      <c r="AF49" s="4" t="s">
        <v>6</v>
      </c>
      <c r="AG49" s="4" t="s">
        <v>446</v>
      </c>
    </row>
    <row r="50" spans="1:33">
      <c r="A50">
        <v>49</v>
      </c>
      <c r="B50" t="s">
        <v>6</v>
      </c>
      <c r="C50" s="158" t="s">
        <v>345</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учёта'!$B$19,Расходка[[#This Row],[Наименование расходного материала]])),MAX($J$1:J49)+1,0)</f>
        <v>49</v>
      </c>
      <c r="K50" s="116">
        <f>IF(ISNUMBER(SEARCH('Карта учёта'!$B$17,Расходка[[#This Row],[Наименование расходного материала]])),MAX($K$1:K49)+1,0)</f>
        <v>0</v>
      </c>
      <c r="L50" s="116">
        <f>IF(ISNUMBER(SEARCH('Карта учёта'!$B$18,Расходка[[#This Row],[Наименование расходного материала]])),MAX($L$1:L49)+1,0)</f>
        <v>0</v>
      </c>
      <c r="M50" s="116">
        <f>IF(ISNUMBER(SEARCH('Карта учёта'!$B$20,Расходка[[#This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DES, NanoMed</v>
      </c>
      <c r="W50" s="115" t="str">
        <f>IFERROR(INDEX(Расходка[Наименование расходного материала],MATCH(Расходка[[#This Row],[№]],Поиск_расходки[Индекс6],0)),"")</f>
        <v>DES, NanoMed</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NanoMed</v>
      </c>
      <c r="AA50" s="115" t="str">
        <f>IFERROR(INDEX(Расходка[Наименование расходного материала],MATCH(Расходка[[#This Row],[№]],Поиск_расходки[Индекс10],0)),"")</f>
        <v>DES, NanoMed</v>
      </c>
      <c r="AB50" s="115" t="str">
        <f>IFERROR(INDEX(Расходка[Наименование расходного материала],MATCH(Расходка[[#This Row],[№]],Поиск_расходки[Индекс11],0)),"")</f>
        <v>DES, NanoMed</v>
      </c>
      <c r="AC50" s="115" t="str">
        <f>IFERROR(INDEX(Расходка[Наименование расходного материала],MATCH(Расходка[[#This Row],[№]],Поиск_расходки[Индекс12],0)),"")</f>
        <v>DES, NanoMed</v>
      </c>
      <c r="AD50" s="115" t="str">
        <f>IFERROR(INDEX(Расходка[Наименование расходного материала],MATCH(Расходка[[#This Row],[№]],Поиск_расходки[Индекс13],0)),"")</f>
        <v>DES, NanoMed</v>
      </c>
      <c r="AF50" s="4" t="s">
        <v>6</v>
      </c>
      <c r="AG50" s="4" t="s">
        <v>447</v>
      </c>
    </row>
    <row r="51" spans="1:33">
      <c r="A51">
        <v>50</v>
      </c>
      <c r="B51" t="s">
        <v>6</v>
      </c>
      <c r="C51" s="131" t="s">
        <v>324</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учёта'!$B$21,Расходка[[#This Row],[Наименование расходного материала]])),MAX($I$1:I50)+1,0)</f>
        <v>50</v>
      </c>
      <c r="J51" s="116">
        <f>IF(ISNUMBER(SEARCH('Карта учёта'!$B$19,Расходка[[#This Row],[Наименование расходного материала]])),MAX($J$1:J50)+1,0)</f>
        <v>50</v>
      </c>
      <c r="K51" s="116">
        <f>IF(ISNUMBER(SEARCH('Карта учёта'!$B$17,Расходка[[#This Row],[Наименование расходного материала]])),MAX($K$1:K50)+1,0)</f>
        <v>0</v>
      </c>
      <c r="L51" s="116">
        <f>IF(ISNUMBER(SEARCH('Карта учёта'!$B$18,Расходка[[#This Row],[Наименование расходного материала]])),MAX($L$1:L50)+1,0)</f>
        <v>0</v>
      </c>
      <c r="M51" s="116">
        <f>IF(ISNUMBER(SEARCH('Карта учёта'!$B$20,Расходка[[#This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Resolute Integtity</v>
      </c>
      <c r="W51" s="115" t="str">
        <f>IFERROR(INDEX(Расходка[Наименование расходного материала],MATCH(Расходка[[#This Row],[№]],Поиск_расходки[Индекс6],0)),"")</f>
        <v>DES, Resolute Integtity</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Integtity</v>
      </c>
      <c r="AA51" s="115" t="str">
        <f>IFERROR(INDEX(Расходка[Наименование расходного материала],MATCH(Расходка[[#This Row],[№]],Поиск_расходки[Индекс10],0)),"")</f>
        <v>DES, Resolute Integtity</v>
      </c>
      <c r="AB51" s="115" t="str">
        <f>IFERROR(INDEX(Расходка[Наименование расходного материала],MATCH(Расходка[[#This Row],[№]],Поиск_расходки[Индекс11],0)),"")</f>
        <v>DES, Resolute Integtity</v>
      </c>
      <c r="AC51" s="115" t="str">
        <f>IFERROR(INDEX(Расходка[Наименование расходного материала],MATCH(Расходка[[#This Row],[№]],Поиск_расходки[Индекс12],0)),"")</f>
        <v>DES, Resolute Integtity</v>
      </c>
      <c r="AD51" s="115" t="str">
        <f>IFERROR(INDEX(Расходка[Наименование расходного материала],MATCH(Расходка[[#This Row],[№]],Поиск_расходки[Индекс13],0)),"")</f>
        <v>DES, Resolute Integtity</v>
      </c>
      <c r="AF51" s="4" t="s">
        <v>6</v>
      </c>
      <c r="AG51" s="4" t="s">
        <v>448</v>
      </c>
    </row>
    <row r="52" spans="1:33">
      <c r="A52">
        <v>51</v>
      </c>
      <c r="B52" t="s">
        <v>6</v>
      </c>
      <c r="C52" t="s">
        <v>358</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учёта'!$B$19,Расходка[[#This Row],[Наименование расходного материала]])),MAX($J$1:J51)+1,0)</f>
        <v>51</v>
      </c>
      <c r="K52" s="116">
        <f>IF(ISNUMBER(SEARCH('Карта учёта'!$B$17,Расходка[[#This Row],[Наименование расходного материала]])),MAX($K$1:K51)+1,0)</f>
        <v>0</v>
      </c>
      <c r="L52" s="116">
        <f>IF(ISNUMBER(SEARCH('Карта учёта'!$B$18,Расходка[[#This Row],[Наименование расходного материала]])),MAX($L$1:L51)+1,0)</f>
        <v>0</v>
      </c>
      <c r="M52" s="116">
        <f>IF(ISNUMBER(SEARCH('Карта учёта'!$B$20,Расходка[[#This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Yukon Chrome PC</v>
      </c>
      <c r="W52" s="115" t="str">
        <f>IFERROR(INDEX(Расходка[Наименование расходного материала],MATCH(Расходка[[#This Row],[№]],Поиск_расходки[Индекс6],0)),"")</f>
        <v>DES, Yukon Chrome PC</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DES, Yukon Chrome PC</v>
      </c>
      <c r="AA52" s="115" t="str">
        <f>IFERROR(INDEX(Расходка[Наименование расходного материала],MATCH(Расходка[[#This Row],[№]],Поиск_расходки[Индекс10],0)),"")</f>
        <v>DES, Yukon Chrome PC</v>
      </c>
      <c r="AB52" s="115" t="str">
        <f>IFERROR(INDEX(Расходка[Наименование расходного материала],MATCH(Расходка[[#This Row],[№]],Поиск_расходки[Индекс11],0)),"")</f>
        <v>DES, Yukon Chrome PC</v>
      </c>
      <c r="AC52" s="115" t="str">
        <f>IFERROR(INDEX(Расходка[Наименование расходного материала],MATCH(Расходка[[#This Row],[№]],Поиск_расходки[Индекс12],0)),"")</f>
        <v>DES, Yukon Chrome PC</v>
      </c>
      <c r="AD52" s="115" t="str">
        <f>IFERROR(INDEX(Расходка[Наименование расходного материала],MATCH(Расходка[[#This Row],[№]],Поиск_расходки[Индекс13],0)),"")</f>
        <v>DES, Yukon Chrome PC</v>
      </c>
      <c r="AF52" s="4" t="s">
        <v>6</v>
      </c>
      <c r="AG52" s="4" t="s">
        <v>449</v>
      </c>
    </row>
    <row r="53" spans="1:33">
      <c r="A53">
        <v>52</v>
      </c>
      <c r="B53" t="s">
        <v>6</v>
      </c>
      <c r="C53" s="162" t="s">
        <v>389</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учёта'!$B$21,Расходка[[#This Row],[Наименование расходного материала]])),MAX($I$1:I52)+1,0)</f>
        <v>52</v>
      </c>
      <c r="J53" s="116">
        <f>IF(ISNUMBER(SEARCH('Карта учёта'!$B$19,Расходка[[#This Row],[Наименование расходного материала]])),MAX($J$1:J52)+1,0)</f>
        <v>52</v>
      </c>
      <c r="K53" s="116">
        <f>IF(ISNUMBER(SEARCH('Карта учёта'!$B$17,Расходка[[#This Row],[Наименование расходного материала]])),MAX($K$1:K52)+1,0)</f>
        <v>0</v>
      </c>
      <c r="L53" s="116">
        <f>IF(ISNUMBER(SEARCH('Карта учёта'!$B$18,Расходка[[#This Row],[Наименование расходного материала]])),MAX($L$1:L52)+1,0)</f>
        <v>0</v>
      </c>
      <c r="M53" s="116">
        <f>IF(ISNUMBER(SEARCH('Карта учёта'!$B$20,Расходка[[#This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DES, Firehawk</v>
      </c>
      <c r="W53" s="115" t="str">
        <f>IFERROR(INDEX(Расходка[Наименование расходного материала],MATCH(Расходка[[#This Row],[№]],Поиск_расходки[Индекс6],0)),"")</f>
        <v>DES, Firehawk</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DES, Firehawk</v>
      </c>
      <c r="AA53" s="115" t="str">
        <f>IFERROR(INDEX(Расходка[Наименование расходного материала],MATCH(Расходка[[#This Row],[№]],Поиск_расходки[Индекс10],0)),"")</f>
        <v>DES, Firehawk</v>
      </c>
      <c r="AB53" s="115" t="str">
        <f>IFERROR(INDEX(Расходка[Наименование расходного материала],MATCH(Расходка[[#This Row],[№]],Поиск_расходки[Индекс11],0)),"")</f>
        <v>DES, Firehawk</v>
      </c>
      <c r="AC53" s="115" t="str">
        <f>IFERROR(INDEX(Расходка[Наименование расходного материала],MATCH(Расходка[[#This Row],[№]],Поиск_расходки[Индекс12],0)),"")</f>
        <v>DES, Firehawk</v>
      </c>
      <c r="AD53" s="115" t="str">
        <f>IFERROR(INDEX(Расходка[Наименование расходного материала],MATCH(Расходка[[#This Row],[№]],Поиск_расходки[Индекс13],0)),"")</f>
        <v>DES, Firehawk</v>
      </c>
      <c r="AF53" s="4" t="s">
        <v>6</v>
      </c>
      <c r="AG53" s="4" t="s">
        <v>450</v>
      </c>
    </row>
    <row r="54" spans="1:33">
      <c r="A54">
        <v>53</v>
      </c>
      <c r="B54" t="s">
        <v>6</v>
      </c>
      <c r="C54" t="s">
        <v>388</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учёта'!$B$19,Расходка[[#This Row],[Наименование расходного материала]])),MAX($J$1:J53)+1,0)</f>
        <v>53</v>
      </c>
      <c r="K54" s="116">
        <f>IF(ISNUMBER(SEARCH('Карта учёта'!$B$17,Расходка[[#This Row],[Наименование расходного материала]])),MAX($K$1:K53)+1,0)</f>
        <v>0</v>
      </c>
      <c r="L54" s="116">
        <f>IF(ISNUMBER(SEARCH('Карта учёта'!$B$18,Расходка[[#This Row],[Наименование расходного материала]])),MAX($L$1:L53)+1,0)</f>
        <v>0</v>
      </c>
      <c r="M54" s="116">
        <f>IF(ISNUMBER(SEARCH('Карта учёта'!$B$20,Расходка[[#This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DES, Resolute Onyx</v>
      </c>
      <c r="W54" s="115" t="str">
        <f>IFERROR(INDEX(Расходка[Наименование расходного материала],MATCH(Расходка[[#This Row],[№]],Поиск_расходки[Индекс6],0)),"")</f>
        <v>DES, Resolute Onyx</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DES, Resolute Onyx</v>
      </c>
      <c r="AA54" s="115" t="str">
        <f>IFERROR(INDEX(Расходка[Наименование расходного материала],MATCH(Расходка[[#This Row],[№]],Поиск_расходки[Индекс10],0)),"")</f>
        <v>DES, Resolute Onyx</v>
      </c>
      <c r="AB54" s="115" t="str">
        <f>IFERROR(INDEX(Расходка[Наименование расходного материала],MATCH(Расходка[[#This Row],[№]],Поиск_расходки[Индекс11],0)),"")</f>
        <v>DES, Resolute Onyx</v>
      </c>
      <c r="AC54" s="115" t="str">
        <f>IFERROR(INDEX(Расходка[Наименование расходного материала],MATCH(Расходка[[#This Row],[№]],Поиск_расходки[Индекс12],0)),"")</f>
        <v>DES, Resolute Onyx</v>
      </c>
      <c r="AD54" s="115" t="str">
        <f>IFERROR(INDEX(Расходка[Наименование расходного материала],MATCH(Расходка[[#This Row],[№]],Поиск_расходки[Индекс13],0)),"")</f>
        <v>DES, Resolute Onyx</v>
      </c>
      <c r="AF54" s="4" t="s">
        <v>6</v>
      </c>
      <c r="AG54" s="4" t="s">
        <v>451</v>
      </c>
    </row>
    <row r="55" spans="1:33">
      <c r="A55">
        <v>54</v>
      </c>
      <c r="B55" t="s">
        <v>6</v>
      </c>
      <c r="C55" t="s">
        <v>517</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учёта'!$B$19,Расходка[[#This Row],[Наименование расходного материала]])),MAX($J$1:J54)+1,0)</f>
        <v>54</v>
      </c>
      <c r="K55" s="116">
        <f>IF(ISNUMBER(SEARCH('Карта учёта'!$B$17,Расходка[[#This Row],[Наименование расходного материала]])),MAX($K$1:K54)+1,0)</f>
        <v>0</v>
      </c>
      <c r="L55" s="116">
        <f>IF(ISNUMBER(SEARCH('Карта учёта'!$B$18,Расходка[[#This Row],[Наименование расходного материала]])),MAX($L$1:L54)+1,0)</f>
        <v>1</v>
      </c>
      <c r="M55" s="116">
        <f>IF(ISNUMBER(SEARCH('Карта учёта'!$B$20,Расходка[[#This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DES, Metafor</v>
      </c>
      <c r="W55" s="115" t="str">
        <f>IFERROR(INDEX(Расходка[Наименование расходного материала],MATCH(Расходка[[#This Row],[№]],Поиск_расходки[Индекс6],0)),"")</f>
        <v>DES, Metafor</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DES, Metafor</v>
      </c>
      <c r="AA55" s="115" t="str">
        <f>IFERROR(INDEX(Расходка[Наименование расходного материала],MATCH(Расходка[[#This Row],[№]],Поиск_расходки[Индекс10],0)),"")</f>
        <v>DES, Metafor</v>
      </c>
      <c r="AB55" s="115" t="str">
        <f>IFERROR(INDEX(Расходка[Наименование расходного материала],MATCH(Расходка[[#This Row],[№]],Поиск_расходки[Индекс11],0)),"")</f>
        <v>DES, Metafor</v>
      </c>
      <c r="AC55" s="115" t="str">
        <f>IFERROR(INDEX(Расходка[Наименование расходного материала],MATCH(Расходка[[#This Row],[№]],Поиск_расходки[Индекс12],0)),"")</f>
        <v>DES, Metafor</v>
      </c>
      <c r="AD55" s="115" t="str">
        <f>IFERROR(INDEX(Расходка[Наименование расходного материала],MATCH(Расходка[[#This Row],[№]],Поиск_расходки[Индекс13],0)),"")</f>
        <v>DES, Metafor</v>
      </c>
      <c r="AF55" s="4" t="s">
        <v>6</v>
      </c>
      <c r="AG55" s="4" t="s">
        <v>452</v>
      </c>
    </row>
    <row r="56" spans="1:33">
      <c r="A56">
        <v>55</v>
      </c>
      <c r="B56" t="s">
        <v>95</v>
      </c>
      <c r="C56" s="1" t="s">
        <v>325</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учёта'!$B$19,Расходка[[#This Row],[Наименование расходного материала]])),MAX($J$1:J55)+1,0)</f>
        <v>55</v>
      </c>
      <c r="K56" s="116">
        <f>IF(ISNUMBER(SEARCH('Карта учёта'!$B$17,Расходка[[#This Row],[Наименование расходного материала]])),MAX($K$1:K55)+1,0)</f>
        <v>0</v>
      </c>
      <c r="L56" s="116">
        <f>IF(ISNUMBER(SEARCH('Карта учёта'!$B$18,Расходка[[#This Row],[Наименование расходного материала]])),MAX($L$1:L55)+1,0)</f>
        <v>0</v>
      </c>
      <c r="M56" s="116">
        <f>IF(ISNUMBER(SEARCH('Карта учёта'!$B$20,Расходка[[#This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Guidezilla™ II 6F</v>
      </c>
      <c r="W56" s="115" t="str">
        <f>IFERROR(INDEX(Расходка[Наименование расходного материала],MATCH(Расходка[[#This Row],[№]],Поиск_расходки[Индекс6],0)),"")</f>
        <v>Guidezilla™ II 6F</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Guidezilla™ II 6F</v>
      </c>
      <c r="AA56" s="115" t="str">
        <f>IFERROR(INDEX(Расходка[Наименование расходного материала],MATCH(Расходка[[#This Row],[№]],Поиск_расходки[Индекс10],0)),"")</f>
        <v>Guidezilla™ II 6F</v>
      </c>
      <c r="AB56" s="115" t="str">
        <f>IFERROR(INDEX(Расходка[Наименование расходного материала],MATCH(Расходка[[#This Row],[№]],Поиск_расходки[Индекс11],0)),"")</f>
        <v>Guidezilla™ II 6F</v>
      </c>
      <c r="AC56" s="115" t="str">
        <f>IFERROR(INDEX(Расходка[Наименование расходного материала],MATCH(Расходка[[#This Row],[№]],Поиск_расходки[Индекс12],0)),"")</f>
        <v>Guidezilla™ II 6F</v>
      </c>
      <c r="AD56" s="115" t="str">
        <f>IFERROR(INDEX(Расходка[Наименование расходного материала],MATCH(Расходка[[#This Row],[№]],Поиск_расходки[Индекс13],0)),"")</f>
        <v>Guidezilla™ II 6F</v>
      </c>
      <c r="AF56" s="4" t="s">
        <v>6</v>
      </c>
      <c r="AG56" s="4" t="s">
        <v>453</v>
      </c>
    </row>
    <row r="57" spans="1:33">
      <c r="A57">
        <v>56</v>
      </c>
      <c r="B57" t="s">
        <v>95</v>
      </c>
      <c r="C57" s="1" t="s">
        <v>344</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учёта'!$B$19,Расходка[[#This Row],[Наименование расходного материала]])),MAX($J$1:J56)+1,0)</f>
        <v>56</v>
      </c>
      <c r="K57" s="116">
        <f>IF(ISNUMBER(SEARCH('Карта учёта'!$B$17,Расходка[[#This Row],[Наименование расходного материала]])),MAX($K$1:K56)+1,0)</f>
        <v>0</v>
      </c>
      <c r="L57" s="116">
        <f>IF(ISNUMBER(SEARCH('Карта учёта'!$B$18,Расходка[[#This Row],[Наименование расходного материала]])),MAX($L$1:L56)+1,0)</f>
        <v>0</v>
      </c>
      <c r="M57" s="116">
        <f>IF(ISNUMBER(SEARCH('Карта учёта'!$B$20,Расходка[[#This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Telescope ™ II 6F</v>
      </c>
      <c r="W57" s="115" t="str">
        <f>IFERROR(INDEX(Расходка[Наименование расходного материала],MATCH(Расходка[[#This Row],[№]],Поиск_расходки[Индекс6],0)),"")</f>
        <v>Telescope ™ II 6F</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Telescope ™ II 6F</v>
      </c>
      <c r="AA57" s="115" t="str">
        <f>IFERROR(INDEX(Расходка[Наименование расходного материала],MATCH(Расходка[[#This Row],[№]],Поиск_расходки[Индекс10],0)),"")</f>
        <v>Telescope ™ II 6F</v>
      </c>
      <c r="AB57" s="115" t="str">
        <f>IFERROR(INDEX(Расходка[Наименование расходного материала],MATCH(Расходка[[#This Row],[№]],Поиск_расходки[Индекс11],0)),"")</f>
        <v>Telescope ™ II 6F</v>
      </c>
      <c r="AC57" s="115" t="str">
        <f>IFERROR(INDEX(Расходка[Наименование расходного материала],MATCH(Расходка[[#This Row],[№]],Поиск_расходки[Индекс12],0)),"")</f>
        <v>Telescope ™ II 6F</v>
      </c>
      <c r="AD57" s="115" t="str">
        <f>IFERROR(INDEX(Расходка[Наименование расходного материала],MATCH(Расходка[[#This Row],[№]],Поиск_расходки[Индекс13],0)),"")</f>
        <v>Telescope ™ II 6F</v>
      </c>
      <c r="AF57" s="4" t="s">
        <v>6</v>
      </c>
      <c r="AG57" s="4" t="s">
        <v>454</v>
      </c>
    </row>
    <row r="58" spans="1:33">
      <c r="A58">
        <v>57</v>
      </c>
      <c r="B58" t="s">
        <v>4</v>
      </c>
      <c r="C58" t="s">
        <v>351</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учёта'!$B$19,Расходка[[#This Row],[Наименование расходного материала]])),MAX($J$1:J57)+1,0)</f>
        <v>57</v>
      </c>
      <c r="K58" s="116">
        <f>IF(ISNUMBER(SEARCH('Карта учёта'!$B$17,Расходка[[#This Row],[Наименование расходного материала]])),MAX($K$1:K57)+1,0)</f>
        <v>0</v>
      </c>
      <c r="L58" s="116">
        <f>IF(ISNUMBER(SEARCH('Карта учёта'!$B$18,Расходка[[#This Row],[Наименование расходного материала]])),MAX($L$1:L57)+1,0)</f>
        <v>0</v>
      </c>
      <c r="M58" s="116">
        <f>IF(ISNUMBER(SEARCH('Карта учёта'!$B$20,Расходка[[#This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Launcher 6F AL 1</v>
      </c>
      <c r="W58" s="115" t="str">
        <f>IFERROR(INDEX(Расходка[Наименование расходного материала],MATCH(Расходка[[#This Row],[№]],Поиск_расходки[Индекс6],0)),"")</f>
        <v>Launcher 6F AL 1</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AL 1</v>
      </c>
      <c r="AA58" s="115" t="str">
        <f>IFERROR(INDEX(Расходка[Наименование расходного материала],MATCH(Расходка[[#This Row],[№]],Поиск_расходки[Индекс10],0)),"")</f>
        <v>Launcher 6F AL 1</v>
      </c>
      <c r="AB58" s="115" t="str">
        <f>IFERROR(INDEX(Расходка[Наименование расходного материала],MATCH(Расходка[[#This Row],[№]],Поиск_расходки[Индекс11],0)),"")</f>
        <v>Launcher 6F AL 1</v>
      </c>
      <c r="AC58" s="115" t="str">
        <f>IFERROR(INDEX(Расходка[Наименование расходного материала],MATCH(Расходка[[#This Row],[№]],Поиск_расходки[Индекс12],0)),"")</f>
        <v>Launcher 6F AL 1</v>
      </c>
      <c r="AD58" s="115" t="str">
        <f>IFERROR(INDEX(Расходка[Наименование расходного материала],MATCH(Расходка[[#This Row],[№]],Поиск_расходки[Индекс13],0)),"")</f>
        <v>Launcher 6F AL 1</v>
      </c>
      <c r="AF58" s="4" t="s">
        <v>6</v>
      </c>
      <c r="AG58" s="4" t="s">
        <v>455</v>
      </c>
    </row>
    <row r="59" spans="1:33">
      <c r="A59">
        <v>58</v>
      </c>
      <c r="B59" t="s">
        <v>4</v>
      </c>
      <c r="C59" t="s">
        <v>352</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учёта'!$B$19,Расходка[[#This Row],[Наименование расходного материала]])),MAX($J$1:J58)+1,0)</f>
        <v>58</v>
      </c>
      <c r="K59" s="116">
        <f>IF(ISNUMBER(SEARCH('Карта учёта'!$B$17,Расходка[[#This Row],[Наименование расходного материала]])),MAX($K$1:K58)+1,0)</f>
        <v>0</v>
      </c>
      <c r="L59" s="116">
        <f>IF(ISNUMBER(SEARCH('Карта учёта'!$B$18,Расходка[[#This Row],[Наименование расходного материала]])),MAX($L$1:L58)+1,0)</f>
        <v>0</v>
      </c>
      <c r="M59" s="116">
        <f>IF(ISNUMBER(SEARCH('Карта учёта'!$B$20,Расходка[[#This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Launcher 6F AL 2</v>
      </c>
      <c r="W59" s="115" t="str">
        <f>IFERROR(INDEX(Расходка[Наименование расходного материала],MATCH(Расходка[[#This Row],[№]],Поиск_расходки[Индекс6],0)),"")</f>
        <v>Launcher 6F AL 2</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AL 2</v>
      </c>
      <c r="AA59" s="115" t="str">
        <f>IFERROR(INDEX(Расходка[Наименование расходного материала],MATCH(Расходка[[#This Row],[№]],Поиск_расходки[Индекс10],0)),"")</f>
        <v>Launcher 6F AL 2</v>
      </c>
      <c r="AB59" s="115" t="str">
        <f>IFERROR(INDEX(Расходка[Наименование расходного материала],MATCH(Расходка[[#This Row],[№]],Поиск_расходки[Индекс11],0)),"")</f>
        <v>Launcher 6F AL 2</v>
      </c>
      <c r="AC59" s="115" t="str">
        <f>IFERROR(INDEX(Расходка[Наименование расходного материала],MATCH(Расходка[[#This Row],[№]],Поиск_расходки[Индекс12],0)),"")</f>
        <v>Launcher 6F AL 2</v>
      </c>
      <c r="AD59" s="115" t="str">
        <f>IFERROR(INDEX(Расходка[Наименование расходного материала],MATCH(Расходка[[#This Row],[№]],Поиск_расходки[Индекс13],0)),"")</f>
        <v>Launcher 6F AL 2</v>
      </c>
      <c r="AF59" s="4" t="s">
        <v>6</v>
      </c>
      <c r="AG59" s="4" t="s">
        <v>456</v>
      </c>
    </row>
    <row r="60" spans="1:33">
      <c r="A60">
        <v>59</v>
      </c>
      <c r="B60" t="s">
        <v>4</v>
      </c>
      <c r="C60" t="s">
        <v>514</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учёта'!$B$19,Расходка[[#This Row],[Наименование расходного материала]])),MAX($J$1:J59)+1,0)</f>
        <v>59</v>
      </c>
      <c r="K60" s="116">
        <f>IF(ISNUMBER(SEARCH('Карта учёта'!$B$17,Расходка[[#This Row],[Наименование расходного материала]])),MAX($K$1:K59)+1,0)</f>
        <v>0</v>
      </c>
      <c r="L60" s="116">
        <f>IF(ISNUMBER(SEARCH('Карта учёта'!$B$18,Расходка[[#This Row],[Наименование расходного материала]])),MAX($L$1:L59)+1,0)</f>
        <v>0</v>
      </c>
      <c r="M60" s="116">
        <f>IF(ISNUMBER(SEARCH('Карта учёта'!$B$20,Расходка[[#This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AL 3</v>
      </c>
      <c r="W60" s="115" t="str">
        <f>IFERROR(INDEX(Расходка[Наименование расходного материала],MATCH(Расходка[[#This Row],[№]],Поиск_расходки[Индекс6],0)),"")</f>
        <v>Launcher 6F AL 3</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AL 3</v>
      </c>
      <c r="AA60" s="115" t="str">
        <f>IFERROR(INDEX(Расходка[Наименование расходного материала],MATCH(Расходка[[#This Row],[№]],Поиск_расходки[Индекс10],0)),"")</f>
        <v>Launcher 6F AL 3</v>
      </c>
      <c r="AB60" s="115" t="str">
        <f>IFERROR(INDEX(Расходка[Наименование расходного материала],MATCH(Расходка[[#This Row],[№]],Поиск_расходки[Индекс11],0)),"")</f>
        <v>Launcher 6F AL 3</v>
      </c>
      <c r="AC60" s="115" t="str">
        <f>IFERROR(INDEX(Расходка[Наименование расходного материала],MATCH(Расходка[[#This Row],[№]],Поиск_расходки[Индекс12],0)),"")</f>
        <v>Launcher 6F AL 3</v>
      </c>
      <c r="AD60" s="115" t="str">
        <f>IFERROR(INDEX(Расходка[Наименование расходного материала],MATCH(Расходка[[#This Row],[№]],Поиск_расходки[Индекс13],0)),"")</f>
        <v>Launcher 6F AL 3</v>
      </c>
      <c r="AF60" s="4" t="s">
        <v>6</v>
      </c>
      <c r="AG60" s="4" t="s">
        <v>457</v>
      </c>
    </row>
    <row r="61" spans="1:33">
      <c r="A61">
        <v>60</v>
      </c>
      <c r="B61" t="s">
        <v>4</v>
      </c>
      <c r="C61" t="s">
        <v>326</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учёта'!$B$19,Расходка[[#This Row],[Наименование расходного материала]])),MAX($J$1:J60)+1,0)</f>
        <v>60</v>
      </c>
      <c r="K61" s="116">
        <f>IF(ISNUMBER(SEARCH('Карта учёта'!$B$17,Расходка[[#This Row],[Наименование расходного материала]])),MAX($K$1:K60)+1,0)</f>
        <v>0</v>
      </c>
      <c r="L61" s="116">
        <f>IF(ISNUMBER(SEARCH('Карта учёта'!$B$18,Расходка[[#This Row],[Наименование расходного материала]])),MAX($L$1:L60)+1,0)</f>
        <v>0</v>
      </c>
      <c r="M61" s="116">
        <f>IF(ISNUMBER(SEARCH('Карта учёта'!$B$20,Расходка[[#This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EBU 3.5</v>
      </c>
      <c r="W61" s="115" t="str">
        <f>IFERROR(INDEX(Расходка[Наименование расходного материала],MATCH(Расходка[[#This Row],[№]],Поиск_расходки[Индекс6],0)),"")</f>
        <v>Launcher 6F EBU 3.5</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EBU 3.5</v>
      </c>
      <c r="AA61" s="115" t="str">
        <f>IFERROR(INDEX(Расходка[Наименование расходного материала],MATCH(Расходка[[#This Row],[№]],Поиск_расходки[Индекс10],0)),"")</f>
        <v>Launcher 6F EBU 3.5</v>
      </c>
      <c r="AB61" s="115" t="str">
        <f>IFERROR(INDEX(Расходка[Наименование расходного материала],MATCH(Расходка[[#This Row],[№]],Поиск_расходки[Индекс11],0)),"")</f>
        <v>Launcher 6F EBU 3.5</v>
      </c>
      <c r="AC61" s="115" t="str">
        <f>IFERROR(INDEX(Расходка[Наименование расходного материала],MATCH(Расходка[[#This Row],[№]],Поиск_расходки[Индекс12],0)),"")</f>
        <v>Launcher 6F EBU 3.5</v>
      </c>
      <c r="AD61" s="115" t="str">
        <f>IFERROR(INDEX(Расходка[Наименование расходного материала],MATCH(Расходка[[#This Row],[№]],Поиск_расходки[Индекс13],0)),"")</f>
        <v>Launcher 6F EBU 3.5</v>
      </c>
      <c r="AF61" s="4" t="s">
        <v>6</v>
      </c>
      <c r="AG61" s="4" t="s">
        <v>418</v>
      </c>
    </row>
    <row r="62" spans="1:33">
      <c r="A62">
        <v>61</v>
      </c>
      <c r="B62" t="s">
        <v>4</v>
      </c>
      <c r="C62" t="s">
        <v>327</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учёта'!$B$19,Расходка[[#This Row],[Наименование расходного материала]])),MAX($J$1:J61)+1,0)</f>
        <v>61</v>
      </c>
      <c r="K62" s="116">
        <f>IF(ISNUMBER(SEARCH('Карта учёта'!$B$17,Расходка[[#This Row],[Наименование расходного материала]])),MAX($K$1:K61)+1,0)</f>
        <v>0</v>
      </c>
      <c r="L62" s="116">
        <f>IF(ISNUMBER(SEARCH('Карта учёта'!$B$18,Расходка[[#This Row],[Наименование расходного материала]])),MAX($L$1:L61)+1,0)</f>
        <v>0</v>
      </c>
      <c r="M62" s="116">
        <f>IF(ISNUMBER(SEARCH('Карта учёта'!$B$20,Расходка[[#This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EBU 4.0</v>
      </c>
      <c r="W62" s="115" t="str">
        <f>IFERROR(INDEX(Расходка[Наименование расходного материала],MATCH(Расходка[[#This Row],[№]],Поиск_расходки[Индекс6],0)),"")</f>
        <v>Launcher 6F EBU 4.0</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EBU 4.0</v>
      </c>
      <c r="AA62" s="115" t="str">
        <f>IFERROR(INDEX(Расходка[Наименование расходного материала],MATCH(Расходка[[#This Row],[№]],Поиск_расходки[Индекс10],0)),"")</f>
        <v>Launcher 6F EBU 4.0</v>
      </c>
      <c r="AB62" s="115" t="str">
        <f>IFERROR(INDEX(Расходка[Наименование расходного материала],MATCH(Расходка[[#This Row],[№]],Поиск_расходки[Индекс11],0)),"")</f>
        <v>Launcher 6F EBU 4.0</v>
      </c>
      <c r="AC62" s="115" t="str">
        <f>IFERROR(INDEX(Расходка[Наименование расходного материала],MATCH(Расходка[[#This Row],[№]],Поиск_расходки[Индекс12],0)),"")</f>
        <v>Launcher 6F EBU 4.0</v>
      </c>
      <c r="AD62" s="115" t="str">
        <f>IFERROR(INDEX(Расходка[Наименование расходного материала],MATCH(Расходка[[#This Row],[№]],Поиск_расходки[Индекс13],0)),"")</f>
        <v>Launcher 6F EBU 4.0</v>
      </c>
      <c r="AF62" s="4" t="s">
        <v>6</v>
      </c>
      <c r="AG62" s="4" t="s">
        <v>458</v>
      </c>
    </row>
    <row r="63" spans="1:33">
      <c r="A63">
        <v>62</v>
      </c>
      <c r="B63" t="s">
        <v>4</v>
      </c>
      <c r="C63" t="s">
        <v>328</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1</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учёта'!$B$19,Расходка[[#This Row],[Наименование расходного материала]])),MAX($J$1:J62)+1,0)</f>
        <v>62</v>
      </c>
      <c r="K63" s="116">
        <f>IF(ISNUMBER(SEARCH('Карта учёта'!$B$17,Расходка[[#This Row],[Наименование расходного материала]])),MAX($K$1:K62)+1,0)</f>
        <v>0</v>
      </c>
      <c r="L63" s="116">
        <f>IF(ISNUMBER(SEARCH('Карта учёта'!$B$18,Расходка[[#This Row],[Наименование расходного материала]])),MAX($L$1:L62)+1,0)</f>
        <v>0</v>
      </c>
      <c r="M63" s="116">
        <f>IF(ISNUMBER(SEARCH('Карта учёта'!$B$20,Расходка[[#This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JL 3.5</v>
      </c>
      <c r="W63" s="115" t="str">
        <f>IFERROR(INDEX(Расходка[Наименование расходного материала],MATCH(Расходка[[#This Row],[№]],Поиск_расходки[Индекс6],0)),"")</f>
        <v>Launcher 6F JL 3.5</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6F JL 3.5</v>
      </c>
      <c r="AA63" s="115" t="str">
        <f>IFERROR(INDEX(Расходка[Наименование расходного материала],MATCH(Расходка[[#This Row],[№]],Поиск_расходки[Индекс10],0)),"")</f>
        <v>Launcher 6F JL 3.5</v>
      </c>
      <c r="AB63" s="115" t="str">
        <f>IFERROR(INDEX(Расходка[Наименование расходного материала],MATCH(Расходка[[#This Row],[№]],Поиск_расходки[Индекс11],0)),"")</f>
        <v>Launcher 6F JL 3.5</v>
      </c>
      <c r="AC63" s="115" t="str">
        <f>IFERROR(INDEX(Расходка[Наименование расходного материала],MATCH(Расходка[[#This Row],[№]],Поиск_расходки[Индекс12],0)),"")</f>
        <v>Launcher 6F JL 3.5</v>
      </c>
      <c r="AD63" s="115" t="str">
        <f>IFERROR(INDEX(Расходка[Наименование расходного материала],MATCH(Расходка[[#This Row],[№]],Поиск_расходки[Индекс13],0)),"")</f>
        <v>Launcher 6F JL 3.5</v>
      </c>
      <c r="AF63" s="4" t="s">
        <v>6</v>
      </c>
      <c r="AG63" s="4" t="s">
        <v>459</v>
      </c>
    </row>
    <row r="64" spans="1:33">
      <c r="A64">
        <v>63</v>
      </c>
      <c r="B64" t="s">
        <v>4</v>
      </c>
      <c r="C64" t="s">
        <v>329</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учёта'!$B$19,Расходка[[#This Row],[Наименование расходного материала]])),MAX($J$1:J63)+1,0)</f>
        <v>63</v>
      </c>
      <c r="K64" s="116">
        <f>IF(ISNUMBER(SEARCH('Карта учёта'!$B$17,Расходка[[#This Row],[Наименование расходного материала]])),MAX($K$1:K63)+1,0)</f>
        <v>0</v>
      </c>
      <c r="L64" s="116">
        <f>IF(ISNUMBER(SEARCH('Карта учёта'!$B$18,Расходка[[#This Row],[Наименование расходного материала]])),MAX($L$1:L63)+1,0)</f>
        <v>0</v>
      </c>
      <c r="M64" s="116">
        <f>IF(ISNUMBER(SEARCH('Карта учёта'!$B$20,Расходка[[#This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6F JL 4.0</v>
      </c>
      <c r="W64" s="115" t="str">
        <f>IFERROR(INDEX(Расходка[Наименование расходного материала],MATCH(Расходка[[#This Row],[№]],Поиск_расходки[Индекс6],0)),"")</f>
        <v>Launcher 6F JL 4.0</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6F JL 4.0</v>
      </c>
      <c r="AA64" s="115" t="str">
        <f>IFERROR(INDEX(Расходка[Наименование расходного материала],MATCH(Расходка[[#This Row],[№]],Поиск_расходки[Индекс10],0)),"")</f>
        <v>Launcher 6F JL 4.0</v>
      </c>
      <c r="AB64" s="115" t="str">
        <f>IFERROR(INDEX(Расходка[Наименование расходного материала],MATCH(Расходка[[#This Row],[№]],Поиск_расходки[Индекс11],0)),"")</f>
        <v>Launcher 6F JL 4.0</v>
      </c>
      <c r="AC64" s="115" t="str">
        <f>IFERROR(INDEX(Расходка[Наименование расходного материала],MATCH(Расходка[[#This Row],[№]],Поиск_расходки[Индекс12],0)),"")</f>
        <v>Launcher 6F JL 4.0</v>
      </c>
      <c r="AD64" s="115" t="str">
        <f>IFERROR(INDEX(Расходка[Наименование расходного материала],MATCH(Расходка[[#This Row],[№]],Поиск_расходки[Индекс13],0)),"")</f>
        <v>Launcher 6F JL 4.0</v>
      </c>
      <c r="AF64" s="4" t="s">
        <v>6</v>
      </c>
      <c r="AG64" s="4" t="s">
        <v>460</v>
      </c>
    </row>
    <row r="65" spans="1:33">
      <c r="A65">
        <v>64</v>
      </c>
      <c r="B65" t="s">
        <v>4</v>
      </c>
      <c r="C65" t="s">
        <v>335</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учёта'!$B$19,Расходка[[#This Row],[Наименование расходного материала]])),MAX($J$1:J64)+1,0)</f>
        <v>64</v>
      </c>
      <c r="K65" s="116">
        <f>IF(ISNUMBER(SEARCH('Карта учёта'!$B$17,Расходка[[#This Row],[Наименование расходного материала]])),MAX($K$1:K64)+1,0)</f>
        <v>0</v>
      </c>
      <c r="L65" s="116">
        <f>IF(ISNUMBER(SEARCH('Карта учёта'!$B$18,Расходка[[#This Row],[Наименование расходного материала]])),MAX($L$1:L64)+1,0)</f>
        <v>0</v>
      </c>
      <c r="M65" s="116">
        <f>IF(ISNUMBER(SEARCH('Карта учёта'!$B$20,Расходка[[#This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6F JL 4.5</v>
      </c>
      <c r="W65" s="115" t="str">
        <f>IFERROR(INDEX(Расходка[Наименование расходного материала],MATCH(Расходка[[#This Row],[№]],Поиск_расходки[Индекс6],0)),"")</f>
        <v>Launcher 6F JL 4.5</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Launcher 6F JL 4.5</v>
      </c>
      <c r="AA65" s="115" t="str">
        <f>IFERROR(INDEX(Расходка[Наименование расходного материала],MATCH(Расходка[[#This Row],[№]],Поиск_расходки[Индекс10],0)),"")</f>
        <v>Launcher 6F JL 4.5</v>
      </c>
      <c r="AB65" s="115" t="str">
        <f>IFERROR(INDEX(Расходка[Наименование расходного материала],MATCH(Расходка[[#This Row],[№]],Поиск_расходки[Индекс11],0)),"")</f>
        <v>Launcher 6F JL 4.5</v>
      </c>
      <c r="AC65" s="115" t="str">
        <f>IFERROR(INDEX(Расходка[Наименование расходного материала],MATCH(Расходка[[#This Row],[№]],Поиск_расходки[Индекс12],0)),"")</f>
        <v>Launcher 6F JL 4.5</v>
      </c>
      <c r="AD65" s="115" t="str">
        <f>IFERROR(INDEX(Расходка[Наименование расходного материала],MATCH(Расходка[[#This Row],[№]],Поиск_расходки[Индекс13],0)),"")</f>
        <v>Launcher 6F JL 4.5</v>
      </c>
      <c r="AF65" s="4" t="s">
        <v>6</v>
      </c>
      <c r="AG65" s="4" t="s">
        <v>461</v>
      </c>
    </row>
    <row r="66" spans="1:33">
      <c r="A66">
        <v>65</v>
      </c>
      <c r="B66" t="s">
        <v>4</v>
      </c>
      <c r="C66" t="s">
        <v>330</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учёта'!$B$19,Расходка[[#This Row],[Наименование расходного материала]])),MAX($J$1:J65)+1,0)</f>
        <v>65</v>
      </c>
      <c r="K66" s="116">
        <f>IF(ISNUMBER(SEARCH('Карта учёта'!$B$17,Расходка[[#This Row],[Наименование расходного материала]])),MAX($K$1:K65)+1,0)</f>
        <v>0</v>
      </c>
      <c r="L66" s="116">
        <f>IF(ISNUMBER(SEARCH('Карта учёта'!$B$18,Расходка[[#This Row],[Наименование расходного материала]])),MAX($L$1:L65)+1,0)</f>
        <v>0</v>
      </c>
      <c r="M66" s="116">
        <f>IF(ISNUMBER(SEARCH('Карта учёта'!$B$20,Расходка[[#This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Launcher 6F JR 3.5</v>
      </c>
      <c r="W66" s="115" t="str">
        <f>IFERROR(INDEX(Расходка[Наименование расходного материала],MATCH(Расходка[[#This Row],[№]],Поиск_расходки[Индекс6],0)),"")</f>
        <v>Launcher 6F JR 3.5</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Launcher 6F JR 3.5</v>
      </c>
      <c r="AA66" s="115" t="str">
        <f>IFERROR(INDEX(Расходка[Наименование расходного материала],MATCH(Расходка[[#This Row],[№]],Поиск_расходки[Индекс10],0)),"")</f>
        <v>Launcher 6F JR 3.5</v>
      </c>
      <c r="AB66" s="115" t="str">
        <f>IFERROR(INDEX(Расходка[Наименование расходного материала],MATCH(Расходка[[#This Row],[№]],Поиск_расходки[Индекс11],0)),"")</f>
        <v>Launcher 6F JR 3.5</v>
      </c>
      <c r="AC66" s="115" t="str">
        <f>IFERROR(INDEX(Расходка[Наименование расходного материала],MATCH(Расходка[[#This Row],[№]],Поиск_расходки[Индекс12],0)),"")</f>
        <v>Launcher 6F JR 3.5</v>
      </c>
      <c r="AD66" s="115" t="str">
        <f>IFERROR(INDEX(Расходка[Наименование расходного материала],MATCH(Расходка[[#This Row],[№]],Поиск_расходки[Индекс13],0)),"")</f>
        <v>Launcher 6F JR 3.5</v>
      </c>
      <c r="AF66" s="4" t="s">
        <v>6</v>
      </c>
      <c r="AG66" s="4" t="s">
        <v>462</v>
      </c>
    </row>
    <row r="67" spans="1:33">
      <c r="A67">
        <v>66</v>
      </c>
      <c r="B67" t="s">
        <v>4</v>
      </c>
      <c r="C67" t="s">
        <v>331</v>
      </c>
      <c r="E67" s="116">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66</v>
      </c>
      <c r="J67" s="199">
        <f>IF(ISNUMBER(SEARCH('Карта учёта'!$B$19,Расходка[[#This Row],[Наименование расходного материала]])),MAX($J$1:J66)+1,0)</f>
        <v>66</v>
      </c>
      <c r="K67" s="199">
        <f>IF(ISNUMBER(SEARCH('Карта учёта'!$B$17,Расходка[[#This Row],[Наименование расходного материала]])),MAX($K$1:K66)+1,0)</f>
        <v>0</v>
      </c>
      <c r="L67" s="199">
        <f>IF(ISNUMBER(SEARCH('Карта учёта'!$B$18,Расходка[[#This Row],[Наименование расходного материала]])),MAX($L$1:L66)+1,0)</f>
        <v>0</v>
      </c>
      <c r="M67" s="199">
        <f>IF(ISNUMBER(SEARCH('Карта учёта'!$B$20,Расходка[[#This Row],[Наименование расходного материала]])),MAX($M$1:M66)+1,0)</f>
        <v>66</v>
      </c>
      <c r="N67" s="199">
        <f>IF(ISNUMBER(SEARCH('Карта учёта'!$B$22,Расходка[[#This Row],[Наименование расходного материала]])),MAX($N$1:N66)+1,0)</f>
        <v>66</v>
      </c>
      <c r="O67" s="199">
        <f>IF(ISNUMBER(SEARCH('Карта учёта'!$B$23,Расходка[[#This Row],[Наименование расходного материала]])),MAX($O$1:O66)+1,0)</f>
        <v>66</v>
      </c>
      <c r="P67" s="116">
        <f>IF(ISNUMBER(SEARCH('Карта учёта'!$B$24,Расходка[[#This Row],[Наименование расходного материала]])),MAX($P$1:P66)+1,0)</f>
        <v>66</v>
      </c>
      <c r="Q67" s="199">
        <f>IF(ISNUMBER(SEARCH('Карта учёта'!$B$25,Расходка[[#This Row],[Наименование расходного материала]])),MAX($Q$1:Q66)+1,0)</f>
        <v>66</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Launcher 6F JR 4.0</v>
      </c>
      <c r="W67" s="200" t="str">
        <f>IFERROR(INDEX(Расходка[Наименование расходного материала],MATCH(Расходка[[#This Row],[№]],Поиск_расходки[Индекс6],0)),"")</f>
        <v>Launcher 6F JR 4.0</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Launcher 6F JR 4.0</v>
      </c>
      <c r="AA67" s="200" t="str">
        <f>IFERROR(INDEX(Расходка[Наименование расходного материала],MATCH(Расходка[[#This Row],[№]],Поиск_расходки[Индекс10],0)),"")</f>
        <v>Launcher 6F JR 4.0</v>
      </c>
      <c r="AB67" s="200" t="str">
        <f>IFERROR(INDEX(Расходка[Наименование расходного материала],MATCH(Расходка[[#This Row],[№]],Поиск_расходки[Индекс11],0)),"")</f>
        <v>Launcher 6F JR 4.0</v>
      </c>
      <c r="AC67" s="200" t="str">
        <f>IFERROR(INDEX(Расходка[Наименование расходного материала],MATCH(Расходка[[#This Row],[№]],Поиск_расходки[Индекс12],0)),"")</f>
        <v>Launcher 6F JR 4.0</v>
      </c>
      <c r="AD67" s="200" t="str">
        <f>IFERROR(INDEX(Расходка[Наименование расходного материала],MATCH(Расходка[[#This Row],[№]],Поиск_расходки[Индекс13],0)),"")</f>
        <v>Launcher 6F JR 4.0</v>
      </c>
      <c r="AF67" s="4" t="s">
        <v>6</v>
      </c>
      <c r="AG67" s="4" t="s">
        <v>463</v>
      </c>
    </row>
    <row r="68" spans="1:33">
      <c r="A68">
        <v>67</v>
      </c>
      <c r="B68" t="s">
        <v>4</v>
      </c>
      <c r="C68" t="s">
        <v>341</v>
      </c>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67</v>
      </c>
      <c r="J68" s="199">
        <f>IF(ISNUMBER(SEARCH('Карта учёта'!$B$19,Расходка[[#This Row],[Наименование расходного материала]])),MAX($J$1:J67)+1,0)</f>
        <v>67</v>
      </c>
      <c r="K68" s="199">
        <f>IF(ISNUMBER(SEARCH('Карта учёта'!$B$17,Расходка[[#This Row],[Наименование расходного материала]])),MAX($K$1:K67)+1,0)</f>
        <v>0</v>
      </c>
      <c r="L68" s="199">
        <f>IF(ISNUMBER(SEARCH('Карта учёта'!$B$18,Расходка[[#This Row],[Наименование расходного материала]])),MAX($L$1:L67)+1,0)</f>
        <v>0</v>
      </c>
      <c r="M68" s="199">
        <f>IF(ISNUMBER(SEARCH('Карта учёта'!$B$20,Расходка[[#This Row],[Наименование расходного материала]])),MAX($M$1:M67)+1,0)</f>
        <v>67</v>
      </c>
      <c r="N68" s="199">
        <f>IF(ISNUMBER(SEARCH('Карта учёта'!$B$22,Расходка[[#This Row],[Наименование расходного материала]])),MAX($N$1:N67)+1,0)</f>
        <v>67</v>
      </c>
      <c r="O68" s="199">
        <f>IF(ISNUMBER(SEARCH('Карта учёта'!$B$23,Расходка[[#This Row],[Наименование расходного материала]])),MAX($O$1:O67)+1,0)</f>
        <v>67</v>
      </c>
      <c r="P68" s="199">
        <f>IF(ISNUMBER(SEARCH('Карта учёта'!$B$24,Расходка[[#This Row],[Наименование расходного материала]])),MAX($P$1:P67)+1,0)</f>
        <v>67</v>
      </c>
      <c r="Q68" s="199">
        <f>IF(ISNUMBER(SEARCH('Карта учёта'!$B$25,Расходка[[#This Row],[Наименование расходного материала]])),MAX($Q$1:Q67)+1,0)</f>
        <v>67</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Launcher 7F JL 3.5</v>
      </c>
      <c r="W68" s="200" t="str">
        <f>IFERROR(INDEX(Расходка[Наименование расходного материала],MATCH(Расходка[[#This Row],[№]],Поиск_расходки[Индекс6],0)),"")</f>
        <v>Launcher 7F JL 3.5</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Launcher 7F JL 3.5</v>
      </c>
      <c r="AA68" s="200" t="str">
        <f>IFERROR(INDEX(Расходка[Наименование расходного материала],MATCH(Расходка[[#This Row],[№]],Поиск_расходки[Индекс10],0)),"")</f>
        <v>Launcher 7F JL 3.5</v>
      </c>
      <c r="AB68" s="200" t="str">
        <f>IFERROR(INDEX(Расходка[Наименование расходного материала],MATCH(Расходка[[#This Row],[№]],Поиск_расходки[Индекс11],0)),"")</f>
        <v>Launcher 7F JL 3.5</v>
      </c>
      <c r="AC68" s="200" t="str">
        <f>IFERROR(INDEX(Расходка[Наименование расходного материала],MATCH(Расходка[[#This Row],[№]],Поиск_расходки[Индекс12],0)),"")</f>
        <v>Launcher 7F JL 3.5</v>
      </c>
      <c r="AD68" s="200" t="str">
        <f>IFERROR(INDEX(Расходка[Наименование расходного материала],MATCH(Расходка[[#This Row],[№]],Поиск_расходки[Индекс13],0)),"")</f>
        <v>Launcher 7F JL 3.5</v>
      </c>
      <c r="AF68" s="4" t="s">
        <v>6</v>
      </c>
      <c r="AG68" s="4" t="s">
        <v>464</v>
      </c>
    </row>
    <row r="69" spans="1:33">
      <c r="A69">
        <v>68</v>
      </c>
      <c r="B69" t="s">
        <v>4</v>
      </c>
      <c r="C69" t="s">
        <v>340</v>
      </c>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68</v>
      </c>
      <c r="J69" s="199">
        <f>IF(ISNUMBER(SEARCH('Карта учёта'!$B$19,Расходка[[#This Row],[Наименование расходного материала]])),MAX($J$1:J68)+1,0)</f>
        <v>68</v>
      </c>
      <c r="K69" s="199">
        <f>IF(ISNUMBER(SEARCH('Карта учёта'!$B$17,Расходка[[#This Row],[Наименование расходного материала]])),MAX($K$1:K68)+1,0)</f>
        <v>0</v>
      </c>
      <c r="L69" s="199">
        <f>IF(ISNUMBER(SEARCH('Карта учёта'!$B$18,Расходка[[#This Row],[Наименование расходного материала]])),MAX($L$1:L68)+1,0)</f>
        <v>0</v>
      </c>
      <c r="M69" s="199">
        <f>IF(ISNUMBER(SEARCH('Карта учёта'!$B$20,Расходка[[#This Row],[Наименование расходного материала]])),MAX($M$1:M68)+1,0)</f>
        <v>68</v>
      </c>
      <c r="N69" s="199">
        <f>IF(ISNUMBER(SEARCH('Карта учёта'!$B$22,Расходка[[#This Row],[Наименование расходного материала]])),MAX($N$1:N68)+1,0)</f>
        <v>68</v>
      </c>
      <c r="O69" s="199">
        <f>IF(ISNUMBER(SEARCH('Карта учёта'!$B$23,Расходка[[#This Row],[Наименование расходного материала]])),MAX($O$1:O68)+1,0)</f>
        <v>68</v>
      </c>
      <c r="P69" s="199">
        <f>IF(ISNUMBER(SEARCH('Карта учёта'!$B$24,Расходка[[#This Row],[Наименование расходного материала]])),MAX($P$1:P68)+1,0)</f>
        <v>68</v>
      </c>
      <c r="Q69" s="199">
        <f>IF(ISNUMBER(SEARCH('Карта учёта'!$B$25,Расходка[[#This Row],[Наименование расходного материала]])),MAX($Q$1:Q68)+1,0)</f>
        <v>68</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Launcher 7F JL 4.0</v>
      </c>
      <c r="W69" s="200" t="str">
        <f>IFERROR(INDEX(Расходка[Наименование расходного материала],MATCH(Расходка[[#This Row],[№]],Поиск_расходки[Индекс6],0)),"")</f>
        <v>Launcher 7F JL 4.0</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Launcher 7F JL 4.0</v>
      </c>
      <c r="AA69" s="200" t="str">
        <f>IFERROR(INDEX(Расходка[Наименование расходного материала],MATCH(Расходка[[#This Row],[№]],Поиск_расходки[Индекс10],0)),"")</f>
        <v>Launcher 7F JL 4.0</v>
      </c>
      <c r="AB69" s="200" t="str">
        <f>IFERROR(INDEX(Расходка[Наименование расходного материала],MATCH(Расходка[[#This Row],[№]],Поиск_расходки[Индекс11],0)),"")</f>
        <v>Launcher 7F JL 4.0</v>
      </c>
      <c r="AC69" s="200" t="str">
        <f>IFERROR(INDEX(Расходка[Наименование расходного материала],MATCH(Расходка[[#This Row],[№]],Поиск_расходки[Индекс12],0)),"")</f>
        <v>Launcher 7F JL 4.0</v>
      </c>
      <c r="AD69" s="200" t="str">
        <f>IFERROR(INDEX(Расходка[Наименование расходного материала],MATCH(Расходка[[#This Row],[№]],Поиск_расходки[Индекс13],0)),"")</f>
        <v>Launcher 7F JL 4.0</v>
      </c>
      <c r="AF69" s="4" t="s">
        <v>6</v>
      </c>
      <c r="AG69" s="4" t="s">
        <v>465</v>
      </c>
    </row>
    <row r="70" spans="1:33">
      <c r="A70">
        <v>69</v>
      </c>
      <c r="B70" t="s">
        <v>301</v>
      </c>
      <c r="C70" s="1" t="s">
        <v>332</v>
      </c>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69</v>
      </c>
      <c r="J70" s="199">
        <f>IF(ISNUMBER(SEARCH('Карта учёта'!$B$19,Расходка[[#This Row],[Наименование расходного материала]])),MAX($J$1:J69)+1,0)</f>
        <v>69</v>
      </c>
      <c r="K70" s="199">
        <f>IF(ISNUMBER(SEARCH('Карта учёта'!$B$17,Расходка[[#This Row],[Наименование расходного материала]])),MAX($K$1:K69)+1,0)</f>
        <v>0</v>
      </c>
      <c r="L70" s="199">
        <f>IF(ISNUMBER(SEARCH('Карта учёта'!$B$18,Расходка[[#This Row],[Наименование расходного материала]])),MAX($L$1:L69)+1,0)</f>
        <v>0</v>
      </c>
      <c r="M70" s="199">
        <f>IF(ISNUMBER(SEARCH('Карта учёта'!$B$20,Расходка[[#This Row],[Наименование расходного материала]])),MAX($M$1:M69)+1,0)</f>
        <v>69</v>
      </c>
      <c r="N70" s="199">
        <f>IF(ISNUMBER(SEARCH('Карта учёта'!$B$22,Расходка[[#This Row],[Наименование расходного материала]])),MAX($N$1:N69)+1,0)</f>
        <v>69</v>
      </c>
      <c r="O70" s="199">
        <f>IF(ISNUMBER(SEARCH('Карта учёта'!$B$23,Расходка[[#This Row],[Наименование расходного материала]])),MAX($O$1:O69)+1,0)</f>
        <v>69</v>
      </c>
      <c r="P70" s="199">
        <f>IF(ISNUMBER(SEARCH('Карта учёта'!$B$24,Расходка[[#This Row],[Наименование расходного материала]])),MAX($P$1:P69)+1,0)</f>
        <v>69</v>
      </c>
      <c r="Q70" s="199">
        <f>IF(ISNUMBER(SEARCH('Карта учёта'!$B$25,Расходка[[#This Row],[Наименование расходного материала]])),MAX($Q$1:Q69)+1,0)</f>
        <v>69</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Angio-Seal™ VIP</v>
      </c>
      <c r="W70" s="200" t="str">
        <f>IFERROR(INDEX(Расходка[Наименование расходного материала],MATCH(Расходка[[#This Row],[№]],Поиск_расходки[Индекс6],0)),"")</f>
        <v>Angio-Seal™ VIP</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Angio-Seal™ VIP</v>
      </c>
      <c r="AA70" s="200" t="str">
        <f>IFERROR(INDEX(Расходка[Наименование расходного материала],MATCH(Расходка[[#This Row],[№]],Поиск_расходки[Индекс10],0)),"")</f>
        <v>Angio-Seal™ VIP</v>
      </c>
      <c r="AB70" s="200" t="str">
        <f>IFERROR(INDEX(Расходка[Наименование расходного материала],MATCH(Расходка[[#This Row],[№]],Поиск_расходки[Индекс11],0)),"")</f>
        <v>Angio-Seal™ VIP</v>
      </c>
      <c r="AC70" s="200" t="str">
        <f>IFERROR(INDEX(Расходка[Наименование расходного материала],MATCH(Расходка[[#This Row],[№]],Поиск_расходки[Индекс12],0)),"")</f>
        <v>Angio-Seal™ VIP</v>
      </c>
      <c r="AD70" s="200" t="str">
        <f>IFERROR(INDEX(Расходка[Наименование расходного материала],MATCH(Расходка[[#This Row],[№]],Поиск_расходки[Индекс13],0)),"")</f>
        <v>Angio-Seal™ VIP</v>
      </c>
      <c r="AF70" s="4" t="s">
        <v>6</v>
      </c>
      <c r="AG70" s="4" t="s">
        <v>466</v>
      </c>
    </row>
    <row r="71" spans="1:33">
      <c r="A71">
        <v>70</v>
      </c>
      <c r="E71" s="199">
        <f>IF(ISNUMBER(SEARCH('Карта учёта'!$B$13,Расходка[[#This Row],[Наименование расходного материала]])),MAX($E$1:E70)+1,0)</f>
        <v>0</v>
      </c>
      <c r="F71" s="199">
        <f>IF(ISNUMBER(SEARCH('Карта учёта'!$B$14,Расходка[[#This Row],[Наименование расходного материала]])),MAX($F$1:F70)+1,0)</f>
        <v>0</v>
      </c>
      <c r="G71" s="199">
        <f>IF(ISNUMBER(SEARCH('Карта учёта'!$B$15,Расходка[[#This Row],[Наименование расходного материала]])),MAX($G$1:G70)+1,0)</f>
        <v>0</v>
      </c>
      <c r="H71" s="199">
        <f>IF(ISNUMBER(SEARCH('Карта учёта'!$B$16,Расходка[[#This Row],[Наименование расходного материала]])),MAX($H$1:H70)+1,0)</f>
        <v>0</v>
      </c>
      <c r="I71" s="199">
        <f>IF(ISNUMBER(SEARCH('Карта учёта'!$B$21,Расходка[[#This Row],[Наименование расходного материала]])),MAX($I$1:I70)+1,0)</f>
        <v>0</v>
      </c>
      <c r="J71" s="199">
        <f>IF(ISNUMBER(SEARCH('Карта учёта'!$B$19,Расходка[[#This Row],[Наименование расходного материала]])),MAX($J$1:J70)+1,0)</f>
        <v>0</v>
      </c>
      <c r="K71" s="199">
        <f>IF(ISNUMBER(SEARCH('Карта учёта'!$B$17,Расходка[[#This Row],[Наименование расходного материала]])),MAX($K$1:K70)+1,0)</f>
        <v>0</v>
      </c>
      <c r="L71" s="199">
        <f>IF(ISNUMBER(SEARCH('Карта учёта'!$B$18,Расходка[[#This Row],[Наименование расходного материала]])),MAX($L$1:L70)+1,0)</f>
        <v>0</v>
      </c>
      <c r="M71" s="199">
        <f>IF(ISNUMBER(SEARCH('Карта учёта'!$B$20,Расходка[[#This Row],[Наименование расходного материала]])),MAX($M$1:M70)+1,0)</f>
        <v>0</v>
      </c>
      <c r="N71" s="199">
        <f>IF(ISNUMBER(SEARCH('Карта учёта'!$B$22,Расходка[[#This Row],[Наименование расходного материала]])),MAX($N$1:N70)+1,0)</f>
        <v>0</v>
      </c>
      <c r="O71" s="199">
        <f>IF(ISNUMBER(SEARCH('Карта учёта'!$B$23,Расходка[[#This Row],[Наименование расходного материала]])),MAX($O$1:O70)+1,0)</f>
        <v>0</v>
      </c>
      <c r="P71" s="199">
        <f>IF(ISNUMBER(SEARCH('Карта учёта'!$B$24,Расходка[[#This Row],[Наименование расходного материала]])),MAX($P$1:P70)+1,0)</f>
        <v>0</v>
      </c>
      <c r="Q71" s="199">
        <f>IF(ISNUMBER(SEARCH('Карта учёта'!$B$25,Расходка[[#This Row],[Наименование расходного материала]])),MAX($Q$1:Q70)+1,0)</f>
        <v>0</v>
      </c>
      <c r="R71" s="200" t="str">
        <f>IFERROR(INDEX(Расходка[Наименование расходного материала],MATCH(Расходка[[#This Row],[№]],Поиск_расходки[Индекс1],0)),"")</f>
        <v/>
      </c>
      <c r="S71" s="200" t="str">
        <f>IFERROR(INDEX(Расходка[Наименование расходного материала],MATCH(Расходка[[#This Row],[№]],Поиск_расходки[Индекс2],0)),"")</f>
        <v/>
      </c>
      <c r="T71" s="200" t="str">
        <f>IFERROR(INDEX(Расходка[Наименование расходного материала],MATCH(Расходка[[#This Row],[№]],Поиск_расходки[Индекс3],0)),"")</f>
        <v/>
      </c>
      <c r="U71" s="200" t="str">
        <f>IFERROR(INDEX(Расходка[Наименование расходного материала],MATCH(Расходка[[#This Row],[№]],Поиск_расходки[Индекс4],0)),"")</f>
        <v/>
      </c>
      <c r="V71" s="200" t="str">
        <f>IFERROR(INDEX(Расходка[Наименование расходного материала],MATCH(Расходка[[#This Row],[№]],Поиск_расходки[Индекс5],0)),"")</f>
        <v/>
      </c>
      <c r="W71" s="200" t="str">
        <f>IFERROR(INDEX(Расходка[Наименование расходного материала],MATCH(Расходка[[#This Row],[№]],Поиск_расходки[Индекс6],0)),"")</f>
        <v/>
      </c>
      <c r="X71" s="200" t="str">
        <f>IFERROR(INDEX(Расходка[Наименование расходного материала],MATCH(Расходка[[#This Row],[№]],Поиск_расходки[Индекс7],0)),"")</f>
        <v/>
      </c>
      <c r="Y71" s="200" t="str">
        <f>IFERROR(INDEX(Расходка[Наименование расходного материала],MATCH(Расходка[[#This Row],[№]],Поиск_расходки[Индекс8],0)),"")</f>
        <v/>
      </c>
      <c r="Z71" s="200" t="str">
        <f>IFERROR(INDEX(Расходка[Наименование расходного материала],MATCH(Расходка[[#This Row],[№]],Поиск_расходки[Индекс9],0)),"")</f>
        <v/>
      </c>
      <c r="AA71" s="200" t="str">
        <f>IFERROR(INDEX(Расходка[Наименование расходного материала],MATCH(Расходка[[#This Row],[№]],Поиск_расходки[Индекс10],0)),"")</f>
        <v/>
      </c>
      <c r="AB71" s="200" t="str">
        <f>IFERROR(INDEX(Расходка[Наименование расходного материала],MATCH(Расходка[[#This Row],[№]],Поиск_расходки[Индекс11],0)),"")</f>
        <v/>
      </c>
      <c r="AC71" s="200" t="str">
        <f>IFERROR(INDEX(Расходка[Наименование расходного материала],MATCH(Расходка[[#This Row],[№]],Поиск_расходки[Индекс12],0)),"")</f>
        <v/>
      </c>
      <c r="AD71" s="200" t="str">
        <f>IFERROR(INDEX(Расходка[Наименование расходного материала],MATCH(Расходка[[#This Row],[№]],Поиск_расходки[Индекс13],0)),"")</f>
        <v/>
      </c>
      <c r="AF71" s="4" t="s">
        <v>6</v>
      </c>
      <c r="AG71" s="4" t="s">
        <v>421</v>
      </c>
    </row>
    <row r="72" spans="1:33">
      <c r="A72">
        <v>71</v>
      </c>
      <c r="E72" s="199">
        <f>IF(ISNUMBER(SEARCH('Карта учёта'!$B$13,Расходка[[#This Row],[Наименование расходного материала]])),MAX($E$1:E71)+1,0)</f>
        <v>0</v>
      </c>
      <c r="F72" s="199">
        <f>IF(ISNUMBER(SEARCH('Карта учёта'!$B$14,Расходка[[#This Row],[Наименование расходного материала]])),MAX($F$1:F71)+1,0)</f>
        <v>0</v>
      </c>
      <c r="G72" s="199">
        <f>IF(ISNUMBER(SEARCH('Карта учёта'!$B$15,Расходка[[#This Row],[Наименование расходного материала]])),MAX($G$1:G71)+1,0)</f>
        <v>0</v>
      </c>
      <c r="H72" s="199">
        <f>IF(ISNUMBER(SEARCH('Карта учёта'!$B$16,Расходка[[#This Row],[Наименование расходного материала]])),MAX($H$1:H71)+1,0)</f>
        <v>0</v>
      </c>
      <c r="I72" s="199">
        <f>IF(ISNUMBER(SEARCH('Карта учёта'!$B$21,Расходка[[#This Row],[Наименование расходного материала]])),MAX($I$1:I71)+1,0)</f>
        <v>0</v>
      </c>
      <c r="J72" s="199">
        <f>IF(ISNUMBER(SEARCH('Карта учёта'!$B$19,Расходка[[#This Row],[Наименование расходного материала]])),MAX($J$1:J71)+1,0)</f>
        <v>0</v>
      </c>
      <c r="K72" s="199">
        <f>IF(ISNUMBER(SEARCH('Карта учёта'!$B$17,Расходка[[#This Row],[Наименование расходного материала]])),MAX($K$1:K71)+1,0)</f>
        <v>0</v>
      </c>
      <c r="L72" s="199">
        <f>IF(ISNUMBER(SEARCH('Карта учёта'!$B$18,Расходка[[#This Row],[Наименование расходного материала]])),MAX($L$1:L71)+1,0)</f>
        <v>0</v>
      </c>
      <c r="M72" s="199">
        <f>IF(ISNUMBER(SEARCH('Карта учёта'!$B$20,Расходка[[#This Row],[Наименование расходного материала]])),MAX($M$1:M71)+1,0)</f>
        <v>0</v>
      </c>
      <c r="N72" s="199">
        <f>IF(ISNUMBER(SEARCH('Карта учёта'!$B$22,Расходка[[#This Row],[Наименование расходного материала]])),MAX($N$1:N71)+1,0)</f>
        <v>0</v>
      </c>
      <c r="O72" s="199">
        <f>IF(ISNUMBER(SEARCH('Карта учёта'!$B$23,Расходка[[#This Row],[Наименование расходного материала]])),MAX($O$1:O71)+1,0)</f>
        <v>0</v>
      </c>
      <c r="P72" s="199">
        <f>IF(ISNUMBER(SEARCH('Карта учёта'!$B$24,Расходка[[#This Row],[Наименование расходного материала]])),MAX($P$1:P71)+1,0)</f>
        <v>0</v>
      </c>
      <c r="Q72" s="199">
        <f>IF(ISNUMBER(SEARCH('Карта учёта'!$B$25,Расходка[[#This Row],[Наименование расходного материала]])),MAX($Q$1:Q71)+1,0)</f>
        <v>0</v>
      </c>
      <c r="R72" s="200" t="str">
        <f>IFERROR(INDEX(Расходка[Наименование расходного материала],MATCH(Расходка[[#This Row],[№]],Поиск_расходки[Индекс1],0)),"")</f>
        <v/>
      </c>
      <c r="S72" s="200" t="str">
        <f>IFERROR(INDEX(Расходка[Наименование расходного материала],MATCH(Расходка[[#This Row],[№]],Поиск_расходки[Индекс2],0)),"")</f>
        <v/>
      </c>
      <c r="T72" s="200" t="str">
        <f>IFERROR(INDEX(Расходка[Наименование расходного материала],MATCH(Расходка[[#This Row],[№]],Поиск_расходки[Индекс3],0)),"")</f>
        <v/>
      </c>
      <c r="U72" s="200" t="str">
        <f>IFERROR(INDEX(Расходка[Наименование расходного материала],MATCH(Расходка[[#This Row],[№]],Поиск_расходки[Индекс4],0)),"")</f>
        <v/>
      </c>
      <c r="V72" s="200" t="str">
        <f>IFERROR(INDEX(Расходка[Наименование расходного материала],MATCH(Расходка[[#This Row],[№]],Поиск_расходки[Индекс5],0)),"")</f>
        <v/>
      </c>
      <c r="W72" s="200" t="str">
        <f>IFERROR(INDEX(Расходка[Наименование расходного материала],MATCH(Расходка[[#This Row],[№]],Поиск_расходки[Индекс6],0)),"")</f>
        <v/>
      </c>
      <c r="X72" s="200" t="str">
        <f>IFERROR(INDEX(Расходка[Наименование расходного материала],MATCH(Расходка[[#This Row],[№]],Поиск_расходки[Индекс7],0)),"")</f>
        <v/>
      </c>
      <c r="Y72" s="200" t="str">
        <f>IFERROR(INDEX(Расходка[Наименование расходного материала],MATCH(Расходка[[#This Row],[№]],Поиск_расходки[Индекс8],0)),"")</f>
        <v/>
      </c>
      <c r="Z72" s="200" t="str">
        <f>IFERROR(INDEX(Расходка[Наименование расходного материала],MATCH(Расходка[[#This Row],[№]],Поиск_расходки[Индекс9],0)),"")</f>
        <v/>
      </c>
      <c r="AA72" s="200" t="str">
        <f>IFERROR(INDEX(Расходка[Наименование расходного материала],MATCH(Расходка[[#This Row],[№]],Поиск_расходки[Индекс10],0)),"")</f>
        <v/>
      </c>
      <c r="AB72" s="200" t="str">
        <f>IFERROR(INDEX(Расходка[Наименование расходного материала],MATCH(Расходка[[#This Row],[№]],Поиск_расходки[Индекс11],0)),"")</f>
        <v/>
      </c>
      <c r="AC72" s="200" t="str">
        <f>IFERROR(INDEX(Расходка[Наименование расходного материала],MATCH(Расходка[[#This Row],[№]],Поиск_расходки[Индекс12],0)),"")</f>
        <v/>
      </c>
      <c r="AD72" s="200" t="str">
        <f>IFERROR(INDEX(Расходка[Наименование расходного материала],MATCH(Расходка[[#This Row],[№]],Поиск_расходки[Индекс13],0)),"")</f>
        <v/>
      </c>
      <c r="AF72" s="4" t="s">
        <v>6</v>
      </c>
      <c r="AG72" s="4" t="s">
        <v>467</v>
      </c>
    </row>
    <row r="73" spans="1:33">
      <c r="A73">
        <v>72</v>
      </c>
      <c r="E73" s="199">
        <f>IF(ISNUMBER(SEARCH('Карта учёта'!$B$13,Расходка[[#This Row],[Наименование расходного материала]])),MAX($E$1:E72)+1,0)</f>
        <v>0</v>
      </c>
      <c r="F73" s="199">
        <f>IF(ISNUMBER(SEARCH('Карта учёта'!$B$14,Расходка[[#This Row],[Наименование расходного материала]])),MAX($F$1:F72)+1,0)</f>
        <v>0</v>
      </c>
      <c r="G73" s="199">
        <f>IF(ISNUMBER(SEARCH('Карта учёта'!$B$15,Расходка[[#This Row],[Наименование расходного материала]])),MAX($G$1:G72)+1,0)</f>
        <v>0</v>
      </c>
      <c r="H73" s="199">
        <f>IF(ISNUMBER(SEARCH('Карта учёта'!$B$16,Расходка[[#This Row],[Наименование расходного материала]])),MAX($H$1:H72)+1,0)</f>
        <v>0</v>
      </c>
      <c r="I73" s="199">
        <f>IF(ISNUMBER(SEARCH('Карта учёта'!$B$21,Расходка[[#This Row],[Наименование расходного материала]])),MAX($I$1:I72)+1,0)</f>
        <v>0</v>
      </c>
      <c r="J73" s="199">
        <f>IF(ISNUMBER(SEARCH('Карта учёта'!$B$19,Расходка[[#This Row],[Наименование расходного материала]])),MAX($J$1:J72)+1,0)</f>
        <v>0</v>
      </c>
      <c r="K73" s="199">
        <f>IF(ISNUMBER(SEARCH('Карта учёта'!$B$17,Расходка[[#This Row],[Наименование расходного материала]])),MAX($K$1:K72)+1,0)</f>
        <v>0</v>
      </c>
      <c r="L73" s="199">
        <f>IF(ISNUMBER(SEARCH('Карта учёта'!$B$18,Расходка[[#This Row],[Наименование расходного материала]])),MAX($L$1:L72)+1,0)</f>
        <v>0</v>
      </c>
      <c r="M73" s="199">
        <f>IF(ISNUMBER(SEARCH('Карта учёта'!$B$20,Расходка[[#This Row],[Наименование расходного материала]])),MAX($M$1:M72)+1,0)</f>
        <v>0</v>
      </c>
      <c r="N73" s="199">
        <f>IF(ISNUMBER(SEARCH('Карта учёта'!$B$22,Расходка[[#This Row],[Наименование расходного материала]])),MAX($N$1:N72)+1,0)</f>
        <v>0</v>
      </c>
      <c r="O73" s="199">
        <f>IF(ISNUMBER(SEARCH('Карта учёта'!$B$23,Расходка[[#This Row],[Наименование расходного материала]])),MAX($O$1:O72)+1,0)</f>
        <v>0</v>
      </c>
      <c r="P73" s="199">
        <f>IF(ISNUMBER(SEARCH('Карта учёта'!$B$24,Расходка[[#This Row],[Наименование расходного материала]])),MAX($P$1:P72)+1,0)</f>
        <v>0</v>
      </c>
      <c r="Q73" s="199">
        <f>IF(ISNUMBER(SEARCH('Карта учёта'!$B$25,Расходка[[#This Row],[Наименование расходного материала]])),MAX($Q$1:Q72)+1,0)</f>
        <v>0</v>
      </c>
      <c r="R73" s="200" t="str">
        <f>IFERROR(INDEX(Расходка[Наименование расходного материала],MATCH(Расходка[[#This Row],[№]],Поиск_расходки[Индекс1],0)),"")</f>
        <v/>
      </c>
      <c r="S73" s="200" t="str">
        <f>IFERROR(INDEX(Расходка[Наименование расходного материала],MATCH(Расходка[[#This Row],[№]],Поиск_расходки[Индекс2],0)),"")</f>
        <v/>
      </c>
      <c r="T73" s="200" t="str">
        <f>IFERROR(INDEX(Расходка[Наименование расходного материала],MATCH(Расходка[[#This Row],[№]],Поиск_расходки[Индекс3],0)),"")</f>
        <v/>
      </c>
      <c r="U73" s="200" t="str">
        <f>IFERROR(INDEX(Расходка[Наименование расходного материала],MATCH(Расходка[[#This Row],[№]],Поиск_расходки[Индекс4],0)),"")</f>
        <v/>
      </c>
      <c r="V73" s="200" t="str">
        <f>IFERROR(INDEX(Расходка[Наименование расходного материала],MATCH(Расходка[[#This Row],[№]],Поиск_расходки[Индекс5],0)),"")</f>
        <v/>
      </c>
      <c r="W73" s="200" t="str">
        <f>IFERROR(INDEX(Расходка[Наименование расходного материала],MATCH(Расходка[[#This Row],[№]],Поиск_расходки[Индекс6],0)),"")</f>
        <v/>
      </c>
      <c r="X73" s="200" t="str">
        <f>IFERROR(INDEX(Расходка[Наименование расходного материала],MATCH(Расходка[[#This Row],[№]],Поиск_расходки[Индекс7],0)),"")</f>
        <v/>
      </c>
      <c r="Y73" s="200" t="str">
        <f>IFERROR(INDEX(Расходка[Наименование расходного материала],MATCH(Расходка[[#This Row],[№]],Поиск_расходки[Индекс8],0)),"")</f>
        <v/>
      </c>
      <c r="Z73" s="200" t="str">
        <f>IFERROR(INDEX(Расходка[Наименование расходного материала],MATCH(Расходка[[#This Row],[№]],Поиск_расходки[Индекс9],0)),"")</f>
        <v/>
      </c>
      <c r="AA73" s="200" t="str">
        <f>IFERROR(INDEX(Расходка[Наименование расходного материала],MATCH(Расходка[[#This Row],[№]],Поиск_расходки[Индекс10],0)),"")</f>
        <v/>
      </c>
      <c r="AB73" s="200" t="str">
        <f>IFERROR(INDEX(Расходка[Наименование расходного материала],MATCH(Расходка[[#This Row],[№]],Поиск_расходки[Индекс11],0)),"")</f>
        <v/>
      </c>
      <c r="AC73" s="200" t="str">
        <f>IFERROR(INDEX(Расходка[Наименование расходного материала],MATCH(Расходка[[#This Row],[№]],Поиск_расходки[Индекс12],0)),"")</f>
        <v/>
      </c>
      <c r="AD73" s="200" t="str">
        <f>IFERROR(INDEX(Расходка[Наименование расходного материала],MATCH(Расходка[[#This Row],[№]],Поиск_расходки[Индекс13],0)),"")</f>
        <v/>
      </c>
      <c r="AF73" s="4" t="s">
        <v>6</v>
      </c>
      <c r="AG73" s="4" t="s">
        <v>422</v>
      </c>
    </row>
    <row r="74" spans="1:33">
      <c r="A74">
        <v>73</v>
      </c>
      <c r="E74" s="199">
        <f>IF(ISNUMBER(SEARCH('Карта учёта'!$B$13,Расходка[[#This Row],[Наименование расходного материала]])),MAX($E$1:E73)+1,0)</f>
        <v>0</v>
      </c>
      <c r="F74" s="199">
        <f>IF(ISNUMBER(SEARCH('Карта учёта'!$B$14,Расходка[[#This Row],[Наименование расходного материала]])),MAX($F$1:F73)+1,0)</f>
        <v>0</v>
      </c>
      <c r="G74" s="199">
        <f>IF(ISNUMBER(SEARCH('Карта учёта'!$B$15,Расходка[[#This Row],[Наименование расходного материала]])),MAX($G$1:G73)+1,0)</f>
        <v>0</v>
      </c>
      <c r="H74" s="199">
        <f>IF(ISNUMBER(SEARCH('Карта учёта'!$B$16,Расходка[[#This Row],[Наименование расходного материала]])),MAX($H$1:H73)+1,0)</f>
        <v>0</v>
      </c>
      <c r="I74" s="199">
        <f>IF(ISNUMBER(SEARCH('Карта учёта'!$B$21,Расходка[[#This Row],[Наименование расходного материала]])),MAX($I$1:I73)+1,0)</f>
        <v>0</v>
      </c>
      <c r="J74" s="199">
        <f>IF(ISNUMBER(SEARCH('Карта учёта'!$B$19,Расходка[[#This Row],[Наименование расходного материала]])),MAX($J$1:J73)+1,0)</f>
        <v>0</v>
      </c>
      <c r="K74" s="199">
        <f>IF(ISNUMBER(SEARCH('Карта учёта'!$B$17,Расходка[[#This Row],[Наименование расходного материала]])),MAX($K$1:K73)+1,0)</f>
        <v>0</v>
      </c>
      <c r="L74" s="199">
        <f>IF(ISNUMBER(SEARCH('Карта учёта'!$B$18,Расходка[[#This Row],[Наименование расходного материала]])),MAX($L$1:L73)+1,0)</f>
        <v>0</v>
      </c>
      <c r="M74" s="199">
        <f>IF(ISNUMBER(SEARCH('Карта учёта'!$B$20,Расходка[[#This Row],[Наименование расходного материала]])),MAX($M$1:M73)+1,0)</f>
        <v>0</v>
      </c>
      <c r="N74" s="199">
        <f>IF(ISNUMBER(SEARCH('Карта учёта'!$B$22,Расходка[[#This Row],[Наименование расходного материала]])),MAX($N$1:N73)+1,0)</f>
        <v>0</v>
      </c>
      <c r="O74" s="199">
        <f>IF(ISNUMBER(SEARCH('Карта учёта'!$B$23,Расходка[[#This Row],[Наименование расходного материала]])),MAX($O$1:O73)+1,0)</f>
        <v>0</v>
      </c>
      <c r="P74" s="199">
        <f>IF(ISNUMBER(SEARCH('Карта учёта'!$B$24,Расходка[[#This Row],[Наименование расходного материала]])),MAX($P$1:P73)+1,0)</f>
        <v>0</v>
      </c>
      <c r="Q74" s="199">
        <f>IF(ISNUMBER(SEARCH('Карта учёта'!$B$25,Расходка[[#This Row],[Наименование расходного материала]])),MAX($Q$1:Q73)+1,0)</f>
        <v>0</v>
      </c>
      <c r="R74" s="200" t="str">
        <f>IFERROR(INDEX(Расходка[Наименование расходного материала],MATCH(Расходка[[#This Row],[№]],Поиск_расходки[Индекс1],0)),"")</f>
        <v/>
      </c>
      <c r="S74" s="200" t="str">
        <f>IFERROR(INDEX(Расходка[Наименование расходного материала],MATCH(Расходка[[#This Row],[№]],Поиск_расходки[Индекс2],0)),"")</f>
        <v/>
      </c>
      <c r="T74" s="200" t="str">
        <f>IFERROR(INDEX(Расходка[Наименование расходного материала],MATCH(Расходка[[#This Row],[№]],Поиск_расходки[Индекс3],0)),"")</f>
        <v/>
      </c>
      <c r="U74" s="200" t="str">
        <f>IFERROR(INDEX(Расходка[Наименование расходного материала],MATCH(Расходка[[#This Row],[№]],Поиск_расходки[Индекс4],0)),"")</f>
        <v/>
      </c>
      <c r="V74" s="200" t="str">
        <f>IFERROR(INDEX(Расходка[Наименование расходного материала],MATCH(Расходка[[#This Row],[№]],Поиск_расходки[Индекс5],0)),"")</f>
        <v/>
      </c>
      <c r="W74" s="200" t="str">
        <f>IFERROR(INDEX(Расходка[Наименование расходного материала],MATCH(Расходка[[#This Row],[№]],Поиск_расходки[Индекс6],0)),"")</f>
        <v/>
      </c>
      <c r="X74" s="200" t="str">
        <f>IFERROR(INDEX(Расходка[Наименование расходного материала],MATCH(Расходка[[#This Row],[№]],Поиск_расходки[Индекс7],0)),"")</f>
        <v/>
      </c>
      <c r="Y74" s="200" t="str">
        <f>IFERROR(INDEX(Расходка[Наименование расходного материала],MATCH(Расходка[[#This Row],[№]],Поиск_расходки[Индекс8],0)),"")</f>
        <v/>
      </c>
      <c r="Z74" s="200" t="str">
        <f>IFERROR(INDEX(Расходка[Наименование расходного материала],MATCH(Расходка[[#This Row],[№]],Поиск_расходки[Индекс9],0)),"")</f>
        <v/>
      </c>
      <c r="AA74" s="200" t="str">
        <f>IFERROR(INDEX(Расходка[Наименование расходного материала],MATCH(Расходка[[#This Row],[№]],Поиск_расходки[Индекс10],0)),"")</f>
        <v/>
      </c>
      <c r="AB74" s="200" t="str">
        <f>IFERROR(INDEX(Расходка[Наименование расходного материала],MATCH(Расходка[[#This Row],[№]],Поиск_расходки[Индекс11],0)),"")</f>
        <v/>
      </c>
      <c r="AC74" s="200" t="str">
        <f>IFERROR(INDEX(Расходка[Наименование расходного материала],MATCH(Расходка[[#This Row],[№]],Поиск_расходки[Индекс12],0)),"")</f>
        <v/>
      </c>
      <c r="AD74" s="200" t="str">
        <f>IFERROR(INDEX(Расходка[Наименование расходного материала],MATCH(Расходка[[#This Row],[№]],Поиск_расходки[Индекс13],0)),"")</f>
        <v/>
      </c>
      <c r="AF74" s="4" t="s">
        <v>6</v>
      </c>
      <c r="AG74" s="4" t="s">
        <v>468</v>
      </c>
    </row>
    <row r="75" spans="1:33">
      <c r="AF75" s="4" t="s">
        <v>6</v>
      </c>
      <c r="AG75" s="4" t="s">
        <v>469</v>
      </c>
    </row>
    <row r="76" spans="1:33">
      <c r="AF76" s="4" t="s">
        <v>6</v>
      </c>
      <c r="AG76" s="4" t="s">
        <v>470</v>
      </c>
    </row>
    <row r="77" spans="1:33">
      <c r="AF77" s="4" t="s">
        <v>6</v>
      </c>
      <c r="AG77" s="4" t="s">
        <v>471</v>
      </c>
    </row>
    <row r="78" spans="1:33">
      <c r="AF78" s="4" t="s">
        <v>6</v>
      </c>
      <c r="AG78" s="4" t="s">
        <v>472</v>
      </c>
    </row>
    <row r="79" spans="1:33">
      <c r="AF79" s="4" t="s">
        <v>6</v>
      </c>
      <c r="AG79" s="4" t="s">
        <v>473</v>
      </c>
    </row>
    <row r="80" spans="1:33">
      <c r="AF80" s="4" t="s">
        <v>6</v>
      </c>
      <c r="AG80" s="4" t="s">
        <v>474</v>
      </c>
    </row>
    <row r="81" spans="32:33">
      <c r="AF81" s="4" t="s">
        <v>6</v>
      </c>
      <c r="AG81" s="4" t="s">
        <v>475</v>
      </c>
    </row>
    <row r="82" spans="32:33">
      <c r="AF82" s="4" t="s">
        <v>6</v>
      </c>
      <c r="AG82" s="4" t="s">
        <v>476</v>
      </c>
    </row>
    <row r="83" spans="32:33">
      <c r="AF83" s="4" t="s">
        <v>6</v>
      </c>
      <c r="AG83" s="4" t="s">
        <v>477</v>
      </c>
    </row>
    <row r="84" spans="32:33">
      <c r="AF84" s="4" t="s">
        <v>6</v>
      </c>
      <c r="AG84" s="4" t="s">
        <v>428</v>
      </c>
    </row>
    <row r="85" spans="32:33">
      <c r="AF85" s="4" t="s">
        <v>6</v>
      </c>
      <c r="AG85" s="4" t="s">
        <v>429</v>
      </c>
    </row>
    <row r="86" spans="32:33">
      <c r="AF86" s="4" t="s">
        <v>6</v>
      </c>
      <c r="AG86" s="4" t="s">
        <v>478</v>
      </c>
    </row>
    <row r="87" spans="32:33">
      <c r="AF87" s="4" t="s">
        <v>6</v>
      </c>
      <c r="AG87" s="4" t="s">
        <v>479</v>
      </c>
    </row>
    <row r="88" spans="32:33">
      <c r="AF88" s="4" t="s">
        <v>6</v>
      </c>
      <c r="AG88" s="4" t="s">
        <v>480</v>
      </c>
    </row>
    <row r="89" spans="32:33">
      <c r="AF89" s="4" t="s">
        <v>6</v>
      </c>
      <c r="AG89" s="4" t="s">
        <v>481</v>
      </c>
    </row>
    <row r="90" spans="32:33">
      <c r="AF90" s="4" t="s">
        <v>6</v>
      </c>
      <c r="AG90" s="4" t="s">
        <v>482</v>
      </c>
    </row>
    <row r="91" spans="32:33">
      <c r="AF91" s="4" t="s">
        <v>6</v>
      </c>
      <c r="AG91" s="4" t="s">
        <v>483</v>
      </c>
    </row>
    <row r="92" spans="32:33">
      <c r="AF92" s="4" t="s">
        <v>6</v>
      </c>
      <c r="AG92" s="4" t="s">
        <v>484</v>
      </c>
    </row>
    <row r="93" spans="32:33">
      <c r="AF93" s="4" t="s">
        <v>6</v>
      </c>
      <c r="AG93" s="4" t="s">
        <v>485</v>
      </c>
    </row>
    <row r="94" spans="32:33">
      <c r="AF94" s="4" t="s">
        <v>6</v>
      </c>
      <c r="AG94" s="4" t="s">
        <v>432</v>
      </c>
    </row>
    <row r="95" spans="32:33">
      <c r="AF95" s="4" t="s">
        <v>6</v>
      </c>
      <c r="AG95" s="4" t="s">
        <v>433</v>
      </c>
    </row>
    <row r="96" spans="32:33">
      <c r="AF96" s="4" t="s">
        <v>6</v>
      </c>
      <c r="AG96" s="4" t="s">
        <v>486</v>
      </c>
    </row>
    <row r="97" spans="32:33">
      <c r="AF97" s="4" t="s">
        <v>6</v>
      </c>
      <c r="AG97" s="4" t="s">
        <v>487</v>
      </c>
    </row>
  </sheetData>
  <sheetProtection sheet="1" objects="1" scenarios="1" formatCells="0" formatColumns="0"/>
  <phoneticPr fontId="13" type="noConversion"/>
  <dataValidations count="1">
    <dataValidation type="list" allowBlank="1" showInputMessage="1" showErrorMessage="1" sqref="B2:B74">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F23" sqref="F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350</v>
      </c>
      <c r="C16" t="str">
        <f t="shared" si="0"/>
        <v xml:space="preserve">И/О старшей мед.сетры: А.А. Нефёдова </v>
      </c>
    </row>
    <row r="17" spans="1:3">
      <c r="A17" t="s">
        <v>123</v>
      </c>
      <c r="B17" t="s">
        <v>349</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353</v>
      </c>
    </row>
    <row r="33" spans="1:2">
      <c r="A33" t="s">
        <v>170</v>
      </c>
      <c r="B33" t="s">
        <v>263</v>
      </c>
    </row>
    <row r="34" spans="1:2">
      <c r="A34" t="s">
        <v>170</v>
      </c>
      <c r="B34" t="s">
        <v>249</v>
      </c>
    </row>
    <row r="35" spans="1:2">
      <c r="A35" t="s">
        <v>170</v>
      </c>
      <c r="B35" t="s">
        <v>253</v>
      </c>
    </row>
    <row r="36" spans="1:2">
      <c r="A36" t="s">
        <v>170</v>
      </c>
      <c r="B36" t="s">
        <v>248</v>
      </c>
    </row>
    <row r="37" spans="1:2">
      <c r="A37" t="s">
        <v>170</v>
      </c>
      <c r="B37" t="s">
        <v>366</v>
      </c>
    </row>
    <row r="38" spans="1:2">
      <c r="A38" t="s">
        <v>170</v>
      </c>
      <c r="B38" t="s">
        <v>510</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507</v>
      </c>
    </row>
    <row r="52" spans="1:2">
      <c r="A52" t="s">
        <v>303</v>
      </c>
      <c r="B52" t="s">
        <v>259</v>
      </c>
    </row>
    <row r="53" spans="1:2">
      <c r="A53" t="s">
        <v>303</v>
      </c>
      <c r="B53" t="s">
        <v>371</v>
      </c>
    </row>
    <row r="54" spans="1:2">
      <c r="A54" t="s">
        <v>303</v>
      </c>
      <c r="B54" t="s">
        <v>367</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342</v>
      </c>
    </row>
    <row r="70" spans="1:2">
      <c r="A70" t="s">
        <v>172</v>
      </c>
      <c r="B70" t="s">
        <v>143</v>
      </c>
    </row>
    <row r="71" spans="1:2">
      <c r="A71" t="s">
        <v>172</v>
      </c>
      <c r="B71" t="s">
        <v>369</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3"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2" t="s">
        <v>385</v>
      </c>
    </row>
    <row r="2" spans="1:1">
      <c r="A2" t="s">
        <v>382</v>
      </c>
    </row>
    <row r="3" spans="1:1">
      <c r="A3" t="s">
        <v>386</v>
      </c>
    </row>
    <row r="4" spans="1:1">
      <c r="A4" t="s">
        <v>387</v>
      </c>
    </row>
    <row r="5" spans="1:1">
      <c r="A5" t="s">
        <v>383</v>
      </c>
    </row>
    <row r="6" spans="1:1">
      <c r="A6" t="s">
        <v>384</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2023-11-12T19:00:06Z</cp:lastPrinted>
  <dcterms:created xsi:type="dcterms:W3CDTF">2015-06-05T18:19:34Z</dcterms:created>
  <dcterms:modified xsi:type="dcterms:W3CDTF">2023-11-12T19:00:10Z</dcterms:modified>
</cp:coreProperties>
</file>