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Ноябрь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" i="1" l="1"/>
  <c r="E74" i="1"/>
  <c r="R73" i="1" s="1"/>
  <c r="F73" i="1"/>
  <c r="F74" i="1"/>
  <c r="G73" i="1"/>
  <c r="G74" i="1"/>
  <c r="H73" i="1"/>
  <c r="H74" i="1"/>
  <c r="I73" i="1"/>
  <c r="I74" i="1"/>
  <c r="V73" i="1" s="1"/>
  <c r="J73" i="1"/>
  <c r="J74" i="1"/>
  <c r="K73" i="1"/>
  <c r="K74" i="1"/>
  <c r="L73" i="1"/>
  <c r="L74" i="1"/>
  <c r="M73" i="1"/>
  <c r="M74" i="1"/>
  <c r="Z73" i="1" s="1"/>
  <c r="N73" i="1"/>
  <c r="N74" i="1"/>
  <c r="AA73" i="1" s="1"/>
  <c r="O73" i="1"/>
  <c r="O74" i="1"/>
  <c r="AB73" i="1" s="1"/>
  <c r="P73" i="1"/>
  <c r="P74" i="1"/>
  <c r="AC73" i="1" s="1"/>
  <c r="Q73" i="1"/>
  <c r="Q74" i="1"/>
  <c r="AD73" i="1" s="1"/>
  <c r="R74" i="1"/>
  <c r="V74" i="1"/>
  <c r="Z74" i="1"/>
  <c r="AA74" i="1"/>
  <c r="AB74" i="1"/>
  <c r="AC74" i="1"/>
  <c r="AD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17" i="3"/>
  <c r="A18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R72" i="1" s="1"/>
  <c r="F16" i="1"/>
  <c r="F17" i="1" s="1"/>
  <c r="N16" i="1"/>
  <c r="N17" i="1" s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60" i="1" l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55" i="1" l="1"/>
  <c r="V44" i="1"/>
  <c r="J70" i="1"/>
  <c r="W59" i="1" s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41" i="1" l="1"/>
  <c r="W70" i="1"/>
  <c r="W54" i="1"/>
  <c r="W65" i="1"/>
  <c r="W56" i="1"/>
  <c r="W71" i="1"/>
  <c r="W74" i="1"/>
  <c r="W73" i="1"/>
  <c r="W67" i="1"/>
  <c r="W48" i="1"/>
  <c r="W49" i="1"/>
  <c r="W58" i="1"/>
  <c r="W40" i="1"/>
  <c r="W53" i="1"/>
  <c r="W60" i="1"/>
  <c r="W43" i="1"/>
  <c r="W46" i="1"/>
  <c r="W51" i="1"/>
  <c r="W66" i="1"/>
  <c r="W68" i="1"/>
  <c r="W62" i="1"/>
  <c r="W61" i="1"/>
  <c r="W47" i="1"/>
  <c r="W39" i="1"/>
  <c r="W52" i="1"/>
  <c r="W57" i="1"/>
  <c r="W63" i="1"/>
  <c r="W42" i="1"/>
  <c r="W69" i="1"/>
  <c r="W50" i="1"/>
  <c r="W45" i="1"/>
  <c r="W64" i="1"/>
  <c r="W44" i="1"/>
  <c r="W55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4" i="1" l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S2" i="1" s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F70" i="1" l="1"/>
  <c r="S3" i="1" s="1"/>
  <c r="S65" i="1"/>
  <c r="S43" i="1"/>
  <c r="S48" i="1"/>
  <c r="S46" i="1"/>
  <c r="S50" i="1"/>
  <c r="S35" i="1"/>
  <c r="S12" i="1"/>
  <c r="S8" i="1"/>
  <c r="S10" i="1"/>
  <c r="S44" i="1"/>
  <c r="S23" i="1"/>
  <c r="S9" i="1"/>
  <c r="S63" i="1"/>
  <c r="S37" i="1"/>
  <c r="S33" i="1"/>
  <c r="S57" i="1"/>
  <c r="S74" i="1"/>
  <c r="K70" i="1"/>
  <c r="X69" i="1" s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S70" i="1" l="1"/>
  <c r="S32" i="1"/>
  <c r="S72" i="1"/>
  <c r="S22" i="1"/>
  <c r="S24" i="1"/>
  <c r="S14" i="1"/>
  <c r="S69" i="1"/>
  <c r="S56" i="1"/>
  <c r="S28" i="1"/>
  <c r="S18" i="1"/>
  <c r="S16" i="1"/>
  <c r="S7" i="1"/>
  <c r="S19" i="1"/>
  <c r="S42" i="1"/>
  <c r="S40" i="1"/>
  <c r="S20" i="1"/>
  <c r="S15" i="1"/>
  <c r="S13" i="1"/>
  <c r="S36" i="1"/>
  <c r="S25" i="1"/>
  <c r="S21" i="1"/>
  <c r="S6" i="1"/>
  <c r="S66" i="1"/>
  <c r="S59" i="1"/>
  <c r="S62" i="1"/>
  <c r="S49" i="1"/>
  <c r="S51" i="1"/>
  <c r="S61" i="1"/>
  <c r="S47" i="1"/>
  <c r="S64" i="1"/>
  <c r="S45" i="1"/>
  <c r="S60" i="1"/>
  <c r="S52" i="1"/>
  <c r="S71" i="1"/>
  <c r="S73" i="1"/>
  <c r="S17" i="1"/>
  <c r="S34" i="1"/>
  <c r="S58" i="1"/>
  <c r="S30" i="1"/>
  <c r="S38" i="1"/>
  <c r="S5" i="1"/>
  <c r="S53" i="1"/>
  <c r="S29" i="1"/>
  <c r="S31" i="1"/>
  <c r="S11" i="1"/>
  <c r="S4" i="1"/>
  <c r="S39" i="1"/>
  <c r="S54" i="1"/>
  <c r="S67" i="1"/>
  <c r="S41" i="1"/>
  <c r="S55" i="1"/>
  <c r="S68" i="1"/>
  <c r="S26" i="1"/>
  <c r="S27" i="1"/>
  <c r="X70" i="1"/>
  <c r="X66" i="1"/>
  <c r="X47" i="1"/>
  <c r="X61" i="1"/>
  <c r="X45" i="1"/>
  <c r="X72" i="1"/>
  <c r="X46" i="1"/>
  <c r="X49" i="1"/>
  <c r="X67" i="1"/>
  <c r="X40" i="1"/>
  <c r="X41" i="1"/>
  <c r="X44" i="1"/>
  <c r="X62" i="1"/>
  <c r="X68" i="1"/>
  <c r="X71" i="1"/>
  <c r="X51" i="1"/>
  <c r="X59" i="1"/>
  <c r="X52" i="1"/>
  <c r="X54" i="1"/>
  <c r="X56" i="1"/>
  <c r="X55" i="1"/>
  <c r="X57" i="1"/>
  <c r="X43" i="1"/>
  <c r="X50" i="1"/>
  <c r="X63" i="1"/>
  <c r="X64" i="1"/>
  <c r="X73" i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G64" i="1" s="1"/>
  <c r="AA67" i="1"/>
  <c r="M54" i="1"/>
  <c r="M55" i="1" s="1"/>
  <c r="L51" i="1"/>
  <c r="L52" i="1" s="1"/>
  <c r="L53" i="1" s="1"/>
  <c r="AA70" i="1" l="1"/>
  <c r="AA69" i="1"/>
  <c r="N70" i="1"/>
  <c r="AA54" i="1"/>
  <c r="G65" i="1"/>
  <c r="M56" i="1"/>
  <c r="M57" i="1" s="1"/>
  <c r="L54" i="1"/>
  <c r="AA71" i="1" l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T42" i="1"/>
  <c r="M63" i="1"/>
  <c r="M64" i="1" s="1"/>
  <c r="M65" i="1" s="1"/>
  <c r="T7" i="1" l="1"/>
  <c r="T19" i="1"/>
  <c r="T30" i="1"/>
  <c r="T29" i="1"/>
  <c r="T4" i="1"/>
  <c r="T23" i="1"/>
  <c r="T52" i="1"/>
  <c r="T46" i="1"/>
  <c r="T49" i="1"/>
  <c r="T62" i="1"/>
  <c r="T24" i="1"/>
  <c r="T53" i="1"/>
  <c r="T60" i="1"/>
  <c r="T9" i="1"/>
  <c r="T64" i="1"/>
  <c r="T3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Z58" i="1"/>
  <c r="Z7" i="1"/>
  <c r="Z17" i="1"/>
  <c r="Z25" i="1"/>
  <c r="Z5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  <c r="M68" i="1" l="1"/>
  <c r="Z40" i="1"/>
  <c r="Z30" i="1"/>
  <c r="Z15" i="1"/>
  <c r="Z27" i="1"/>
  <c r="Z35" i="1"/>
  <c r="Z16" i="1"/>
  <c r="Z4" i="1"/>
  <c r="Z64" i="1"/>
  <c r="Z60" i="1"/>
  <c r="AC67" i="1"/>
  <c r="P68" i="1"/>
  <c r="M69" i="1" l="1"/>
  <c r="M70" i="1" s="1"/>
  <c r="Z44" i="1" s="1"/>
  <c r="Z54" i="1"/>
  <c r="Z70" i="1"/>
  <c r="Z68" i="1"/>
  <c r="AC68" i="1"/>
  <c r="P69" i="1"/>
  <c r="P70" i="1" s="1"/>
  <c r="Z72" i="1"/>
  <c r="Z71" i="1"/>
  <c r="Z69" i="1"/>
  <c r="AC70" i="1"/>
  <c r="AC69" i="1"/>
  <c r="Z55" i="1" l="1"/>
  <c r="AC55" i="1"/>
  <c r="AC44" i="1"/>
  <c r="AC71" i="1"/>
  <c r="AC72" i="1"/>
  <c r="AC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<sst xmlns="http://schemas.openxmlformats.org/spreadsheetml/2006/main" count="872" uniqueCount="531">
  <si>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</si>
  <si>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</si>
  <si>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</si>
  <si>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</si>
  <si>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</si>
  <si>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</si>
  <si>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</si>
  <si>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</si>
  <si>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</si>
  <si>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</si>
  <si>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</si>
  <si>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</si>
  <si>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</si>
  <si>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</si>
  <si>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</si>
  <si>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</si>
  <si>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</si>
  <si>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</si>
  <si>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</si>
  <si>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</si>
  <si>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</si>
  <si>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</si>
  <si>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</si>
  <si>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</si>
  <si>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</si>
  <si>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</si>
  <si>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</si>
  <si>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</si>
  <si>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</si>
  <si>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</si>
  <si>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</si>
  <si>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</si>
  <si>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</si>
  <si>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</si>
  <si>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</si>
  <si>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</si>
  <si>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</si>
  <si>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</si>
  <si>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</si>
  <si>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</si>
  <si>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</si>
  <si>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</si>
  <si>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</si>
  <si>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</si>
  <si>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</si>
  <si>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</si>
  <si>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</si>
  <si>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</si>
  <si>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</si>
  <si>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</si>
  <si>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</si>
  <si>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</si>
  <si>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</si>
  <si>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</si>
  <si>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</si>
  <si>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</si>
  <si>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</si>
  <si>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</si>
  <si>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</si>
  <si>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</si>
  <si>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</si>
  <si>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</si>
  <si>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</si>
  <si>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</si>
  <si>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</si>
  <si>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</si>
  <si>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</si>
  <si>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</si>
  <si>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</si>
  <si>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</si>
  <si>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</si>
  <si>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</si>
  <si>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</si>
  <si>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</si>
  <si>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</si>
  <si>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</si>
  <si>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</si>
  <si>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</si>
  <si>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</si>
  <si>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</si>
  <si>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</si>
  <si>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</si>
  <si>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</si>
  <si>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</si>
  <si>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</si>
  <si>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</si>
  <si>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</si>
  <si>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</si>
  <si>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</si>
  <si>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</si>
  <si>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</si>
  <si>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</si>
  <si>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</si>
  <si>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</si>
  <si>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</si>
  <si>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</si>
  <si>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</si>
  <si>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</si>
  <si>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</si>
  <si>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</si>
  <si>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</si>
  <si>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</si>
  <si>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</si>
  <si>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</si>
  <si>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</si>
  <si>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</si>
  <si>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</si>
  <si>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</si>
  <si>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</si>
  <si>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</si>
  <si>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</si>
  <si>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</si>
  <si>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</si>
  <si>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</si>
  <si>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</si>
  <si>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</si>
  <si>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</si>
  <si>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</si>
  <si>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</si>
  <si>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</si>
  <si>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</si>
  <si>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</si>
  <si>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</si>
  <si>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</si>
  <si>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</si>
  <si>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</si>
  <si>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</si>
  <si>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</si>
  <si>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</si>
  <si>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</si>
  <si>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</si>
  <si>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</si>
  <si>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</si>
  <si>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</si>
  <si>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</si>
  <si>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</si>
  <si>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</si>
  <si>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</si>
  <si>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</si>
  <si>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</si>
  <si>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</si>
  <si>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</si>
  <si>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</si>
  <si>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</si>
  <si>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</si>
  <si>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</si>
  <si>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</si>
  <si>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</si>
  <si>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</si>
  <si>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</si>
  <si>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</si>
  <si>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</si>
  <si>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</si>
  <si>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</si>
  <si>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</si>
  <si>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</si>
  <si>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</si>
  <si>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</si>
  <si>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</si>
  <si>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</si>
  <si>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</si>
  <si>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</si>
  <si>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</si>
  <si>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</si>
  <si>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</si>
  <si>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</si>
  <si>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</si>
  <si>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</si>
  <si>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</si>
  <si>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</si>
  <si>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</si>
  <si>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</si>
  <si>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</si>
  <si>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</si>
  <si>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</si>
  <si>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</si>
  <si>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</si>
  <si>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</si>
  <si>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</si>
  <si>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</si>
  <si>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</si>
  <si>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</si>
  <si>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</si>
  <si>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</si>
  <si>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</si>
  <si>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</si>
  <si>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</si>
  <si>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</si>
  <si>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</si>
  <si>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</si>
  <si>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</si>
  <si>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</si>
  <si>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</si>
  <si>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</si>
  <si>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</si>
  <si>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</si>
  <si>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</si>
  <si>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</si>
  <si>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</si>
  <si>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</si>
  <si>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</si>
  <si>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</si>
  <si>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</si>
  <si>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</si>
  <si>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</si>
  <si>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</si>
  <si>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</si>
  <si>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</si>
  <si>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</si>
  <si>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</si>
  <si>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</si>
  <si>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</si>
  <si>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</si>
  <si>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</si>
  <si>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</si>
  <si>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</si>
  <si>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</si>
  <si>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</si>
  <si>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</si>
  <si>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</si>
  <si>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</si>
  <si>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</si>
  <si>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</si>
  <si>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</si>
  <si>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</si>
  <si>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</si>
  <si>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</si>
  <si>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</si>
  <si>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</si>
  <si>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</si>
  <si>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</si>
  <si>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</si>
  <si>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</si>
  <si>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</si>
  <si>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</si>
  <si>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</si>
  <si>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</si>
  <si>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</si>
  <si>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</si>
  <si>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</si>
  <si>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</si>
  <si>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</si>
  <si>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</si>
  <si>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</si>
  <si>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</si>
  <si>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</si>
  <si>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</si>
  <si>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</si>
  <si>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</si>
  <si>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</si>
  <si>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</si>
  <si>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</si>
  <si>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</si>
  <si>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</si>
  <si>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</si>
  <si>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</si>
  <si>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</si>
  <si>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</si>
  <si>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</si>
  <si>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</si>
  <si>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</si>
  <si>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</si>
  <si>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</si>
  <si>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</si>
  <si>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</si>
  <si>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</si>
  <si>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</si>
  <si>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</si>
  <si>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</si>
  <si>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</si>
  <si>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</si>
  <si>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</si>
  <si>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</si>
  <si>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</si>
  <si>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</si>
  <si>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</si>
  <si>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</si>
  <si>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</si>
  <si>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</si>
  <si>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</si>
  <si>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</si>
  <si>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</si>
  <si>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</si>
  <si>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</si>
  <si>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</si>
  <si>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</si>
  <si>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</si>
  <si>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</si>
  <si>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</si>
  <si>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</si>
  <si>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</si>
  <si>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</si>
  <si>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</si>
  <si>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</si>
  <si>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</si>
  <si>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</si>
  <si>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</si>
  <si>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</si>
  <si>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</si>
  <si>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</si>
  <si>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</si>
  <si>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</si>
  <si>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</si>
  <si>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</si>
  <si>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</si>
  <si>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</si>
  <si>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</si>
  <si>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</si>
  <si>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</si>
  <si>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</si>
  <si>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</si>
  <si>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</si>
  <si>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</si>
  <si>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</si>
  <si>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</si>
  <si>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</si>
  <si>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</si>
  <si>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</si>
  <si>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</si>
  <si>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</si>
  <si>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</si>
  <si>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</si>
  <si>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</si>
  <si>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</si>
  <si>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</si>
  <si>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</si>
  <si>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</si>
  <si>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</si>
  <si>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</si>
  <si>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</si>
  <si>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</si>
  <si>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</si>
  <si>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</si>
  <si>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</si>
  <si>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</si>
  <si>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</si>
  <si>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</si>
  <si>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</si>
  <si>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</si>
  <si>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</si>
  <si>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</si>
  <si>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</si>
  <si>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</si>
  <si>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</si>
  <si>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</si>
  <si>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</si>
  <si>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</si>
  <si>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</si>
  <si>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</si>
  <si>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</si>
  <si>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</si>
  <si>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</si>
  <si>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</si>
  <si>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</si>
  <si>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</si>
  <si>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</si>
  <si>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</si>
  <si>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</si>
  <si>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</si>
  <si>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</si>
  <si>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</si>
  <si>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</si>
  <si>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</si>
  <si>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</si>
  <si>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</si>
  <si>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</si>
  <si>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</si>
  <si>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</si>
  <si>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</si>
  <si>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</si>
  <si>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</si>
  <si>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</si>
  <si>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</si>
  <si>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</si>
  <si>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</si>
  <si>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</si>
  <si>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</si>
  <si>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</si>
  <si>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</si>
  <si>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</si>
  <si>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</si>
  <si>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</si>
  <si>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</si>
  <si>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</si>
  <si>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</si>
  <si>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</si>
  <si>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</si>
  <si>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</si>
  <si>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</si>
  <si>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</si>
  <si>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</si>
  <si>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</si>
  <si>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</si>
  <si>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</si>
  <si>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</si>
  <si>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</si>
  <si>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</si>
  <si>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</si>
  <si>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</si>
  <si>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</si>
  <si>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</si>
  <si>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</si>
  <si>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</si>
  <si>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</si>
  <si>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</si>
  <si>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</si>
  <si>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</si>
  <si>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</si>
  <si>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</si>
  <si>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</si>
  <si>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</si>
  <si>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</si>
  <si>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</si>
  <si>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</si>
  <si>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</si>
  <si>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</si>
  <si>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</si>
  <si>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</si>
  <si>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</si>
  <si>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</si>
  <si>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</si>
  <si>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</si>
  <si>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</si>
  <si>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</si>
  <si>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</si>
  <si>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</si>
  <si>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</si>
  <si>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</si>
  <si>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</si>
  <si>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</si>
  <si>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</si>
  <si>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</si>
  <si>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</si>
  <si>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</si>
  <si>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</si>
  <si>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</si>
  <si>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</si>
  <si>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</si>
  <si>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</si>
  <si>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</si>
  <si>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</si>
  <si>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</si>
  <si>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</si>
  <si>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</si>
  <si>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</si>
  <si>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</si>
  <si>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</si>
  <si>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</si>
  <si>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</si>
  <si>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</si>
  <si>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</si>
  <si>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</si>
  <si>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</si>
  <si>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</si>
  <si>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</si>
  <si>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</si>
  <si>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</si>
  <si>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</si>
  <si>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</si>
  <si>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</si>
  <si>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</si>
  <si>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</si>
  <si>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</si>
  <si>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</si>
  <si>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</si>
  <si>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</si>
  <si>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</si>
  <si>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</si>
  <si>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</si>
  <si>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</si>
  <si>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</si>
  <si>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</si>
  <si>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</si>
  <si>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</si>
  <si>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</si>
  <si>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</si>
  <si>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</si>
  <si>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</si>
  <si>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</si>
  <si>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</si>
  <si>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</si>
  <si>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</si>
  <si>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</si>
  <si>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</si>
  <si>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</si>
  <si>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</si>
  <si>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</si>
  <si>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</si>
  <si>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</si>
  <si>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</si>
  <si>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</si>
  <si>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</si>
  <si>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</si>
  <si>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</si>
  <si>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</si>
  <si>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</si>
  <si>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</si>
  <si>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</si>
  <si>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</si>
  <si>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</si>
  <si>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</si>
  <si>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</si>
  <si>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</si>
  <si>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</si>
  <si>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</si>
  <si>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</si>
  <si>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</si>
  <si>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</si>
  <si>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</si>
  <si>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</si>
  <si>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</si>
  <si>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50 ml</t>
  </si>
  <si>
    <t>Launcher 6F AL 3</t>
  </si>
  <si>
    <t xml:space="preserve">Заведующий отделения: Д.В. Карчевский </t>
  </si>
  <si>
    <t>Lepu Medical Balancium</t>
  </si>
  <si>
    <t>Правый</t>
  </si>
  <si>
    <t>DES, Metafor</t>
  </si>
  <si>
    <t>Проводник коронарный  0,8g, Angioline</t>
  </si>
  <si>
    <t xml:space="preserve">Совместно с д/кардиологом: с учетом клинических данных, ЭКГ и КАГ рекомендована ЧКВ ПКА в экстренном порядке. </t>
  </si>
  <si>
    <t>Комиссаров А.В.</t>
  </si>
  <si>
    <t>06:30</t>
  </si>
  <si>
    <t>лучевой</t>
  </si>
  <si>
    <t>Извлечён</t>
  </si>
  <si>
    <t>150 ml</t>
  </si>
  <si>
    <t>20 ml</t>
  </si>
  <si>
    <t xml:space="preserve">проходим,  неровности контуров </t>
  </si>
  <si>
    <t>стенозы проксимального сегмента 40% . Антеградный кровоток TIMI III.</t>
  </si>
  <si>
    <t>неровности контуров проксимального сегмента, стеноз среднего сегмента до 40%, диффузные стенотические изменения на протяжении дистального сегмента 50%. Стенозы проксимальной трети ДВ 50%.  Антеградный кровоток TIMI III.</t>
  </si>
  <si>
    <t xml:space="preserve">артерия крупная, стеноз проксимального сегмента 30%, диффузный стеноз на протяжении среднего сегмента с макс. степенью стенозирования 90%. Стеноз дистального сегмента 30%.  Антеградный кровоток TIMI III. </t>
  </si>
  <si>
    <t>Устье ПКА катетеризировано проводниковым катетером Launcher JR 4/0 6Fr. Коронарный проводник AngioLane 1 гр, 1 шт заведен  в дистальный сегмент ПКА. В зону нестабильного гемодинамически значимого стеноза среднего сегмента  имплантирован DES Resolute Integrity  4,0-38 мм, давлением 14 атм. Постдилатация и оптимизация стента на всём протяжении БК Accuforce 4.5-15, давлением 16 атм.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ПКА TIMI III. Ангиографический удовлетворительный. Пациент в стабильном состоянии транспортируется в ПРИТ для дальнейшего наблюдения и лечения.</t>
  </si>
  <si>
    <t>1) Строгий контроль места пункции! Интродьюсер убрать через 6 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</si>
</sst>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2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>
      <alignment horizontal="justify" vertical="top" wrapText="1"/>
    </xf>
    <xf numFmtId="0" fontId="71" fillId="0" borderId="13" xfId="0" applyFont="1" applyBorder="1" applyAlignment="1">
      <alignment horizontal="justify" vertical="top" wrapText="1"/>
    </xf>
    <xf numFmtId="0" fontId="71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87628</xdr:colOff>
      <xdr:row>40</xdr:row>
      <xdr:rowOff>28575</xdr:rowOff>
    </xdr:from>
    <xdr:to>
      <xdr:col>1</xdr:col>
      <xdr:colOff>1000125</xdr:colOff>
      <xdr:row>49</xdr:row>
      <xdr:rowOff>12623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28" y="7724775"/>
          <a:ext cx="2169797" cy="1612823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O18" sqref="O1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45255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0.60416666666666663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0.61111111111111105</v>
      </c>
      <c r="C10" s="55"/>
      <c r="D10" s="95" t="s">
        <v>173</v>
      </c>
      <c r="E10" s="93"/>
      <c r="F10" s="93"/>
      <c r="G10" s="24" t="s">
        <v>164</v>
      </c>
      <c r="H10" s="26"/>
    </row>
    <row r="11" spans="1:8" ht="17.25" thickTop="1" thickBot="1">
      <c r="A11" s="89" t="s">
        <v>192</v>
      </c>
      <c r="B11" s="201" t="s">
        <v>519</v>
      </c>
      <c r="C11" s="8"/>
      <c r="D11" s="95" t="s">
        <v>170</v>
      </c>
      <c r="E11" s="93"/>
      <c r="F11" s="93"/>
      <c r="G11" s="24" t="s">
        <v>270</v>
      </c>
      <c r="H11" s="26"/>
    </row>
    <row r="12" spans="1:8" ht="16.5" thickTop="1">
      <c r="A12" s="81" t="s">
        <v>8</v>
      </c>
      <c r="B12" s="82">
        <v>25092</v>
      </c>
      <c r="C12" s="12"/>
      <c r="D12" s="95" t="s">
        <v>303</v>
      </c>
      <c r="E12" s="93"/>
      <c r="F12" s="93"/>
      <c r="G12" s="24" t="s">
        <v>370</v>
      </c>
      <c r="H12" s="26"/>
    </row>
    <row r="13" spans="1:8" ht="15.75">
      <c r="A13" s="15" t="s">
        <v>10</v>
      </c>
      <c r="B13" s="30">
        <f>DATEDIF(B12,B8,"y")</f>
        <v>55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32360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520</v>
      </c>
    </row>
    <row r="16" spans="1:8" ht="15.6" customHeight="1">
      <c r="A16" s="15" t="s">
        <v>106</v>
      </c>
      <c r="B16" s="19" t="s">
        <v>311</v>
      </c>
      <c r="D16" s="36"/>
      <c r="E16" s="36"/>
      <c r="F16" s="36"/>
      <c r="G16" s="167" t="s">
        <v>403</v>
      </c>
      <c r="H16" s="165">
        <v>8300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15.77</v>
      </c>
    </row>
    <row r="18" spans="1:8" ht="14.45" customHeight="1">
      <c r="A18" s="57" t="s">
        <v>188</v>
      </c>
      <c r="B18" s="87" t="s">
        <v>515</v>
      </c>
      <c r="D18" s="28" t="s">
        <v>210</v>
      </c>
      <c r="E18" s="28"/>
      <c r="F18" s="28"/>
      <c r="G18" s="85" t="s">
        <v>189</v>
      </c>
      <c r="H18" s="86" t="s">
        <v>521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4" t="s">
        <v>525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271</v>
      </c>
      <c r="B22" s="219" t="s">
        <v>527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19" t="s">
        <v>526</v>
      </c>
      <c r="C27" s="220"/>
      <c r="D27" s="220"/>
      <c r="E27" s="220"/>
      <c r="F27" s="220"/>
      <c r="G27" s="220"/>
      <c r="H27" s="221"/>
    </row>
    <row r="28" spans="1:8" ht="15.6" customHeight="1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59" t="s">
        <v>273</v>
      </c>
      <c r="B32" s="219" t="s">
        <v>528</v>
      </c>
      <c r="C32" s="220"/>
      <c r="D32" s="220"/>
      <c r="E32" s="220"/>
      <c r="F32" s="220"/>
      <c r="G32" s="220"/>
      <c r="H32" s="221"/>
    </row>
    <row r="33" spans="1:8" ht="14.45" customHeight="1">
      <c r="A33" s="38"/>
      <c r="B33" s="222"/>
      <c r="C33" s="222"/>
      <c r="D33" s="222"/>
      <c r="E33" s="222"/>
      <c r="F33" s="222"/>
      <c r="G33" s="222"/>
      <c r="H33" s="223"/>
    </row>
    <row r="34" spans="1:8" ht="15.6" customHeight="1">
      <c r="A34" s="38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38"/>
      <c r="B35" s="222"/>
      <c r="C35" s="222"/>
      <c r="D35" s="222"/>
      <c r="E35" s="222"/>
      <c r="F35" s="222"/>
      <c r="G35" s="222"/>
      <c r="H35" s="223"/>
    </row>
    <row r="36" spans="1:8" ht="15.6" customHeight="1">
      <c r="A36" s="38"/>
      <c r="B36" s="224"/>
      <c r="C36" s="224"/>
      <c r="D36" s="224"/>
      <c r="E36" s="224"/>
      <c r="F36" s="224"/>
      <c r="G36" s="224"/>
      <c r="H36" s="225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>
      <c r="A38" s="38"/>
      <c r="C38" s="124"/>
      <c r="D38" s="208"/>
      <c r="E38" s="209"/>
      <c r="F38" s="209"/>
      <c r="G38" s="209"/>
      <c r="H38" s="210"/>
    </row>
    <row r="39" spans="1:8" ht="14.45" customHeight="1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4" t="s">
        <v>518</v>
      </c>
      <c r="E43" s="205"/>
      <c r="F43" s="205"/>
      <c r="G43" s="205"/>
      <c r="H43" s="206"/>
    </row>
    <row r="44" spans="1:8" ht="14.45" customHeight="1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>
      <c r="A45" s="35"/>
      <c r="B45" s="119"/>
      <c r="C45" s="126"/>
      <c r="D45" s="205"/>
      <c r="E45" s="205"/>
      <c r="F45" s="205"/>
      <c r="G45" s="205"/>
      <c r="H45" s="206"/>
    </row>
    <row r="46" spans="1:8">
      <c r="A46" s="35"/>
      <c r="B46" s="119"/>
      <c r="C46" s="126"/>
      <c r="D46" s="205"/>
      <c r="E46" s="205"/>
      <c r="F46" s="205"/>
      <c r="G46" s="205"/>
      <c r="H46" s="206"/>
    </row>
    <row r="47" spans="1:8">
      <c r="A47" s="38"/>
      <c r="C47" s="126"/>
      <c r="D47" s="205"/>
      <c r="E47" s="205"/>
      <c r="F47" s="205"/>
      <c r="G47" s="205"/>
      <c r="H47" s="206"/>
    </row>
    <row r="48" spans="1:8">
      <c r="A48" s="38"/>
      <c r="C48" s="126"/>
      <c r="D48" s="205"/>
      <c r="E48" s="205"/>
      <c r="F48" s="205"/>
      <c r="G48" s="205"/>
      <c r="H48" s="206"/>
    </row>
    <row r="49" spans="1:13">
      <c r="A49" s="40"/>
      <c r="B49" s="31"/>
      <c r="C49" s="127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211</v>
      </c>
    </row>
    <row r="51" spans="1:13">
      <c r="A51" s="62" t="s">
        <v>204</v>
      </c>
      <c r="B51" s="63" t="s">
        <v>511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522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zoomScale="110" zoomScaleNormal="100" zoomScaleSheetLayoutView="110" zoomScalePageLayoutView="90" workbookViewId="0">
      <selection activeCell="K40" sqref="K40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6" t="s">
        <v>208</v>
      </c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5" t="s">
        <v>216</v>
      </c>
      <c r="D8" s="235"/>
      <c r="E8" s="235"/>
      <c r="F8" s="191">
        <v>1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5"/>
      <c r="D9" s="235"/>
      <c r="E9" s="235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0"/>
      <c r="C10" s="239"/>
      <c r="D10" s="239"/>
      <c r="E10" s="239"/>
      <c r="F10" s="195"/>
      <c r="G10" s="118"/>
      <c r="H10" s="39"/>
    </row>
    <row r="11" spans="1:8">
      <c r="A11" s="193"/>
      <c r="B11" s="198"/>
      <c r="C11" s="194">
        <f>SUM(F8:F10)</f>
        <v>1</v>
      </c>
      <c r="H11" s="39"/>
    </row>
    <row r="12" spans="1:8" ht="18.75">
      <c r="A12" s="75" t="s">
        <v>191</v>
      </c>
      <c r="B12" s="20">
        <f>КАГ!B8</f>
        <v>45255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0.61111111111111105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0.63888888888888895</v>
      </c>
      <c r="C14" s="12"/>
      <c r="D14" s="95" t="s">
        <v>173</v>
      </c>
      <c r="E14" s="93"/>
      <c r="F14" s="93"/>
      <c r="G14" s="80" t="str">
        <f>КАГ!G10</f>
        <v>Севринова О.В.</v>
      </c>
      <c r="H14" s="91" t="str">
        <f>IF(ISBLANK(КАГ!H10),"",КАГ!H10)</f>
        <v/>
      </c>
    </row>
    <row r="15" spans="1:8" ht="16.5" thickBot="1">
      <c r="A15" s="164" t="s">
        <v>389</v>
      </c>
      <c r="B15" s="189">
        <f>IF(B14&lt;B13,B14+1,B14)-B13</f>
        <v>2.7777777777777901E-2</v>
      </c>
      <c r="D15" s="95" t="s">
        <v>170</v>
      </c>
      <c r="E15" s="93"/>
      <c r="F15" s="93"/>
      <c r="G15" s="80" t="str">
        <f>КАГ!G11</f>
        <v>Морозов А.А.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Комиссаров А.В.</v>
      </c>
      <c r="D16" s="95" t="s">
        <v>303</v>
      </c>
      <c r="E16" s="93"/>
      <c r="F16" s="93"/>
      <c r="G16" s="80" t="str">
        <f>КАГ!G12</f>
        <v>Фисура О.И.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25092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55</v>
      </c>
      <c r="H18" s="39"/>
    </row>
    <row r="19" spans="1:8" ht="14.45" customHeight="1">
      <c r="A19" s="15" t="s">
        <v>12</v>
      </c>
      <c r="B19" s="68">
        <f>КАГ!B14</f>
        <v>32360</v>
      </c>
      <c r="C19" s="69"/>
      <c r="D19" s="69"/>
      <c r="E19" s="69"/>
      <c r="F19" s="69"/>
      <c r="G19" s="166" t="s">
        <v>401</v>
      </c>
      <c r="H19" s="181" t="str">
        <f>КАГ!H15</f>
        <v>06:30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8300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8" t="s">
        <v>390</v>
      </c>
      <c r="H21" s="169">
        <f>КАГ!H17</f>
        <v>15.77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/>
      </c>
      <c r="H22" s="186" t="str">
        <f>IFERROR(SUM(IF($B$21=Вмешательства!F3,SUM(КАГ!$B$9+0.01),"")),"")</f>
        <v/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3" t="s">
        <v>529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524</v>
      </c>
      <c r="C40" s="120"/>
      <c r="D40" s="240" t="s">
        <v>530</v>
      </c>
      <c r="E40" s="241"/>
      <c r="F40" s="241"/>
      <c r="G40" s="241"/>
      <c r="H40" s="242"/>
    </row>
    <row r="41" spans="1:12" ht="14.45" customHeight="1">
      <c r="A41" s="32"/>
      <c r="B41" s="28"/>
      <c r="C41" s="120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0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0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0"/>
      <c r="D44" s="241"/>
      <c r="E44" s="241"/>
      <c r="F44" s="241"/>
      <c r="G44" s="241"/>
      <c r="H44" s="242"/>
      <c r="L44" s="161"/>
    </row>
    <row r="45" spans="1:12" ht="14.45" customHeight="1">
      <c r="A45" s="32"/>
      <c r="B45" s="28"/>
      <c r="C45" s="120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0"/>
      <c r="D46" s="241"/>
      <c r="E46" s="241"/>
      <c r="F46" s="241"/>
      <c r="G46" s="241"/>
      <c r="H46" s="242"/>
    </row>
    <row r="47" spans="1:12" ht="14.45" customHeight="1">
      <c r="A47" s="38"/>
      <c r="C47" s="120"/>
      <c r="D47" s="241"/>
      <c r="E47" s="241"/>
      <c r="F47" s="241"/>
      <c r="G47" s="241"/>
      <c r="H47" s="242"/>
    </row>
    <row r="48" spans="1:12" ht="14.45" customHeight="1">
      <c r="A48" s="38"/>
      <c r="C48" s="120"/>
      <c r="D48" s="241"/>
      <c r="E48" s="241"/>
      <c r="F48" s="241"/>
      <c r="G48" s="241"/>
      <c r="H48" s="242"/>
    </row>
    <row r="49" spans="1:8" ht="14.45" customHeight="1">
      <c r="A49" s="38"/>
      <c r="C49" s="120"/>
      <c r="D49" s="241"/>
      <c r="E49" s="241"/>
      <c r="F49" s="241"/>
      <c r="G49" s="241"/>
      <c r="H49" s="242"/>
    </row>
    <row r="50" spans="1:8">
      <c r="A50" s="62" t="s">
        <v>204</v>
      </c>
      <c r="B50" s="63" t="s">
        <v>523</v>
      </c>
      <c r="H50" s="39"/>
    </row>
    <row r="51" spans="1:8">
      <c r="A51" s="65" t="s">
        <v>206</v>
      </c>
      <c r="B51" s="66" t="s">
        <v>522</v>
      </c>
      <c r="G51" s="74" t="str">
        <f>$G$13</f>
        <v>Щербаков А.С.</v>
      </c>
      <c r="H51" s="64"/>
    </row>
    <row r="52" spans="1:8">
      <c r="A52" s="226" t="s">
        <v>374</v>
      </c>
      <c r="B52" s="227"/>
      <c r="C52" s="227"/>
      <c r="D52" s="227"/>
      <c r="E52" s="227"/>
      <c r="F52" s="228"/>
      <c r="H52" s="39"/>
    </row>
    <row r="53" spans="1:8" ht="15" customHeight="1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>
      <c r="A54" s="232"/>
      <c r="B54" s="233"/>
      <c r="C54" s="233"/>
      <c r="D54" s="233"/>
      <c r="E54" s="233"/>
      <c r="F54" s="234"/>
      <c r="G54" s="31"/>
      <c r="H54" s="41"/>
    </row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ml,20 ml,30 ml,500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C19" sqref="C19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45255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Комиссаров А.В.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25092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55</v>
      </c>
    </row>
    <row r="7" spans="1:4">
      <c r="A7" s="38"/>
      <c r="C7" s="101" t="s">
        <v>12</v>
      </c>
      <c r="D7" s="103">
        <f>КАГ!$B$14</f>
        <v>32360</v>
      </c>
    </row>
    <row r="8" spans="1:4">
      <c r="A8" s="196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47</v>
      </c>
      <c r="C9" s="105" t="s">
        <v>106</v>
      </c>
      <c r="D9" s="103" t="str">
        <f>КАГ!$B$16</f>
        <v>ОКС БПST</v>
      </c>
    </row>
    <row r="10" spans="1:4">
      <c r="A10" s="197"/>
      <c r="B10" s="31"/>
      <c r="C10" s="151" t="s">
        <v>13</v>
      </c>
      <c r="D10" s="152">
        <f>КАГ!$B$8</f>
        <v>45255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330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5" s="155" t="s">
        <v>312</v>
      </c>
      <c r="C15" s="136" t="s">
        <v>432</v>
      </c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5" t="s">
        <v>323</v>
      </c>
      <c r="C16" s="183" t="s">
        <v>483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7" s="155" t="s">
        <v>346</v>
      </c>
      <c r="C17" s="183"/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6"/>
      <c r="C18" s="136"/>
      <c r="D18" s="141"/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513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J45" sqref="AJ4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1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5" t="str">
        <f>IFERROR(INDEX(Расходка[Наименование расходного материала],MATCH(Расходка[[#This Row],[№]],Поиск_расходки[Индекс3],0)),"")</f>
        <v>NC Accuforce</v>
      </c>
      <c r="U2" s="115" t="str">
        <f>IFERROR(INDEX(Расходка[Наименование расходного материала],MATCH(Расходка[[#This Row],[№]],Поиск_расходки[Индекс4],0)),"")</f>
        <v>DES, Resolute Integtity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2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3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1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4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5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6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7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8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9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10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11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>Nitrex 260</v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12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>RadiFocus</v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306</v>
      </c>
      <c r="C14" t="s">
        <v>332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13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>BasixCOMPAK</v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364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14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>BasixTOUCH</v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354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15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>Dolphin</v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16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>Lepu Medical</v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17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507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18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>Demax</v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206</v>
      </c>
      <c r="C20" s="1" t="s">
        <v>338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19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>Oscor 7F</v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306</v>
      </c>
      <c r="C21" s="1" t="s">
        <v>509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20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21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 xml:space="preserve">SCW Индефлятор </v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423</v>
      </c>
    </row>
    <row r="23" spans="1:35">
      <c r="A23">
        <v>22</v>
      </c>
      <c r="B23" t="s">
        <v>3</v>
      </c>
      <c r="C23" t="s">
        <v>321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22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342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23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314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24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>Fielder</v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376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25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>Fielder XT-A</v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377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26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>Fielder XT-R</v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s="1" t="s">
        <v>359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27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>Gaia Second</v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372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28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>Gaia Third</v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322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29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>Intuition</v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t="s">
        <v>318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30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319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31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320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32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316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33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>Rinato</v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s="1" t="s">
        <v>353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34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361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35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360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36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t="s">
        <v>315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37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>Sion</v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380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38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>Sion Black</v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375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39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>Sion Blue</v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317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40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>Thunder</v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362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41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>Whisper MS</v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42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>Winn 200T</v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517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43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346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1</v>
      </c>
      <c r="L45" s="116">
        <f>IF(ISNUMBER(SEARCH('Карта учёта'!$B$18,Расходка[[#This Row],[Наименование расходного материала]])),MAX($L$1:L44)+1,0)</f>
        <v>44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45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514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46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>Lepu Medical Balancium</v>
      </c>
      <c r="Z47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7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443</v>
      </c>
    </row>
    <row r="48" spans="1:33">
      <c r="A48">
        <v>47</v>
      </c>
      <c r="B48" t="s">
        <v>6</v>
      </c>
      <c r="C48" s="1" t="s">
        <v>278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47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BMS, Integtity</v>
      </c>
      <c r="W48" s="115" t="str">
        <f>IFERROR(INDEX(Расходка[Наименование расходного материала],MATCH(Расходка[[#This Row],[№]],Поиск_расходки[Индекс6],0)),"")</f>
        <v>BMS, Integtity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>BMS, Integtity</v>
      </c>
      <c r="Z48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8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58" t="s">
        <v>345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48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Calipso</v>
      </c>
      <c r="W49" s="115" t="str">
        <f>IFERROR(INDEX(Расходка[Наименование расходного материала],MATCH(Расходка[[#This Row],[№]],Поиск_расходки[Индекс6],0)),"")</f>
        <v>DES, Calipso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>DES, Calipso</v>
      </c>
      <c r="Z49" s="115" t="str">
        <f>IFERROR(INDEX(Расходка[Наименование расходного материала],MATCH(Расходка[[#This Row],[№]],Поиск_расходки[Индекс9],0)),"")</f>
        <v>DES, Calipso</v>
      </c>
      <c r="AA49" s="115" t="str">
        <f>IFERROR(INDEX(Расходка[Наименование расходного материала],MATCH(Расходка[[#This Row],[№]],Поиск_расходки[Индекс10],0)),"")</f>
        <v>DES, Calipso</v>
      </c>
      <c r="AB49" s="115" t="str">
        <f>IFERROR(INDEX(Расходка[Наименование расходного материала],MATCH(Расходка[[#This Row],[№]],Поиск_расходки[Индекс11],0)),"")</f>
        <v>DES, Calipso</v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58" t="s">
        <v>344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49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NanoMed</v>
      </c>
      <c r="W50" s="115" t="str">
        <f>IFERROR(INDEX(Расходка[Наименование расходного материала],MATCH(Расходка[[#This Row],[№]],Поиск_расходки[Индекс6],0)),"")</f>
        <v>DES, NanoMed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>DES, NanoMed</v>
      </c>
      <c r="Z50" s="115" t="str">
        <f>IFERROR(INDEX(Расходка[Наименование расходного материала],MATCH(Расходка[[#This Row],[№]],Поиск_расходки[Индекс9],0)),"")</f>
        <v>DES, NanoMed</v>
      </c>
      <c r="AA50" s="115" t="str">
        <f>IFERROR(INDEX(Расходка[Наименование расходного материала],MATCH(Расходка[[#This Row],[№]],Поиск_расходки[Индекс10],0)),"")</f>
        <v>DES, NanoMed</v>
      </c>
      <c r="AB50" s="115" t="str">
        <f>IFERROR(INDEX(Расходка[Наименование расходного материала],MATCH(Расходка[[#This Row],[№]],Поиск_расходки[Индекс11],0)),"")</f>
        <v>DES, NanoMed</v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31" t="s">
        <v>323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1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50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1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1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t="s">
        <v>357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51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2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2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162" t="s">
        <v>388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52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Firehawk</v>
      </c>
      <c r="W53" s="115" t="str">
        <f>IFERROR(INDEX(Расходка[Наименование расходного материала],MATCH(Расходка[[#This Row],[№]],Поиск_расходки[Индекс6],0)),"")</f>
        <v>DES, Firehawk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>DES, Firehawk</v>
      </c>
      <c r="Z53" s="115" t="str">
        <f>IFERROR(INDEX(Расходка[Наименование расходного материала],MATCH(Расходка[[#This Row],[№]],Поиск_расходки[Индекс9],0)),"")</f>
        <v>DES, Firehawk</v>
      </c>
      <c r="AA53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t="s">
        <v>387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53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4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516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54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Metafor</v>
      </c>
      <c r="W55" s="115" t="str">
        <f>IFERROR(INDEX(Расходка[Наименование расходного материала],MATCH(Расходка[[#This Row],[№]],Поиск_расходки[Индекс6],0)),"")</f>
        <v>DES, Metafor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>DES, Metafor</v>
      </c>
      <c r="Z55" s="115" t="str">
        <f>IFERROR(INDEX(Расходка[Наименование расходного материала],MATCH(Расходка[[#This Row],[№]],Поиск_расходки[Индекс9],0)),"")</f>
        <v>DES, Metafor</v>
      </c>
      <c r="AA55" s="115" t="str">
        <f>IFERROR(INDEX(Расходка[Наименование расходного материала],MATCH(Расходка[[#This Row],[№]],Поиск_расходки[Индекс10],0)),"")</f>
        <v>DES, Metafor</v>
      </c>
      <c r="AB55" s="115" t="str">
        <f>IFERROR(INDEX(Расходка[Наименование расходного материала],MATCH(Расходка[[#This Row],[№]],Поиск_расходки[Индекс11],0)),"")</f>
        <v>DES, Metafor</v>
      </c>
      <c r="AC55" s="115" t="str">
        <f>IFERROR(INDEX(Расходка[Наименование расходного материала],MATCH(Расходка[[#This Row],[№]],Поиск_расходки[Индекс12],0)),"")</f>
        <v>DES, Metafor</v>
      </c>
      <c r="AD55" s="115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451</v>
      </c>
    </row>
    <row r="56" spans="1:33">
      <c r="A56">
        <v>55</v>
      </c>
      <c r="B56" t="s">
        <v>95</v>
      </c>
      <c r="C56" s="1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55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6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56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6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6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343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56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7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57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7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7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453</v>
      </c>
    </row>
    <row r="58" spans="1:33">
      <c r="A58">
        <v>57</v>
      </c>
      <c r="B58" t="s">
        <v>4</v>
      </c>
      <c r="C58" t="s">
        <v>350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57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8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58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351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58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9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59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512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59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0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>Launcher 6F AL 3</v>
      </c>
      <c r="Z60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325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60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1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1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326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61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2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62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327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62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3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>Launcher 6F JL 3.5</v>
      </c>
      <c r="Z63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328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63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>Launcher 6F JL 4.0</v>
      </c>
      <c r="Z64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334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64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5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>Launcher 6F JL 4.5</v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329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65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>Launcher 6F JR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330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1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66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66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6F JR 4.0</v>
      </c>
      <c r="W67" s="200" t="str">
        <f>IFERROR(INDEX(Расходка[Наименование расходного материала],MATCH(Расходка[[#This Row],[№]],Поиск_расходки[Индекс6],0)),"")</f>
        <v>Launcher 6F JR 4.0</v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>Launcher 6F JR 4.0</v>
      </c>
      <c r="Z67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340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67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67</v>
      </c>
      <c r="M68" s="199">
        <f>IF(ISNUMBER(SEARCH('Карта учёта'!$B$20,Расходка[[#This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8" s="200" t="str">
        <f>IFERROR(INDEX(Расходка[Наименование расходного материала],MATCH(Расходка[[#This Row],[№]],Поиск_расходки[Индекс6],0)),"")</f>
        <v>Launcher 7F JL 3.5</v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>Launcher 7F JL 3.5</v>
      </c>
      <c r="Z68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339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68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68</v>
      </c>
      <c r="M69" s="199">
        <f>IF(ISNUMBER(SEARCH('Карта учёта'!$B$20,Расходка[[#This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9" s="200" t="str">
        <f>IFERROR(INDEX(Расходка[Наименование расходного материала],MATCH(Расходка[[#This Row],[№]],Поиск_расходки[Индекс6],0)),"")</f>
        <v>Launcher 7F JL 4.0</v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>Launcher 7F JL 4.0</v>
      </c>
      <c r="Z69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464</v>
      </c>
    </row>
    <row r="70" spans="1:33">
      <c r="A70">
        <v>69</v>
      </c>
      <c r="B70" t="s">
        <v>301</v>
      </c>
      <c r="C70" s="1" t="s">
        <v>331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69</v>
      </c>
      <c r="J70" s="199">
        <f>IF(ISNUMBER(SEARCH('Карта учёта'!$B$19,Расходка[[#This Row],[Наименование расходного материала]])),MAX($J$1:J69)+1,0)</f>
        <v>69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69</v>
      </c>
      <c r="M70" s="199">
        <f>IF(ISNUMBER(SEARCH('Карта учёта'!$B$20,Расходка[[#This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70" s="200" t="str">
        <f>IFERROR(INDEX(Расходка[Наименование расходного материала],MATCH(Расходка[[#This Row],[№]],Поиск_расходки[Индекс6],0)),"")</f>
        <v>Angio-Seal™ VIP</v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>Angio-Seal™ VIP</v>
      </c>
      <c r="Z70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465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420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F75" s="4" t="s">
        <v>6</v>
      </c>
      <c r="AG75" s="4" t="s">
        <v>468</v>
      </c>
    </row>
    <row r="76" spans="1:33">
      <c r="AF76" s="4" t="s">
        <v>6</v>
      </c>
      <c r="AG76" s="4" t="s">
        <v>469</v>
      </c>
    </row>
    <row r="77" spans="1:33">
      <c r="AF77" s="4" t="s">
        <v>6</v>
      </c>
      <c r="AG77" s="4" t="s">
        <v>470</v>
      </c>
    </row>
    <row r="78" spans="1:33"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F23" sqref="F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2023-11-25T12:38:45Z</cp:lastPrinted>
  <dcterms:created xsi:type="dcterms:W3CDTF">2015-06-05T18:19:34Z</dcterms:created>
  <dcterms:modified xsi:type="dcterms:W3CDTF">2023-11-25T12:44:19Z</dcterms:modified>
</cp:coreProperties>
</file>