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3\Декабрь\"/>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3" l="1"/>
  <c r="A18" i="3"/>
  <c r="E73" i="1" l="1"/>
  <c r="E74" i="1"/>
  <c r="R73" i="1" s="1"/>
  <c r="F73" i="1"/>
  <c r="F74" i="1"/>
  <c r="G73" i="1"/>
  <c r="G74" i="1"/>
  <c r="H73" i="1"/>
  <c r="H74" i="1"/>
  <c r="I73" i="1"/>
  <c r="I74" i="1"/>
  <c r="V73" i="1" s="1"/>
  <c r="J73" i="1"/>
  <c r="J74" i="1"/>
  <c r="K73" i="1"/>
  <c r="K74" i="1"/>
  <c r="L73" i="1"/>
  <c r="L74" i="1"/>
  <c r="M73" i="1"/>
  <c r="M74" i="1"/>
  <c r="Z73" i="1" s="1"/>
  <c r="N73" i="1"/>
  <c r="N74" i="1"/>
  <c r="AA73" i="1" s="1"/>
  <c r="O73" i="1"/>
  <c r="O74" i="1"/>
  <c r="AB73" i="1" s="1"/>
  <c r="P73" i="1"/>
  <c r="P74" i="1"/>
  <c r="AC73" i="1" s="1"/>
  <c r="Q73" i="1"/>
  <c r="Q74" i="1"/>
  <c r="AD73" i="1" s="1"/>
  <c r="R74" i="1"/>
  <c r="V74" i="1"/>
  <c r="Z74" i="1"/>
  <c r="AA74" i="1"/>
  <c r="AB74" i="1"/>
  <c r="AC74" i="1"/>
  <c r="AD74" i="1"/>
  <c r="E66" i="1" l="1"/>
  <c r="E67" i="1"/>
  <c r="E71" i="1"/>
  <c r="E72" i="1"/>
  <c r="F71" i="1"/>
  <c r="F72" i="1"/>
  <c r="G71" i="1"/>
  <c r="G72" i="1"/>
  <c r="H71" i="1"/>
  <c r="H72" i="1"/>
  <c r="I71" i="1"/>
  <c r="I72" i="1"/>
  <c r="J71" i="1"/>
  <c r="J72" i="1"/>
  <c r="K71" i="1"/>
  <c r="K72" i="1"/>
  <c r="L71" i="1"/>
  <c r="L72" i="1"/>
  <c r="M71" i="1"/>
  <c r="M72" i="1"/>
  <c r="N71" i="1"/>
  <c r="N72" i="1"/>
  <c r="O71" i="1"/>
  <c r="O72" i="1"/>
  <c r="P71" i="1"/>
  <c r="P72" i="1"/>
  <c r="Q71" i="1"/>
  <c r="Q72" i="1"/>
  <c r="A16" i="3"/>
  <c r="E68" i="1"/>
  <c r="E69" i="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C4" i="5" l="1"/>
  <c r="C17"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9"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P9" i="1" s="1"/>
  <c r="P10" i="1" s="1"/>
  <c r="O8" i="1"/>
  <c r="O9" i="1" s="1"/>
  <c r="O10" i="1" s="1"/>
  <c r="E8" i="1"/>
  <c r="Q7" i="1"/>
  <c r="J7" i="1"/>
  <c r="G8" i="1"/>
  <c r="N9" i="1"/>
  <c r="I7" i="1"/>
  <c r="F7" i="1"/>
  <c r="M7" i="1"/>
  <c r="H8" i="1"/>
  <c r="L9" i="1"/>
  <c r="K8" i="1"/>
  <c r="P11" i="1" l="1"/>
  <c r="P12" i="1"/>
  <c r="P13" i="1" s="1"/>
  <c r="P14" i="1" s="1"/>
  <c r="E9" i="1"/>
  <c r="E10" i="1" s="1"/>
  <c r="O11" i="1"/>
  <c r="O12" i="1" s="1"/>
  <c r="O13" i="1" s="1"/>
  <c r="Q8" i="1"/>
  <c r="Q9" i="1" s="1"/>
  <c r="J8" i="1"/>
  <c r="E11" i="1"/>
  <c r="E12" i="1" s="1"/>
  <c r="E13" i="1" s="1"/>
  <c r="E14" i="1" s="1"/>
  <c r="E15" i="1" s="1"/>
  <c r="M8" i="1"/>
  <c r="N10" i="1"/>
  <c r="I8" i="1"/>
  <c r="G9" i="1"/>
  <c r="H9" i="1"/>
  <c r="F8" i="1"/>
  <c r="K9" i="1"/>
  <c r="L10"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56" i="1" l="1"/>
  <c r="P57" i="1" s="1"/>
  <c r="O16" i="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P58" i="1" l="1"/>
  <c r="AC58" i="1" s="1"/>
  <c r="E60" i="1"/>
  <c r="E61" i="1" s="1"/>
  <c r="E62" i="1" s="1"/>
  <c r="F13" i="1"/>
  <c r="F14" i="1" s="1"/>
  <c r="F15" i="1" s="1"/>
  <c r="O56" i="1"/>
  <c r="O57" i="1" s="1"/>
  <c r="M15" i="1"/>
  <c r="M16" i="1" s="1"/>
  <c r="M17" i="1" s="1"/>
  <c r="J12" i="1"/>
  <c r="J13" i="1" s="1"/>
  <c r="J14" i="1" s="1"/>
  <c r="J15" i="1" s="1"/>
  <c r="J16" i="1" s="1"/>
  <c r="Q58" i="1"/>
  <c r="N14" i="1"/>
  <c r="N15" i="1" s="1"/>
  <c r="I15" i="1"/>
  <c r="I16" i="1" s="1"/>
  <c r="I17" i="1" s="1"/>
  <c r="H16" i="1"/>
  <c r="H17" i="1" s="1"/>
  <c r="K13" i="1"/>
  <c r="K14" i="1" s="1"/>
  <c r="L16" i="1"/>
  <c r="G14" i="1"/>
  <c r="P59" i="1" l="1"/>
  <c r="P60" i="1" s="1"/>
  <c r="P61" i="1" s="1"/>
  <c r="P62" i="1" s="1"/>
  <c r="P63" i="1" s="1"/>
  <c r="P64" i="1" s="1"/>
  <c r="P65" i="1" s="1"/>
  <c r="E63" i="1"/>
  <c r="E64" i="1"/>
  <c r="E65" i="1" s="1"/>
  <c r="R72" i="1" s="1"/>
  <c r="F16" i="1"/>
  <c r="F17" i="1" s="1"/>
  <c r="N16" i="1"/>
  <c r="N17" i="1" s="1"/>
  <c r="J17" i="1"/>
  <c r="J18" i="1" s="1"/>
  <c r="Q59" i="1"/>
  <c r="Q60" i="1" s="1"/>
  <c r="O58" i="1"/>
  <c r="H18" i="1"/>
  <c r="H19" i="1" s="1"/>
  <c r="H20" i="1" s="1"/>
  <c r="H21" i="1" s="1"/>
  <c r="H22" i="1" s="1"/>
  <c r="I18" i="1"/>
  <c r="I19" i="1" s="1"/>
  <c r="I20" i="1" s="1"/>
  <c r="I21" i="1" s="1"/>
  <c r="I22" i="1" s="1"/>
  <c r="I23" i="1" s="1"/>
  <c r="I24" i="1" s="1"/>
  <c r="M18" i="1"/>
  <c r="M19" i="1" s="1"/>
  <c r="M20" i="1" s="1"/>
  <c r="L17" i="1"/>
  <c r="K15" i="1"/>
  <c r="K16" i="1" s="1"/>
  <c r="K17" i="1" s="1"/>
  <c r="G15" i="1"/>
  <c r="F18" i="1" l="1"/>
  <c r="F19" i="1" s="1"/>
  <c r="AC60" i="1"/>
  <c r="R70" i="1"/>
  <c r="R71" i="1"/>
  <c r="AC61" i="1"/>
  <c r="AC63" i="1"/>
  <c r="AC64" i="1"/>
  <c r="P66" i="1"/>
  <c r="P67" i="1" s="1"/>
  <c r="AC62" i="1"/>
  <c r="AC59" i="1"/>
  <c r="AC65" i="1"/>
  <c r="AC57" i="1"/>
  <c r="R68" i="1"/>
  <c r="R69" i="1"/>
  <c r="AC66" i="1"/>
  <c r="R57" i="1"/>
  <c r="R64" i="1"/>
  <c r="R61" i="1"/>
  <c r="R56" i="1"/>
  <c r="R62" i="1"/>
  <c r="R63" i="1"/>
  <c r="R60" i="1"/>
  <c r="R58" i="1"/>
  <c r="R59" i="1"/>
  <c r="R65" i="1"/>
  <c r="R67" i="1"/>
  <c r="R66" i="1"/>
  <c r="N18" i="1"/>
  <c r="J19" i="1"/>
  <c r="J20" i="1" s="1"/>
  <c r="J21" i="1" s="1"/>
  <c r="AD56" i="1"/>
  <c r="Q61" i="1"/>
  <c r="AD61" i="1" s="1"/>
  <c r="AD60"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N21" i="1" s="1"/>
  <c r="N22" i="1" s="1"/>
  <c r="K25" i="1"/>
  <c r="K26" i="1" s="1"/>
  <c r="K27" i="1" s="1"/>
  <c r="H24" i="1"/>
  <c r="AD18" i="1"/>
  <c r="G18" i="1"/>
  <c r="G19" i="1" s="1"/>
  <c r="G20" i="1" s="1"/>
  <c r="I27" i="1"/>
  <c r="M22" i="1"/>
  <c r="L19" i="1"/>
  <c r="L20" i="1" s="1"/>
  <c r="F21" i="1"/>
  <c r="AD62" i="1" l="1"/>
  <c r="Q63" i="1"/>
  <c r="Q64" i="1" s="1"/>
  <c r="Q65" i="1" s="1"/>
  <c r="O61" i="1"/>
  <c r="K28" i="1"/>
  <c r="K29" i="1" s="1"/>
  <c r="AD26" i="1"/>
  <c r="G21" i="1"/>
  <c r="G22" i="1" s="1"/>
  <c r="G23" i="1" s="1"/>
  <c r="H25" i="1"/>
  <c r="I28" i="1"/>
  <c r="M23" i="1"/>
  <c r="J25" i="1"/>
  <c r="N23" i="1"/>
  <c r="L21" i="1"/>
  <c r="F22" i="1"/>
  <c r="AD57" i="1" l="1"/>
  <c r="Q66" i="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Q67" i="1" l="1"/>
  <c r="Q68" i="1" s="1"/>
  <c r="Q69" i="1" s="1"/>
  <c r="Q70" i="1" s="1"/>
  <c r="AD66" i="1"/>
  <c r="O63" i="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D68" i="1" l="1"/>
  <c r="AD67" i="1"/>
  <c r="AD69" i="1"/>
  <c r="AD71" i="1"/>
  <c r="AD72" i="1"/>
  <c r="AD70" i="1"/>
  <c r="O66" i="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O67" i="1" l="1"/>
  <c r="O68" i="1" s="1"/>
  <c r="O69" i="1" s="1"/>
  <c r="O70" i="1" s="1"/>
  <c r="AB66" i="1"/>
  <c r="J50" i="1"/>
  <c r="J51" i="1" s="1"/>
  <c r="H47" i="1"/>
  <c r="H48" i="1" s="1"/>
  <c r="I47" i="1"/>
  <c r="I48" i="1" s="1"/>
  <c r="I49" i="1" s="1"/>
  <c r="I50" i="1" s="1"/>
  <c r="K43" i="1"/>
  <c r="N27" i="1"/>
  <c r="M28" i="1"/>
  <c r="M29" i="1" s="1"/>
  <c r="L30" i="1"/>
  <c r="G29" i="1"/>
  <c r="F28" i="1"/>
  <c r="AB68" i="1" l="1"/>
  <c r="AB67" i="1"/>
  <c r="AB69" i="1"/>
  <c r="AB71" i="1"/>
  <c r="AB72" i="1"/>
  <c r="AB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J67" i="1" l="1"/>
  <c r="H65" i="1"/>
  <c r="H66" i="1" s="1"/>
  <c r="U2" i="1"/>
  <c r="W2" i="1"/>
  <c r="I54" i="1"/>
  <c r="I55" i="1" s="1"/>
  <c r="I56" i="1" s="1"/>
  <c r="I57" i="1" s="1"/>
  <c r="I58" i="1" s="1"/>
  <c r="I59" i="1" s="1"/>
  <c r="I60" i="1" s="1"/>
  <c r="I61" i="1" s="1"/>
  <c r="I62" i="1" s="1"/>
  <c r="F51" i="1"/>
  <c r="G47" i="1"/>
  <c r="K47" i="1"/>
  <c r="L35" i="1"/>
  <c r="M34" i="1"/>
  <c r="AB31" i="1"/>
  <c r="N32" i="1"/>
  <c r="N33" i="1" s="1"/>
  <c r="AC31" i="1"/>
  <c r="AB29" i="1"/>
  <c r="AC29" i="1"/>
  <c r="J68" i="1" l="1"/>
  <c r="H67" i="1"/>
  <c r="I63" i="1"/>
  <c r="I64" i="1" s="1"/>
  <c r="I65" i="1" s="1"/>
  <c r="I66" i="1" s="1"/>
  <c r="F52" i="1"/>
  <c r="AD36" i="1"/>
  <c r="G48" i="1"/>
  <c r="K48" i="1"/>
  <c r="L36" i="1"/>
  <c r="M35" i="1"/>
  <c r="AC17" i="1"/>
  <c r="N34" i="1"/>
  <c r="N35" i="1" s="1"/>
  <c r="N36" i="1" s="1"/>
  <c r="N37" i="1" s="1"/>
  <c r="N38" i="1" s="1"/>
  <c r="N39" i="1" s="1"/>
  <c r="N40" i="1" s="1"/>
  <c r="N41" i="1" s="1"/>
  <c r="N42" i="1" s="1"/>
  <c r="AB17" i="1"/>
  <c r="J69" i="1" l="1"/>
  <c r="H68" i="1"/>
  <c r="I67" i="1"/>
  <c r="I68" i="1" s="1"/>
  <c r="I69" i="1" s="1"/>
  <c r="I70" i="1" s="1"/>
  <c r="V66" i="1"/>
  <c r="V67" i="1"/>
  <c r="V51" i="1"/>
  <c r="V65" i="1"/>
  <c r="V64" i="1"/>
  <c r="V2" i="1"/>
  <c r="V43" i="1"/>
  <c r="V50" i="1"/>
  <c r="V60" i="1"/>
  <c r="V41" i="1"/>
  <c r="V48"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V55" i="1" l="1"/>
  <c r="V44" i="1"/>
  <c r="J70" i="1"/>
  <c r="W59" i="1" s="1"/>
  <c r="V68" i="1"/>
  <c r="V69" i="1"/>
  <c r="H69" i="1"/>
  <c r="V71" i="1"/>
  <c r="V72" i="1"/>
  <c r="V70" i="1"/>
  <c r="F63" i="1"/>
  <c r="F64" i="1" s="1"/>
  <c r="AB38" i="1"/>
  <c r="AB41" i="1"/>
  <c r="AB39" i="1"/>
  <c r="AB42" i="1"/>
  <c r="K51" i="1"/>
  <c r="G50" i="1"/>
  <c r="AD38" i="1"/>
  <c r="AC43" i="1"/>
  <c r="N44" i="1"/>
  <c r="AB43" i="1"/>
  <c r="L38" i="1"/>
  <c r="L39" i="1" s="1"/>
  <c r="AC33" i="1"/>
  <c r="AB33" i="1"/>
  <c r="M37" i="1"/>
  <c r="W41" i="1" l="1"/>
  <c r="W70" i="1"/>
  <c r="W54" i="1"/>
  <c r="W65" i="1"/>
  <c r="W56" i="1"/>
  <c r="W71" i="1"/>
  <c r="W74" i="1"/>
  <c r="W73" i="1"/>
  <c r="W67" i="1"/>
  <c r="W48" i="1"/>
  <c r="W49" i="1"/>
  <c r="W58" i="1"/>
  <c r="W40" i="1"/>
  <c r="W53" i="1"/>
  <c r="W60" i="1"/>
  <c r="W43" i="1"/>
  <c r="W46" i="1"/>
  <c r="W51" i="1"/>
  <c r="W66" i="1"/>
  <c r="W68" i="1"/>
  <c r="W62" i="1"/>
  <c r="W61" i="1"/>
  <c r="W47" i="1"/>
  <c r="W39" i="1"/>
  <c r="W52" i="1"/>
  <c r="W57" i="1"/>
  <c r="W63" i="1"/>
  <c r="W42" i="1"/>
  <c r="W69" i="1"/>
  <c r="W50" i="1"/>
  <c r="W45" i="1"/>
  <c r="W64" i="1"/>
  <c r="W44" i="1"/>
  <c r="W55" i="1"/>
  <c r="H70" i="1"/>
  <c r="U63" i="1" s="1"/>
  <c r="W72" i="1"/>
  <c r="F65" i="1"/>
  <c r="F66" i="1" s="1"/>
  <c r="K52" i="1"/>
  <c r="K53" i="1" s="1"/>
  <c r="G51" i="1"/>
  <c r="AD39" i="1"/>
  <c r="AC35" i="1"/>
  <c r="AC23" i="1"/>
  <c r="AB46" i="1"/>
  <c r="N45" i="1"/>
  <c r="L40" i="1"/>
  <c r="M38" i="1"/>
  <c r="M39" i="1" s="1"/>
  <c r="M40" i="1" s="1"/>
  <c r="U54" i="1" l="1"/>
  <c r="U50" i="1"/>
  <c r="U52" i="1"/>
  <c r="U62" i="1"/>
  <c r="U70" i="1"/>
  <c r="U53" i="1"/>
  <c r="U57" i="1"/>
  <c r="U59" i="1"/>
  <c r="U46" i="1"/>
  <c r="U42" i="1"/>
  <c r="U73" i="1"/>
  <c r="U74" i="1"/>
  <c r="U69" i="1"/>
  <c r="U41" i="1"/>
  <c r="U48" i="1"/>
  <c r="U39" i="1"/>
  <c r="U40" i="1"/>
  <c r="U60" i="1"/>
  <c r="U66" i="1"/>
  <c r="U65" i="1"/>
  <c r="U45" i="1"/>
  <c r="U68" i="1"/>
  <c r="U47" i="1"/>
  <c r="U49" i="1"/>
  <c r="U58" i="1"/>
  <c r="U56" i="1"/>
  <c r="U64" i="1"/>
  <c r="U51" i="1"/>
  <c r="U67" i="1"/>
  <c r="U61" i="1"/>
  <c r="U43" i="1"/>
  <c r="U72" i="1"/>
  <c r="U44" i="1"/>
  <c r="U55" i="1"/>
  <c r="U71" i="1"/>
  <c r="F67" i="1"/>
  <c r="S2"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F68" i="1" l="1"/>
  <c r="K67" i="1"/>
  <c r="X2" i="1"/>
  <c r="G53" i="1"/>
  <c r="AC45" i="1"/>
  <c r="N49" i="1"/>
  <c r="N50" i="1" s="1"/>
  <c r="AB35" i="1"/>
  <c r="AC28" i="1"/>
  <c r="AD22" i="1"/>
  <c r="AB44" i="1"/>
  <c r="AC48" i="1"/>
  <c r="AC50" i="1"/>
  <c r="AC49" i="1"/>
  <c r="AB48" i="1"/>
  <c r="M42" i="1"/>
  <c r="L42" i="1"/>
  <c r="F69" i="1" l="1"/>
  <c r="K68" i="1"/>
  <c r="K69" i="1" s="1"/>
  <c r="G54" i="1"/>
  <c r="R2" i="1"/>
  <c r="N51" i="1"/>
  <c r="N52" i="1" s="1"/>
  <c r="N53" i="1" s="1"/>
  <c r="N54" i="1" s="1"/>
  <c r="N55" i="1" s="1"/>
  <c r="AB45" i="1"/>
  <c r="AC11" i="1"/>
  <c r="AC27" i="1"/>
  <c r="AC10" i="1"/>
  <c r="AC8" i="1"/>
  <c r="AC24" i="1"/>
  <c r="AC9" i="1"/>
  <c r="AC12" i="1"/>
  <c r="M43" i="1"/>
  <c r="L43" i="1"/>
  <c r="F70" i="1" l="1"/>
  <c r="S3" i="1" s="1"/>
  <c r="S57" i="1"/>
  <c r="K70" i="1"/>
  <c r="X69" i="1" s="1"/>
  <c r="N56" i="1"/>
  <c r="N57" i="1" s="1"/>
  <c r="N58" i="1" s="1"/>
  <c r="G55" i="1"/>
  <c r="AC3" i="1"/>
  <c r="AC20" i="1"/>
  <c r="AC14" i="1"/>
  <c r="AC53" i="1"/>
  <c r="AC51"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S8" i="1" l="1"/>
  <c r="S9" i="1"/>
  <c r="S46" i="1"/>
  <c r="S74" i="1"/>
  <c r="S37" i="1"/>
  <c r="S44" i="1"/>
  <c r="S35" i="1"/>
  <c r="S43" i="1"/>
  <c r="S70" i="1"/>
  <c r="S33" i="1"/>
  <c r="S63" i="1"/>
  <c r="S23" i="1"/>
  <c r="S10" i="1"/>
  <c r="S12" i="1"/>
  <c r="S50" i="1"/>
  <c r="S48" i="1"/>
  <c r="S65" i="1"/>
  <c r="S32" i="1"/>
  <c r="S72" i="1"/>
  <c r="S22" i="1"/>
  <c r="S24" i="1"/>
  <c r="S14" i="1"/>
  <c r="S69" i="1"/>
  <c r="S56" i="1"/>
  <c r="S28" i="1"/>
  <c r="S18" i="1"/>
  <c r="S16" i="1"/>
  <c r="S7" i="1"/>
  <c r="S19" i="1"/>
  <c r="S42" i="1"/>
  <c r="S40" i="1"/>
  <c r="S20" i="1"/>
  <c r="S15" i="1"/>
  <c r="S13" i="1"/>
  <c r="S36" i="1"/>
  <c r="S25" i="1"/>
  <c r="S21" i="1"/>
  <c r="S6" i="1"/>
  <c r="S66" i="1"/>
  <c r="S59" i="1"/>
  <c r="S62" i="1"/>
  <c r="S49" i="1"/>
  <c r="S51" i="1"/>
  <c r="S61" i="1"/>
  <c r="S47" i="1"/>
  <c r="S64" i="1"/>
  <c r="S45" i="1"/>
  <c r="S60" i="1"/>
  <c r="S52" i="1"/>
  <c r="S71" i="1"/>
  <c r="S73" i="1"/>
  <c r="S17" i="1"/>
  <c r="S34" i="1"/>
  <c r="S58" i="1"/>
  <c r="S30" i="1"/>
  <c r="S38" i="1"/>
  <c r="S5" i="1"/>
  <c r="S53" i="1"/>
  <c r="S29" i="1"/>
  <c r="S31" i="1"/>
  <c r="S11" i="1"/>
  <c r="S4" i="1"/>
  <c r="S39" i="1"/>
  <c r="S54" i="1"/>
  <c r="S67" i="1"/>
  <c r="S41" i="1"/>
  <c r="S55" i="1"/>
  <c r="S68" i="1"/>
  <c r="S26" i="1"/>
  <c r="S27" i="1"/>
  <c r="X70" i="1"/>
  <c r="X66" i="1"/>
  <c r="X47" i="1"/>
  <c r="X61" i="1"/>
  <c r="X45" i="1"/>
  <c r="X72" i="1"/>
  <c r="X46" i="1"/>
  <c r="X49" i="1"/>
  <c r="X67" i="1"/>
  <c r="X40" i="1"/>
  <c r="X41" i="1"/>
  <c r="X44" i="1"/>
  <c r="X62" i="1"/>
  <c r="X68" i="1"/>
  <c r="X71" i="1"/>
  <c r="X51" i="1"/>
  <c r="X59" i="1"/>
  <c r="X52" i="1"/>
  <c r="X54" i="1"/>
  <c r="X56" i="1"/>
  <c r="X55" i="1"/>
  <c r="X57" i="1"/>
  <c r="X43" i="1"/>
  <c r="X50" i="1"/>
  <c r="X63" i="1"/>
  <c r="X64" i="1"/>
  <c r="X73" i="1"/>
  <c r="X74" i="1"/>
  <c r="X42" i="1"/>
  <c r="X48" i="1"/>
  <c r="X58" i="1"/>
  <c r="X65" i="1"/>
  <c r="X39" i="1"/>
  <c r="X53" i="1"/>
  <c r="X60" i="1"/>
  <c r="N59" i="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6" i="1" l="1"/>
  <c r="AA64" i="1"/>
  <c r="AA65" i="1"/>
  <c r="G61" i="1"/>
  <c r="AA62" i="1"/>
  <c r="AA61" i="1"/>
  <c r="AA60" i="1"/>
  <c r="AA59" i="1"/>
  <c r="AA58" i="1"/>
  <c r="AA63" i="1"/>
  <c r="AA57" i="1"/>
  <c r="AA56" i="1"/>
  <c r="AA29" i="1"/>
  <c r="AA53" i="1"/>
  <c r="AA47" i="1"/>
  <c r="AA11" i="1"/>
  <c r="AA22" i="1"/>
  <c r="AA18" i="1"/>
  <c r="AA27" i="1"/>
  <c r="AA14" i="1"/>
  <c r="AA3" i="1"/>
  <c r="AA34" i="1"/>
  <c r="AA31" i="1"/>
  <c r="AA26" i="1"/>
  <c r="AA16" i="1"/>
  <c r="AA12" i="1"/>
  <c r="AA37" i="1"/>
  <c r="AA39" i="1"/>
  <c r="AA42" i="1"/>
  <c r="AA30" i="1"/>
  <c r="AA5" i="1"/>
  <c r="AA4" i="1"/>
  <c r="AA49" i="1"/>
  <c r="AA46" i="1"/>
  <c r="AA23" i="1"/>
  <c r="AA8" i="1"/>
  <c r="AA24" i="1"/>
  <c r="AA43" i="1"/>
  <c r="AA21" i="1"/>
  <c r="AA40" i="1"/>
  <c r="AA15" i="1"/>
  <c r="AA36" i="1"/>
  <c r="AA52" i="1"/>
  <c r="AA20" i="1"/>
  <c r="AA50"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66" i="1" l="1"/>
  <c r="N67" i="1"/>
  <c r="G62" i="1"/>
  <c r="M51" i="1"/>
  <c r="M52" i="1" s="1"/>
  <c r="M53" i="1" s="1"/>
  <c r="L50" i="1"/>
  <c r="AA68" i="1" l="1"/>
  <c r="N68" i="1"/>
  <c r="N69" i="1" s="1"/>
  <c r="G63" i="1"/>
  <c r="G64" i="1" s="1"/>
  <c r="AA67" i="1"/>
  <c r="M54" i="1"/>
  <c r="M55" i="1" s="1"/>
  <c r="L51" i="1"/>
  <c r="L52" i="1" s="1"/>
  <c r="L53" i="1" s="1"/>
  <c r="AA70" i="1" l="1"/>
  <c r="AA69" i="1"/>
  <c r="N70" i="1"/>
  <c r="AA54" i="1"/>
  <c r="G65" i="1"/>
  <c r="M56" i="1"/>
  <c r="M57" i="1" s="1"/>
  <c r="L54" i="1"/>
  <c r="AA71" i="1" l="1"/>
  <c r="AA55" i="1"/>
  <c r="AA44" i="1"/>
  <c r="AA72" i="1"/>
  <c r="G66" i="1"/>
  <c r="M58" i="1"/>
  <c r="M59" i="1" s="1"/>
  <c r="M60" i="1" s="1"/>
  <c r="Z2" i="1"/>
  <c r="L55" i="1"/>
  <c r="L56" i="1" s="1"/>
  <c r="L57" i="1" s="1"/>
  <c r="L58" i="1" s="1"/>
  <c r="L59" i="1" s="1"/>
  <c r="L60" i="1" s="1"/>
  <c r="L61" i="1" s="1"/>
  <c r="L62" i="1" s="1"/>
  <c r="L63" i="1" s="1"/>
  <c r="L64" i="1" s="1"/>
  <c r="L65" i="1" s="1"/>
  <c r="L66" i="1" s="1"/>
  <c r="L67" i="1" l="1"/>
  <c r="L68" i="1" s="1"/>
  <c r="L69" i="1" s="1"/>
  <c r="L70" i="1" s="1"/>
  <c r="G67" i="1"/>
  <c r="M61" i="1"/>
  <c r="Y56" i="1" l="1"/>
  <c r="Y68" i="1"/>
  <c r="Y62" i="1"/>
  <c r="Y59" i="1"/>
  <c r="Y58" i="1"/>
  <c r="Y64" i="1"/>
  <c r="Y73" i="1"/>
  <c r="Y74" i="1"/>
  <c r="Y20" i="1"/>
  <c r="Y60" i="1"/>
  <c r="Y63" i="1"/>
  <c r="Y57" i="1"/>
  <c r="Y61" i="1"/>
  <c r="Y65" i="1"/>
  <c r="Y66" i="1"/>
  <c r="G68" i="1"/>
  <c r="G69" i="1" s="1"/>
  <c r="Y72" i="1"/>
  <c r="Y71" i="1"/>
  <c r="Y67" i="1"/>
  <c r="Y69" i="1"/>
  <c r="Y70" i="1"/>
  <c r="M62" i="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G70" i="1" l="1"/>
  <c r="T65" i="1" s="1"/>
  <c r="T2" i="1"/>
  <c r="T42" i="1"/>
  <c r="M63" i="1"/>
  <c r="M64" i="1" s="1"/>
  <c r="M65" i="1" s="1"/>
  <c r="T7" i="1" l="1"/>
  <c r="T19" i="1"/>
  <c r="T30" i="1"/>
  <c r="T29" i="1"/>
  <c r="T4" i="1"/>
  <c r="T23" i="1"/>
  <c r="T52" i="1"/>
  <c r="T46" i="1"/>
  <c r="T49" i="1"/>
  <c r="T62" i="1"/>
  <c r="T24" i="1"/>
  <c r="T53" i="1"/>
  <c r="T60" i="1"/>
  <c r="T9" i="1"/>
  <c r="T64" i="1"/>
  <c r="T3" i="1"/>
  <c r="T16" i="1"/>
  <c r="T40" i="1"/>
  <c r="T33" i="1"/>
  <c r="T68" i="1"/>
  <c r="T11" i="1"/>
  <c r="T54" i="1"/>
  <c r="T39" i="1"/>
  <c r="T51" i="1"/>
  <c r="T58" i="1"/>
  <c r="T26" i="1"/>
  <c r="T56" i="1"/>
  <c r="T17" i="1"/>
  <c r="T59" i="1"/>
  <c r="T50" i="1"/>
  <c r="T14" i="1"/>
  <c r="T47" i="1"/>
  <c r="T73" i="1"/>
  <c r="T74" i="1"/>
  <c r="T55" i="1"/>
  <c r="T44" i="1"/>
  <c r="T35" i="1"/>
  <c r="T10" i="1"/>
  <c r="T34" i="1"/>
  <c r="T31" i="1"/>
  <c r="T57" i="1"/>
  <c r="T43" i="1"/>
  <c r="T25" i="1"/>
  <c r="T38" i="1"/>
  <c r="T41" i="1"/>
  <c r="T36" i="1"/>
  <c r="T6" i="1"/>
  <c r="T8" i="1"/>
  <c r="T32" i="1"/>
  <c r="T71" i="1"/>
  <c r="T67" i="1"/>
  <c r="T22" i="1"/>
  <c r="T63" i="1"/>
  <c r="T28" i="1"/>
  <c r="T21" i="1"/>
  <c r="T27" i="1"/>
  <c r="T13" i="1"/>
  <c r="T66" i="1"/>
  <c r="T12" i="1"/>
  <c r="T61" i="1"/>
  <c r="T18" i="1"/>
  <c r="T45" i="1"/>
  <c r="T72" i="1"/>
  <c r="T69" i="1"/>
  <c r="T70" i="1"/>
  <c r="T5" i="1"/>
  <c r="T37" i="1"/>
  <c r="T20" i="1"/>
  <c r="T15" i="1"/>
  <c r="T48" i="1"/>
  <c r="M66" i="1"/>
  <c r="M67" i="1" l="1"/>
  <c r="Z58" i="1"/>
  <c r="Z7" i="1"/>
  <c r="Z17" i="1"/>
  <c r="Z25" i="1"/>
  <c r="Z5"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28" i="1"/>
  <c r="Z20" i="1"/>
  <c r="Z14" i="1"/>
  <c r="Z19" i="1"/>
  <c r="Z63" i="1"/>
  <c r="Z65" i="1"/>
  <c r="Z22" i="1"/>
  <c r="Z29" i="1"/>
  <c r="Z13" i="1"/>
  <c r="Z46" i="1"/>
  <c r="Z48" i="1"/>
  <c r="Z36" i="1"/>
  <c r="Z41" i="1"/>
  <c r="Z6" i="1"/>
  <c r="Z66" i="1"/>
  <c r="M68" i="1" l="1"/>
  <c r="Z40" i="1"/>
  <c r="Z30" i="1"/>
  <c r="Z15" i="1"/>
  <c r="Z27" i="1"/>
  <c r="Z35" i="1"/>
  <c r="Z16" i="1"/>
  <c r="Z4" i="1"/>
  <c r="Z64" i="1"/>
  <c r="Z60" i="1"/>
  <c r="AC67" i="1"/>
  <c r="P68" i="1"/>
  <c r="M69" i="1" l="1"/>
  <c r="M70" i="1" s="1"/>
  <c r="Z44" i="1" s="1"/>
  <c r="Z54" i="1"/>
  <c r="Z70" i="1"/>
  <c r="Z68" i="1"/>
  <c r="AC68" i="1"/>
  <c r="P69" i="1"/>
  <c r="P70" i="1" s="1"/>
  <c r="Z72" i="1"/>
  <c r="Z71" i="1"/>
  <c r="Z69" i="1"/>
  <c r="AC70" i="1"/>
  <c r="AC69" i="1"/>
  <c r="Z55" i="1" l="1"/>
  <c r="AC55" i="1"/>
  <c r="AC44" i="1"/>
  <c r="AC71" i="1"/>
  <c r="AC72" i="1"/>
  <c r="AC54"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<sst xmlns="http://schemas.openxmlformats.org/spreadsheetml/2006/main" count="875" uniqueCount="530">
  <si>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</si>
  <si>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</si>
  <si>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</si>
  <si>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</si>
  <si>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</si>
  <si>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</si>
  <si>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</si>
  <si>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</si>
  <si>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</si>
  <si>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</si>
  <si>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</si>
  <si>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</si>
  <si>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</si>
  <si>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</si>
  <si>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</si>
  <si>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</si>
  <si>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</si>
  <si>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</si>
  <si>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</si>
  <si>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</si>
  <si>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</si>
  <si>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</si>
  <si>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</si>
  <si>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</si>
  <si>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</si>
  <si>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</si>
  <si>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</si>
  <si>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</si>
  <si>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</si>
  <si>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</si>
  <si>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</si>
  <si>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</si>
  <si>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</si>
  <si>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</si>
  <si>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</si>
  <si>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</si>
  <si>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</si>
  <si>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</si>
  <si>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</si>
  <si>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</si>
  <si>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</si>
  <si>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</si>
  <si>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</si>
  <si>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</si>
  <si>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</si>
  <si>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</si>
  <si>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</si>
  <si>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</si>
  <si>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</si>
  <si>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</si>
  <si>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</si>
  <si>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</si>
  <si>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</si>
  <si>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</si>
  <si>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</si>
  <si>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</si>
  <si>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</si>
  <si>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</si>
  <si>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</si>
  <si>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</si>
  <si>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</si>
  <si>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</si>
  <si>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</si>
  <si>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</si>
  <si>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</si>
  <si>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</si>
  <si>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</si>
  <si>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</si>
  <si>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</si>
  <si>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</si>
  <si>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</si>
  <si>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</si>
  <si>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</si>
  <si>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</si>
  <si>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</si>
  <si>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</si>
  <si>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</si>
  <si>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</si>
  <si>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</si>
  <si>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</si>
  <si>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</si>
  <si>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</si>
  <si>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</si>
  <si>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</si>
  <si>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</si>
  <si>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</si>
  <si>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</si>
  <si>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</si>
  <si>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</si>
  <si>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</si>
  <si>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</si>
  <si>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</si>
  <si>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</si>
  <si>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</si>
  <si>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</si>
  <si>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</si>
  <si>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</si>
  <si>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</si>
  <si>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</si>
  <si>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</si>
  <si>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</si>
  <si>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</si>
  <si>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</si>
  <si>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</si>
  <si>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</si>
  <si>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</si>
  <si>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</si>
  <si>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</si>
  <si>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</si>
  <si>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</si>
  <si>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</si>
  <si>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</si>
  <si>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</si>
  <si>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</si>
  <si>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</si>
  <si>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</si>
  <si>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</si>
  <si>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</si>
  <si>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</si>
  <si>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</si>
  <si>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</si>
  <si>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</si>
  <si>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</si>
  <si>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</si>
  <si>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</si>
  <si>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</si>
  <si>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</si>
  <si>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</si>
  <si>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</si>
  <si>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</si>
  <si>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</si>
  <si>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</si>
  <si>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</si>
  <si>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</si>
  <si>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</si>
  <si>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</si>
  <si>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</si>
  <si>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</si>
  <si>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</si>
  <si>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</si>
  <si>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</si>
  <si>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</si>
  <si>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</si>
  <si>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</si>
  <si>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</si>
  <si>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</si>
  <si>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</si>
  <si>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</si>
  <si>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</si>
  <si>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</si>
  <si>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</si>
  <si>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</si>
  <si>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</si>
  <si>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</si>
  <si>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</si>
  <si>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</si>
  <si>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</si>
  <si>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</si>
  <si>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</si>
  <si>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</si>
  <si>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</si>
  <si>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</si>
  <si>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</si>
  <si>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</si>
  <si>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</si>
  <si>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</si>
  <si>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</si>
  <si>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</si>
  <si>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</si>
  <si>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</si>
  <si>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</si>
  <si>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</si>
  <si>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</si>
  <si>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</si>
  <si>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</si>
  <si>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</si>
  <si>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</si>
  <si>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</si>
  <si>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</si>
  <si>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</si>
  <si>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</si>
  <si>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</si>
  <si>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</si>
  <si>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</si>
  <si>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</si>
  <si>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</si>
  <si>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</si>
  <si>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</si>
  <si>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</si>
  <si>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</si>
  <si>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</si>
  <si>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</si>
  <si>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</si>
  <si>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</si>
  <si>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</si>
  <si>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</si>
  <si>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</si>
  <si>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</si>
  <si>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</si>
  <si>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</si>
  <si>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</si>
  <si>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</si>
  <si>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</si>
  <si>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</si>
  <si>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</si>
  <si>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</si>
  <si>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</si>
  <si>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</si>
  <si>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</si>
  <si>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</si>
  <si>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</si>
  <si>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</si>
  <si>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</si>
  <si>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</si>
  <si>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</si>
  <si>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</si>
  <si>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</si>
  <si>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</si>
  <si>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</si>
  <si>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</si>
  <si>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</si>
  <si>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</si>
  <si>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</si>
  <si>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</si>
  <si>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</si>
  <si>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</si>
  <si>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</si>
  <si>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</si>
  <si>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</si>
  <si>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</si>
  <si>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</si>
  <si>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</si>
  <si>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</si>
  <si>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</si>
  <si>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</si>
  <si>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</si>
  <si>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</si>
  <si>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</si>
  <si>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</si>
  <si>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</si>
  <si>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</si>
  <si>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</si>
  <si>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</si>
  <si>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</si>
  <si>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</si>
  <si>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</si>
  <si>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</si>
  <si>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</si>
  <si>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</si>
  <si>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</si>
  <si>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</si>
  <si>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</si>
  <si>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</si>
  <si>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</si>
  <si>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</si>
  <si>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</si>
  <si>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</si>
  <si>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</si>
  <si>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</si>
  <si>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</si>
  <si>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</si>
  <si>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</si>
  <si>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</si>
  <si>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</si>
  <si>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</si>
  <si>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</si>
  <si>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</si>
  <si>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</si>
  <si>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</si>
  <si>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</si>
  <si>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</si>
  <si>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</si>
  <si>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</si>
  <si>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</si>
  <si>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</si>
  <si>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</si>
  <si>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</si>
  <si>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</si>
  <si>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</si>
  <si>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</si>
  <si>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</si>
  <si>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</si>
  <si>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</si>
  <si>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</si>
  <si>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</si>
  <si>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</si>
  <si>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</si>
  <si>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</si>
  <si>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</si>
  <si>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</si>
  <si>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</si>
  <si>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</si>
  <si>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</si>
  <si>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</si>
  <si>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</si>
  <si>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</si>
  <si>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</si>
  <si>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</si>
  <si>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</si>
  <si>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</si>
  <si>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</si>
  <si>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</si>
  <si>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</si>
  <si>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</si>
  <si>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</si>
  <si>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</si>
  <si>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</si>
  <si>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</si>
  <si>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</si>
  <si>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</si>
  <si>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</si>
  <si>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</si>
  <si>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</si>
  <si>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</si>
  <si>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</si>
  <si>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</si>
  <si>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</si>
  <si>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</si>
  <si>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</si>
  <si>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</si>
  <si>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</si>
  <si>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</si>
  <si>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</si>
  <si>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</si>
  <si>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</si>
  <si>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</si>
  <si>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</si>
  <si>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</si>
  <si>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</si>
  <si>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</si>
  <si>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</si>
  <si>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</si>
  <si>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</si>
  <si>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</si>
  <si>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</si>
  <si>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</si>
  <si>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</si>
  <si>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</si>
  <si>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</si>
  <si>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</si>
  <si>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</si>
  <si>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</si>
  <si>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</si>
  <si>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</si>
  <si>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</si>
  <si>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</si>
  <si>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</si>
  <si>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</si>
  <si>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</si>
  <si>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</si>
  <si>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</si>
  <si>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</si>
  <si>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</si>
  <si>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</si>
  <si>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</si>
  <si>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</si>
  <si>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</si>
  <si>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</si>
  <si>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</si>
  <si>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</si>
  <si>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</si>
  <si>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</si>
  <si>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</si>
  <si>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</si>
  <si>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</si>
  <si>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</si>
  <si>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</si>
  <si>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</si>
  <si>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</si>
  <si>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</si>
  <si>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</si>
  <si>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</si>
  <si>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</si>
  <si>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</si>
  <si>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</si>
  <si>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</si>
  <si>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</si>
  <si>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</si>
  <si>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</si>
  <si>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</si>
  <si>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</si>
  <si>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</si>
  <si>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</si>
  <si>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</si>
  <si>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</si>
  <si>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</si>
  <si>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</si>
  <si>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</si>
  <si>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</si>
  <si>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</si>
  <si>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</si>
  <si>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</si>
  <si>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</si>
  <si>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</si>
  <si>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</si>
  <si>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</si>
  <si>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</si>
  <si>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</si>
  <si>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</si>
  <si>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</si>
  <si>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</si>
  <si>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</si>
  <si>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</si>
  <si>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</si>
  <si>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</si>
  <si>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</si>
  <si>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</si>
  <si>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</si>
  <si>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</si>
  <si>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</si>
  <si>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</si>
  <si>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</si>
  <si>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</si>
  <si>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</si>
  <si>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</si>
  <si>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</si>
  <si>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</si>
  <si>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</si>
  <si>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</si>
  <si>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</si>
  <si>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</si>
  <si>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</si>
  <si>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</si>
  <si>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</si>
  <si>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</si>
  <si>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</si>
  <si>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</si>
  <si>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</si>
  <si>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</si>
  <si>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</si>
  <si>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</si>
  <si>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</si>
  <si>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</si>
  <si>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</si>
  <si>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</si>
  <si>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</si>
  <si>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</si>
  <si>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</si>
  <si>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</si>
  <si>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</si>
  <si>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</si>
  <si>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</si>
  <si>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</si>
  <si>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</si>
  <si>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</si>
  <si>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</si>
  <si>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</si>
  <si>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</si>
  <si>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</si>
  <si>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</si>
  <si>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</si>
  <si>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</si>
  <si>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</si>
  <si>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</si>
  <si>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</si>
  <si>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</si>
  <si>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</si>
  <si>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</si>
  <si>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</si>
  <si>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</si>
  <si>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</si>
  <si>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</si>
  <si>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</si>
  <si>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</si>
  <si>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</si>
  <si>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</si>
  <si>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</si>
  <si>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</si>
  <si>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</si>
  <si>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</si>
  <si>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</si>
  <si>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</si>
  <si>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</si>
  <si>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</si>
  <si>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</si>
  <si>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</si>
  <si>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</si>
  <si>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</si>
  <si>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</si>
  <si>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</si>
  <si>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</si>
  <si>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</si>
  <si>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</si>
  <si>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</si>
  <si>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</si>
  <si>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</si>
  <si>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</si>
  <si>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</si>
  <si>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</si>
  <si>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</si>
  <si>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</si>
  <si>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</si>
  <si>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</si>
  <si>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</si>
  <si>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</si>
  <si>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</si>
  <si>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</si>
  <si>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</si>
  <si>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</si>
  <si>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</si>
  <si>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</si>
  <si>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</si>
  <si>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</si>
  <si>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</si>
  <si>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</si>
  <si>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</si>
  <si>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</si>
  <si>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</si>
  <si>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</si>
  <si>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</si>
  <si>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SCW Индефлятор </t>
  </si>
  <si>
    <t>50 ml</t>
  </si>
  <si>
    <t>Launcher 6F AL 3</t>
  </si>
  <si>
    <t xml:space="preserve">Заведующий отделения: Д.В. Карчевский </t>
  </si>
  <si>
    <t>Lepu Medical Balancium</t>
  </si>
  <si>
    <t>DES, Metafor</t>
  </si>
  <si>
    <t>Проводник коронарный  0,8g, Angioline</t>
  </si>
  <si>
    <t>лучевой</t>
  </si>
  <si>
    <t>Извлечён</t>
  </si>
  <si>
    <t>1) Строгий контроль места пункции! Повязку убрать через 6ч</t>
  </si>
  <si>
    <t>150 ml</t>
  </si>
  <si>
    <t>проходим, контуры ровные.</t>
  </si>
  <si>
    <t>07:00</t>
  </si>
  <si>
    <t>Правый</t>
  </si>
  <si>
    <t>Михайлов П.С.</t>
  </si>
  <si>
    <t xml:space="preserve">Совместно с д/кардиологом: с учетом клинических данных, ЭКГ и КАГ рекомендована ЧКВ бассейна ИМА в экстренном порядке. </t>
  </si>
  <si>
    <r>
      <t xml:space="preserve">неровности контуров среднего сегмента. Антеградный кровоток TIMI III. </t>
    </r>
    <r>
      <rPr>
        <b/>
        <sz val="11"/>
        <color theme="1"/>
        <rFont val="Arial Narrow"/>
        <family val="2"/>
        <charset val="204"/>
      </rPr>
      <t>ИМА</t>
    </r>
    <r>
      <rPr>
        <sz val="11"/>
        <color theme="1"/>
        <rFont val="Arial Narrow"/>
        <family val="2"/>
        <charset val="204"/>
      </rPr>
      <t>: крупная, определяется острая тотальная окклюзия на уровне проксимального сегмента.  Антеградный кровоток TIMI 0, TTG2, Rentrop 0</t>
    </r>
  </si>
  <si>
    <t>стеноз проксимального сегмента 30%, дистальный сегмент гипоплазирован. Антеградный кровоток TIMI III.</t>
  </si>
  <si>
    <t>стенозы проксимального и среднего сегментов 30%, стеноз проксимальной трети крупной ЗБВ 40%, стеноз средней трети ЗБВ 80%. Антеградный кровоток по ЗБВ ближе к TIMI III, по ЗМЖВ - TIMI III</t>
  </si>
  <si>
    <t>Устье ствола ЛКА  катетеризировано проводниковым катетером Launcher EBU3/5 6Fr. Коронарный проводник AngioLine 0,8 (1 шт) проведен в дистальный сегментв ИМА. Аспирационным катетером Hunter выполнена реканализация артерии, аспирирован фрагмент тромба. Выполнена предилатация значимого субокклюзирующего стеноза БК Колибри 2.0-15. В зону проксимального сегмента ИМА  имплантированы DES Resolute Integrity  3,0-18 мм и DES Resolute Integrity  2,75-18 мм, давлением 12 атм.  На контрольных съемках стенты раскрыты удовлетворительно, признаков краевых диссекций, тромбоза ИМА, экстравазации контрастного вещества не выявлено. Антеградный кровоток по ИМА востановлен до  TIMI III.  Ангиографический результат удовлетворительный. Пациент в тяжёлом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</si>
</sst>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
      <color theme="1"/>
      <name val="Arial Narrow"/>
      <family val="2"/>
      <charset val="204"/>
    </font>
    <font>
      <sz val="10.5"/>
      <color theme="1"/>
      <name val="Times New Roman"/>
      <family val="1"/>
      <charset val="204"/>
    </font>
    <font>
      <sz val="10.5"/>
      <color theme="1"/>
      <name val="Calibri"/>
      <family val="2"/>
      <scheme val="minor"/>
    </font>
    <font>
      <u/>
      <sz val="11"/>
      <color theme="1"/>
      <name val="Calibri Light"/>
      <family val="2"/>
      <charset val="204"/>
      <scheme val="maj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2"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6" fillId="9" borderId="21" applyNumberFormat="0" applyAlignment="0" applyProtection="0"/>
  </cellStyleXfs>
  <cellXfs count="24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fill" vertical="center"/>
    </xf>
    <xf numFmtId="0" fontId="20" fillId="0" borderId="0" xfId="0" applyFont="1" applyAlignment="1">
      <alignment horizontal="left"/>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6"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Alignment="1" applyProtection="1">
      <alignment vertical="center"/>
      <protection locked="0"/>
    </xf>
    <xf numFmtId="0" fontId="14"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3" fillId="0" borderId="12" xfId="0" applyFont="1" applyBorder="1"/>
    <xf numFmtId="0" fontId="0" fillId="0" borderId="0" xfId="0" applyProtection="1">
      <protection locked="0"/>
    </xf>
    <xf numFmtId="165" fontId="14" fillId="0" borderId="7" xfId="0" applyNumberFormat="1" applyFont="1" applyBorder="1" applyAlignment="1">
      <alignment horizontal="left" vertical="center"/>
    </xf>
    <xf numFmtId="0" fontId="14" fillId="0" borderId="7" xfId="0" applyFont="1" applyBorder="1" applyAlignment="1">
      <alignment horizontal="left" vertical="center"/>
    </xf>
    <xf numFmtId="0" fontId="26" fillId="0" borderId="0" xfId="0" applyFont="1" applyAlignment="1">
      <alignment horizontal="centerContinuous" vertical="top" wrapText="1"/>
    </xf>
    <xf numFmtId="0" fontId="14" fillId="0" borderId="0" xfId="0" applyFont="1" applyAlignment="1" applyProtection="1">
      <alignment vertical="top" wrapText="1"/>
      <protection locked="0"/>
    </xf>
    <xf numFmtId="0" fontId="14" fillId="0" borderId="0" xfId="0" applyFont="1" applyAlignment="1" applyProtection="1">
      <alignment horizontal="centerContinuous" vertical="top" wrapText="1"/>
      <protection locked="0"/>
    </xf>
    <xf numFmtId="0" fontId="31" fillId="0" borderId="0" xfId="0" applyFont="1" applyAlignment="1">
      <alignment vertical="top"/>
    </xf>
    <xf numFmtId="0" fontId="31"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Alignment="1" applyProtection="1">
      <alignment horizontal="left"/>
      <protection locked="0"/>
    </xf>
    <xf numFmtId="0" fontId="43" fillId="0" borderId="0" xfId="0" applyFont="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27" fillId="0" borderId="8" xfId="0" applyFont="1" applyBorder="1" applyAlignment="1">
      <alignment vertical="center"/>
    </xf>
    <xf numFmtId="165"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6" fontId="10" fillId="6" borderId="16" xfId="4" applyNumberFormat="1" applyFont="1" applyBorder="1" applyAlignment="1" applyProtection="1">
      <alignment horizontal="left" vertical="center"/>
      <protection locked="0"/>
    </xf>
    <xf numFmtId="0" fontId="37" fillId="0" borderId="0" xfId="0" applyFont="1" applyAlignment="1">
      <alignment horizontal="left" vertical="center"/>
    </xf>
    <xf numFmtId="0" fontId="34" fillId="0" borderId="13" xfId="0" applyFont="1" applyBorder="1" applyAlignment="1" applyProtection="1">
      <alignment horizontal="left"/>
      <protection locked="0"/>
    </xf>
    <xf numFmtId="0" fontId="34" fillId="0" borderId="0" xfId="0" applyFont="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14" fillId="0" borderId="9" xfId="0" applyFont="1" applyBorder="1" applyAlignment="1">
      <alignment vertical="center"/>
    </xf>
    <xf numFmtId="0" fontId="14"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6" fillId="0" borderId="10" xfId="0" applyFont="1" applyBorder="1" applyAlignment="1">
      <alignment horizontal="right"/>
    </xf>
    <xf numFmtId="165"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Alignment="1">
      <alignment horizontal="centerContinuous"/>
    </xf>
    <xf numFmtId="0" fontId="48" fillId="9" borderId="21" xfId="7" applyFont="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15" fillId="0" borderId="0" xfId="0" applyFont="1" applyAlignment="1">
      <alignment horizontal="center"/>
    </xf>
    <xf numFmtId="0" fontId="48"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5" fillId="0" borderId="0" xfId="0" applyNumberFormat="1" applyFont="1" applyAlignment="1" applyProtection="1">
      <alignment vertical="center"/>
      <protection locked="0"/>
    </xf>
    <xf numFmtId="0" fontId="0" fillId="0" borderId="0" xfId="0" applyAlignment="1">
      <alignment vertical="top" wrapText="1"/>
    </xf>
    <xf numFmtId="0" fontId="40" fillId="0" borderId="0" xfId="0" applyFont="1" applyAlignment="1" applyProtection="1">
      <alignment vertical="top" wrapText="1"/>
      <protection locked="0"/>
    </xf>
    <xf numFmtId="0" fontId="52" fillId="0" borderId="0" xfId="0" applyFont="1" applyAlignment="1">
      <alignment vertical="top"/>
    </xf>
    <xf numFmtId="0" fontId="53"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7" fillId="0" borderId="0" xfId="0" applyFont="1" applyAlignment="1">
      <alignment horizontal="centerContinuous" vertical="center"/>
    </xf>
    <xf numFmtId="0" fontId="49" fillId="0" borderId="0" xfId="0" applyFont="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5" fillId="0" borderId="35" xfId="0" applyFont="1" applyBorder="1" applyAlignment="1" applyProtection="1">
      <alignment horizontal="center" vertical="center"/>
      <protection locked="0"/>
    </xf>
    <xf numFmtId="0" fontId="55"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lignment horizont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35" xfId="0" applyFont="1" applyBorder="1" applyAlignment="1" applyProtection="1">
      <alignment horizontal="justify" vertical="center" wrapText="1"/>
      <protection locked="0"/>
    </xf>
    <xf numFmtId="0" fontId="3" fillId="0" borderId="0" xfId="0" applyFont="1"/>
    <xf numFmtId="0" fontId="57" fillId="0" borderId="40" xfId="0" applyFont="1" applyBorder="1" applyProtection="1">
      <protection locked="0"/>
    </xf>
    <xf numFmtId="0" fontId="0" fillId="0" borderId="0" xfId="0" applyAlignment="1">
      <alignment horizontal="center" vertical="top"/>
    </xf>
    <xf numFmtId="0" fontId="15" fillId="0" borderId="0" xfId="0" applyFont="1"/>
    <xf numFmtId="0" fontId="2" fillId="0" borderId="0" xfId="0" applyFont="1"/>
    <xf numFmtId="0" fontId="14"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5" fillId="0" borderId="20" xfId="0" applyFont="1" applyBorder="1" applyAlignment="1" applyProtection="1">
      <alignment horizontal="left" vertical="center" wrapText="1"/>
      <protection locked="0"/>
    </xf>
    <xf numFmtId="0" fontId="44" fillId="0" borderId="19" xfId="0" applyFont="1" applyBorder="1" applyAlignment="1">
      <alignment horizontal="left" vertical="center"/>
    </xf>
    <xf numFmtId="0" fontId="15"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5"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8"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4"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0"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5" fillId="0" borderId="20" xfId="0" applyNumberFormat="1" applyFont="1" applyBorder="1" applyAlignment="1">
      <alignment horizontal="left" vertical="center" wrapText="1"/>
    </xf>
    <xf numFmtId="0" fontId="45" fillId="0" borderId="20" xfId="0" applyFont="1" applyBorder="1" applyAlignment="1">
      <alignment horizontal="left" vertical="center" wrapText="1"/>
    </xf>
    <xf numFmtId="14" fontId="55"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7" fillId="0" borderId="0" xfId="0" applyFont="1" applyAlignment="1">
      <alignment horizontal="left"/>
    </xf>
    <xf numFmtId="20" fontId="28" fillId="0" borderId="13" xfId="0" applyNumberFormat="1" applyFont="1" applyBorder="1" applyAlignment="1">
      <alignment horizontal="left" wrapText="1"/>
    </xf>
    <xf numFmtId="0" fontId="14" fillId="0" borderId="13" xfId="0" applyFont="1" applyBorder="1" applyAlignment="1" applyProtection="1">
      <alignment horizontal="fill" vertical="center"/>
      <protection hidden="1"/>
    </xf>
    <xf numFmtId="14" fontId="55" fillId="0" borderId="26" xfId="0" applyNumberFormat="1" applyFont="1" applyBorder="1" applyAlignment="1" applyProtection="1">
      <alignment horizontal="center" vertical="center"/>
      <protection locked="0"/>
    </xf>
    <xf numFmtId="166" fontId="21" fillId="6" borderId="9" xfId="4" applyNumberFormat="1" applyFont="1" applyBorder="1" applyAlignment="1" applyProtection="1">
      <alignment horizontal="left" vertical="center"/>
    </xf>
    <xf numFmtId="0" fontId="0" fillId="0" borderId="0" xfId="0" applyAlignment="1">
      <alignment horizontal="left"/>
    </xf>
    <xf numFmtId="0" fontId="15"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6" fillId="0" borderId="8" xfId="0" applyFont="1" applyBorder="1" applyAlignment="1">
      <alignment horizontal="left" vertical="center"/>
    </xf>
    <xf numFmtId="167" fontId="0" fillId="0" borderId="0" xfId="0" applyNumberFormat="1" applyAlignment="1">
      <alignment horizontal="left"/>
    </xf>
    <xf numFmtId="0" fontId="15" fillId="0" borderId="4" xfId="0" applyFont="1" applyBorder="1" applyAlignment="1" applyProtection="1">
      <alignment horizontal="center" vertical="center"/>
      <protection locked="0"/>
    </xf>
    <xf numFmtId="0" fontId="10" fillId="0" borderId="12" xfId="0" applyFont="1" applyBorder="1" applyAlignment="1">
      <alignment horizontal="left"/>
    </xf>
    <xf numFmtId="0" fontId="1" fillId="0" borderId="8" xfId="0" applyFont="1" applyBorder="1"/>
    <xf numFmtId="0" fontId="36"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1" fillId="8" borderId="18" xfId="6" applyFont="1" applyBorder="1" applyAlignment="1" applyProtection="1">
      <alignment horizontal="left" vertical="center"/>
      <protection locked="0"/>
    </xf>
    <xf numFmtId="0" fontId="44" fillId="8" borderId="16" xfId="6" applyFont="1" applyBorder="1" applyAlignment="1" applyProtection="1">
      <alignment horizontal="left" vertical="center"/>
      <protection locked="0"/>
    </xf>
    <xf numFmtId="0" fontId="21" fillId="8" borderId="18" xfId="6" applyFont="1" applyBorder="1" applyAlignment="1" applyProtection="1">
      <alignment horizontal="left" vertical="center"/>
    </xf>
    <xf numFmtId="0" fontId="58" fillId="0" borderId="0" xfId="0" applyFont="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7"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1" fillId="0" borderId="0" xfId="0" applyFont="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52"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9" fillId="0" borderId="5" xfId="0" applyFont="1" applyBorder="1" applyAlignment="1" applyProtection="1">
      <alignment horizontal="justify" vertical="top" wrapText="1"/>
      <protection locked="0"/>
    </xf>
    <xf numFmtId="0" fontId="69" fillId="0" borderId="11" xfId="0" applyFont="1" applyBorder="1" applyAlignment="1" applyProtection="1">
      <alignment horizontal="justify" vertical="top" wrapText="1"/>
      <protection locked="0"/>
    </xf>
    <xf numFmtId="0" fontId="69" fillId="0" borderId="0" xfId="0" applyFont="1" applyAlignment="1" applyProtection="1">
      <alignment horizontal="justify" vertical="top" wrapText="1"/>
      <protection locked="0"/>
    </xf>
    <xf numFmtId="0" fontId="69" fillId="0" borderId="13" xfId="0" applyFont="1" applyBorder="1" applyAlignment="1" applyProtection="1">
      <alignment horizontal="justify" vertical="top" wrapText="1"/>
      <protection locked="0"/>
    </xf>
    <xf numFmtId="0" fontId="69" fillId="0" borderId="3" xfId="0" applyFont="1" applyBorder="1" applyAlignment="1" applyProtection="1">
      <alignment horizontal="justify" vertical="top" wrapText="1"/>
      <protection locked="0"/>
    </xf>
    <xf numFmtId="0" fontId="69"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50" fillId="0" borderId="4" xfId="0" applyFont="1" applyBorder="1" applyAlignment="1" applyProtection="1">
      <alignment horizontal="left" vertical="center"/>
      <protection locked="0"/>
    </xf>
    <xf numFmtId="0" fontId="72" fillId="0" borderId="0" xfId="0" applyFont="1" applyAlignment="1" applyProtection="1">
      <alignment horizontal="justify" vertical="top" wrapText="1"/>
      <protection locked="0"/>
    </xf>
    <xf numFmtId="0" fontId="40" fillId="0" borderId="0" xfId="0" applyFont="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71" fillId="0" borderId="0" xfId="0" applyFont="1" applyAlignment="1">
      <alignment horizontal="justify" vertical="top" wrapText="1"/>
    </xf>
    <xf numFmtId="0" fontId="71" fillId="0" borderId="13" xfId="0" applyFont="1" applyBorder="1" applyAlignment="1">
      <alignment horizontal="justify" vertical="top" wrapText="1"/>
    </xf>
    <xf numFmtId="0" fontId="71"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87628</xdr:colOff>
      <xdr:row>40</xdr:row>
      <xdr:rowOff>28575</xdr:rowOff>
    </xdr:from>
    <xdr:to>
      <xdr:col>1</xdr:col>
      <xdr:colOff>1000125</xdr:colOff>
      <xdr:row>49</xdr:row>
      <xdr:rowOff>12623</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28" y="7724775"/>
          <a:ext cx="2169797" cy="1612823"/>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4"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4"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учёта'!$B$21,Расходка[[#This Row],[Наименование расходного материала]])),MAX($I$1:I1)+1,0)</calculatedColumnFormula>
    </tableColumn>
    <tableColumn id="6" name="Индекс6" dataDxfId="23">
      <calculatedColumnFormula>IF(ISNUMBER(SEARCH('Карта учёта'!$B$19,Расходка[[#This Row],[Наименование расходного материала]])),MAX($J$1:J1)+1,0)</calculatedColumnFormula>
    </tableColumn>
    <tableColumn id="7" name="Индекс7" dataDxfId="22">
      <calculatedColumnFormula>IF(ISNUMBER(SEARCH('Карта учёта'!$B$17,Расходка[[#This Row],[Наименование расходного материала]])),MAX($K$1:K1)+1,0)</calculatedColumnFormula>
    </tableColumn>
    <tableColumn id="8" name="Индекс8" dataDxfId="21">
      <calculatedColumnFormula>IF(ISNUMBER(SEARCH('Карта учёта'!$B$18,Расходка[[#This Row],[Наименование расходного материала]])),MAX($L$1:L1)+1,0)</calculatedColumnFormula>
    </tableColumn>
    <tableColumn id="9" name="Индекс9" dataDxfId="20">
      <calculatedColumnFormula>IF(ISNUMBER(SEARCH('Карта учёта'!$B$20,Расходка[[#This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L35" sqref="L35"/>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45290</v>
      </c>
      <c r="C8" s="54"/>
      <c r="D8" s="16" t="s">
        <v>186</v>
      </c>
      <c r="E8" s="29"/>
      <c r="F8" s="29"/>
      <c r="G8" s="17"/>
      <c r="H8" s="18"/>
    </row>
    <row r="9" spans="1:8" ht="15.6" customHeight="1">
      <c r="A9" s="21" t="s">
        <v>193</v>
      </c>
      <c r="B9" s="22">
        <v>0.89583333333333337</v>
      </c>
      <c r="C9" s="54"/>
      <c r="D9" s="94" t="s">
        <v>172</v>
      </c>
      <c r="E9" s="92"/>
      <c r="F9" s="92"/>
      <c r="G9" s="23" t="s">
        <v>163</v>
      </c>
      <c r="H9" s="25"/>
    </row>
    <row r="10" spans="1:8" ht="15.6" customHeight="1" thickBot="1">
      <c r="A10" s="83" t="s">
        <v>194</v>
      </c>
      <c r="B10" s="84">
        <v>0.90277777777777779</v>
      </c>
      <c r="C10" s="55"/>
      <c r="D10" s="95" t="s">
        <v>173</v>
      </c>
      <c r="E10" s="93"/>
      <c r="F10" s="93"/>
      <c r="G10" s="24" t="s">
        <v>153</v>
      </c>
      <c r="H10" s="26"/>
    </row>
    <row r="11" spans="1:8" ht="17.25" thickTop="1" thickBot="1">
      <c r="A11" s="89" t="s">
        <v>192</v>
      </c>
      <c r="B11" s="201" t="s">
        <v>524</v>
      </c>
      <c r="C11" s="8"/>
      <c r="D11" s="95" t="s">
        <v>170</v>
      </c>
      <c r="E11" s="93"/>
      <c r="F11" s="93"/>
      <c r="G11" s="24" t="s">
        <v>270</v>
      </c>
      <c r="H11" s="26"/>
    </row>
    <row r="12" spans="1:8" ht="16.5" thickTop="1">
      <c r="A12" s="81" t="s">
        <v>8</v>
      </c>
      <c r="B12" s="82">
        <v>29952</v>
      </c>
      <c r="C12" s="12"/>
      <c r="D12" s="95" t="s">
        <v>303</v>
      </c>
      <c r="E12" s="93"/>
      <c r="F12" s="93"/>
      <c r="G12" s="24" t="s">
        <v>177</v>
      </c>
      <c r="H12" s="26"/>
    </row>
    <row r="13" spans="1:8" ht="15.75">
      <c r="A13" s="15" t="s">
        <v>10</v>
      </c>
      <c r="B13" s="30">
        <f>DATEDIF(B12,B8,"y")</f>
        <v>41</v>
      </c>
      <c r="C13" s="12"/>
      <c r="D13" s="95"/>
      <c r="E13" s="93"/>
      <c r="F13" s="93"/>
      <c r="G13" s="24"/>
      <c r="H13" s="26"/>
    </row>
    <row r="14" spans="1:8" ht="15.75">
      <c r="A14" s="15" t="s">
        <v>12</v>
      </c>
      <c r="B14" s="19">
        <v>35683</v>
      </c>
      <c r="C14" s="12"/>
      <c r="D14" s="36"/>
      <c r="E14" s="36"/>
      <c r="F14" s="36"/>
      <c r="G14" s="37"/>
      <c r="H14" s="56"/>
    </row>
    <row r="15" spans="1:8" ht="15.75">
      <c r="A15" s="15" t="s">
        <v>133</v>
      </c>
      <c r="B15" s="19">
        <v>35</v>
      </c>
      <c r="D15" s="36"/>
      <c r="E15" s="36"/>
      <c r="F15" s="36"/>
      <c r="G15" s="166" t="s">
        <v>401</v>
      </c>
      <c r="H15" s="170" t="s">
        <v>522</v>
      </c>
    </row>
    <row r="16" spans="1:8" ht="15.6" customHeight="1">
      <c r="A16" s="15" t="s">
        <v>106</v>
      </c>
      <c r="B16" s="19" t="s">
        <v>487</v>
      </c>
      <c r="D16" s="36"/>
      <c r="E16" s="36"/>
      <c r="F16" s="36"/>
      <c r="G16" s="167" t="s">
        <v>403</v>
      </c>
      <c r="H16" s="165">
        <v>7380</v>
      </c>
    </row>
    <row r="17" spans="1:8" ht="14.45" customHeight="1">
      <c r="A17" s="40"/>
      <c r="B17" s="31"/>
      <c r="C17" s="31"/>
      <c r="D17" s="88"/>
      <c r="E17" s="88"/>
      <c r="F17" s="88"/>
      <c r="G17" s="168" t="s">
        <v>390</v>
      </c>
      <c r="H17" s="169">
        <f>H16*0.0019</f>
        <v>14.022</v>
      </c>
    </row>
    <row r="18" spans="1:8" ht="14.45" customHeight="1">
      <c r="A18" s="57" t="s">
        <v>188</v>
      </c>
      <c r="B18" s="87" t="s">
        <v>523</v>
      </c>
      <c r="D18" s="28" t="s">
        <v>210</v>
      </c>
      <c r="E18" s="28"/>
      <c r="F18" s="28"/>
      <c r="G18" s="85" t="s">
        <v>189</v>
      </c>
      <c r="H18" s="86" t="s">
        <v>517</v>
      </c>
    </row>
    <row r="19" spans="1:8" ht="14.45" customHeight="1">
      <c r="A19" s="40"/>
      <c r="B19" s="31"/>
      <c r="C19" s="31"/>
      <c r="D19" s="34"/>
      <c r="E19" s="34"/>
      <c r="F19" s="34"/>
      <c r="G19" s="31"/>
      <c r="H19" s="41"/>
    </row>
    <row r="20" spans="1:8" ht="14.45" customHeight="1">
      <c r="A20" s="57" t="s">
        <v>212</v>
      </c>
      <c r="B20" s="214" t="s">
        <v>521</v>
      </c>
      <c r="C20" s="215"/>
      <c r="D20" s="215"/>
      <c r="E20" s="215"/>
      <c r="F20" s="215"/>
      <c r="G20" s="215"/>
      <c r="H20" s="216"/>
    </row>
    <row r="21" spans="1:8">
      <c r="A21" s="58"/>
      <c r="B21" s="217"/>
      <c r="C21" s="217"/>
      <c r="D21" s="217"/>
      <c r="E21" s="217"/>
      <c r="F21" s="217"/>
      <c r="G21" s="217"/>
      <c r="H21" s="218"/>
    </row>
    <row r="22" spans="1:8" ht="15.6" customHeight="1">
      <c r="A22" s="59" t="s">
        <v>271</v>
      </c>
      <c r="B22" s="219" t="s">
        <v>526</v>
      </c>
      <c r="C22" s="220"/>
      <c r="D22" s="220"/>
      <c r="E22" s="220"/>
      <c r="F22" s="220"/>
      <c r="G22" s="220"/>
      <c r="H22" s="221"/>
    </row>
    <row r="23" spans="1:8" ht="14.45" customHeight="1">
      <c r="A23" s="38"/>
      <c r="B23" s="222"/>
      <c r="C23" s="222"/>
      <c r="D23" s="222"/>
      <c r="E23" s="222"/>
      <c r="F23" s="222"/>
      <c r="G23" s="222"/>
      <c r="H23" s="223"/>
    </row>
    <row r="24" spans="1:8" ht="14.45" customHeight="1">
      <c r="A24" s="60"/>
      <c r="B24" s="222"/>
      <c r="C24" s="222"/>
      <c r="D24" s="222"/>
      <c r="E24" s="222"/>
      <c r="F24" s="222"/>
      <c r="G24" s="222"/>
      <c r="H24" s="223"/>
    </row>
    <row r="25" spans="1:8" ht="14.45" customHeight="1">
      <c r="A25" s="38"/>
      <c r="B25" s="222"/>
      <c r="C25" s="222"/>
      <c r="D25" s="222"/>
      <c r="E25" s="222"/>
      <c r="F25" s="222"/>
      <c r="G25" s="222"/>
      <c r="H25" s="223"/>
    </row>
    <row r="26" spans="1:8" ht="14.45" customHeight="1">
      <c r="A26" s="40"/>
      <c r="B26" s="224"/>
      <c r="C26" s="224"/>
      <c r="D26" s="224"/>
      <c r="E26" s="224"/>
      <c r="F26" s="224"/>
      <c r="G26" s="224"/>
      <c r="H26" s="225"/>
    </row>
    <row r="27" spans="1:8" ht="14.45" customHeight="1">
      <c r="A27" s="59" t="s">
        <v>272</v>
      </c>
      <c r="B27" s="219" t="s">
        <v>527</v>
      </c>
      <c r="C27" s="220"/>
      <c r="D27" s="220"/>
      <c r="E27" s="220"/>
      <c r="F27" s="220"/>
      <c r="G27" s="220"/>
      <c r="H27" s="221"/>
    </row>
    <row r="28" spans="1:8" ht="15.6" customHeight="1">
      <c r="A28" s="38"/>
      <c r="B28" s="222"/>
      <c r="C28" s="222"/>
      <c r="D28" s="222"/>
      <c r="E28" s="222"/>
      <c r="F28" s="222"/>
      <c r="G28" s="222"/>
      <c r="H28" s="223"/>
    </row>
    <row r="29" spans="1:8" ht="14.45" customHeight="1">
      <c r="A29" s="38"/>
      <c r="B29" s="222"/>
      <c r="C29" s="222"/>
      <c r="D29" s="222"/>
      <c r="E29" s="222"/>
      <c r="F29" s="222"/>
      <c r="G29" s="222"/>
      <c r="H29" s="223"/>
    </row>
    <row r="30" spans="1:8" ht="14.45" customHeight="1">
      <c r="A30" s="32"/>
      <c r="B30" s="222"/>
      <c r="C30" s="222"/>
      <c r="D30" s="222"/>
      <c r="E30" s="222"/>
      <c r="F30" s="222"/>
      <c r="G30" s="222"/>
      <c r="H30" s="223"/>
    </row>
    <row r="31" spans="1:8" ht="14.45" customHeight="1">
      <c r="A31" s="33"/>
      <c r="B31" s="224"/>
      <c r="C31" s="224"/>
      <c r="D31" s="224"/>
      <c r="E31" s="224"/>
      <c r="F31" s="224"/>
      <c r="G31" s="224"/>
      <c r="H31" s="225"/>
    </row>
    <row r="32" spans="1:8" ht="14.45" customHeight="1">
      <c r="A32" s="59" t="s">
        <v>273</v>
      </c>
      <c r="B32" s="219" t="s">
        <v>528</v>
      </c>
      <c r="C32" s="220"/>
      <c r="D32" s="220"/>
      <c r="E32" s="220"/>
      <c r="F32" s="220"/>
      <c r="G32" s="220"/>
      <c r="H32" s="221"/>
    </row>
    <row r="33" spans="1:8" ht="14.45" customHeight="1">
      <c r="A33" s="38"/>
      <c r="B33" s="222"/>
      <c r="C33" s="222"/>
      <c r="D33" s="222"/>
      <c r="E33" s="222"/>
      <c r="F33" s="222"/>
      <c r="G33" s="222"/>
      <c r="H33" s="223"/>
    </row>
    <row r="34" spans="1:8" ht="15.6" customHeight="1">
      <c r="A34" s="38"/>
      <c r="B34" s="222"/>
      <c r="C34" s="222"/>
      <c r="D34" s="222"/>
      <c r="E34" s="222"/>
      <c r="F34" s="222"/>
      <c r="G34" s="222"/>
      <c r="H34" s="223"/>
    </row>
    <row r="35" spans="1:8" ht="14.45" customHeight="1">
      <c r="A35" s="38"/>
      <c r="B35" s="222"/>
      <c r="C35" s="222"/>
      <c r="D35" s="222"/>
      <c r="E35" s="222"/>
      <c r="F35" s="222"/>
      <c r="G35" s="222"/>
      <c r="H35" s="223"/>
    </row>
    <row r="36" spans="1:8" ht="15.6" customHeight="1">
      <c r="A36" s="38"/>
      <c r="B36" s="224"/>
      <c r="C36" s="224"/>
      <c r="D36" s="224"/>
      <c r="E36" s="224"/>
      <c r="F36" s="224"/>
      <c r="G36" s="224"/>
      <c r="H36" s="225"/>
    </row>
    <row r="37" spans="1:8" ht="14.45" customHeight="1">
      <c r="A37" s="38"/>
      <c r="D37" s="207" t="str">
        <f>IF($A$6=Вмешательства!$D$3,Вмешательства!$F$18,"")</f>
        <v/>
      </c>
      <c r="E37" s="207"/>
      <c r="F37" s="119"/>
      <c r="G37" s="119"/>
      <c r="H37" s="123"/>
    </row>
    <row r="38" spans="1:8" ht="14.45" customHeight="1">
      <c r="A38" s="38"/>
      <c r="C38" s="124"/>
      <c r="D38" s="208"/>
      <c r="E38" s="209"/>
      <c r="F38" s="209"/>
      <c r="G38" s="209"/>
      <c r="H38" s="210"/>
    </row>
    <row r="39" spans="1:8" ht="14.45" customHeight="1">
      <c r="A39" s="35"/>
      <c r="B39" s="119"/>
      <c r="C39" s="124"/>
      <c r="D39" s="209"/>
      <c r="E39" s="209"/>
      <c r="F39" s="209"/>
      <c r="G39" s="209"/>
      <c r="H39" s="210"/>
    </row>
    <row r="40" spans="1:8" ht="14.45" customHeight="1">
      <c r="A40" s="35"/>
      <c r="B40" s="119"/>
      <c r="C40" s="124"/>
      <c r="D40" s="209"/>
      <c r="E40" s="209"/>
      <c r="F40" s="209"/>
      <c r="G40" s="209"/>
      <c r="H40" s="210"/>
    </row>
    <row r="41" spans="1:8" ht="14.45" customHeight="1">
      <c r="A41" s="35"/>
      <c r="B41" s="119"/>
      <c r="C41" s="124"/>
      <c r="D41" s="209"/>
      <c r="E41" s="209"/>
      <c r="F41" s="209"/>
      <c r="G41" s="209"/>
      <c r="H41" s="210"/>
    </row>
    <row r="42" spans="1:8" ht="14.45" customHeight="1">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04" t="s">
        <v>525</v>
      </c>
      <c r="E43" s="205"/>
      <c r="F43" s="205"/>
      <c r="G43" s="205"/>
      <c r="H43" s="206"/>
    </row>
    <row r="44" spans="1:8" ht="14.45" customHeight="1">
      <c r="A44" s="35"/>
      <c r="B44" s="119"/>
      <c r="C44" s="126"/>
      <c r="D44" s="205"/>
      <c r="E44" s="205"/>
      <c r="F44" s="205"/>
      <c r="G44" s="205"/>
      <c r="H44" s="206"/>
    </row>
    <row r="45" spans="1:8" ht="14.45" customHeight="1">
      <c r="A45" s="35"/>
      <c r="B45" s="119"/>
      <c r="C45" s="126"/>
      <c r="D45" s="205"/>
      <c r="E45" s="205"/>
      <c r="F45" s="205"/>
      <c r="G45" s="205"/>
      <c r="H45" s="206"/>
    </row>
    <row r="46" spans="1:8">
      <c r="A46" s="35"/>
      <c r="B46" s="119"/>
      <c r="C46" s="126"/>
      <c r="D46" s="205"/>
      <c r="E46" s="205"/>
      <c r="F46" s="205"/>
      <c r="G46" s="205"/>
      <c r="H46" s="206"/>
    </row>
    <row r="47" spans="1:8">
      <c r="A47" s="38"/>
      <c r="C47" s="126"/>
      <c r="D47" s="205"/>
      <c r="E47" s="205"/>
      <c r="F47" s="205"/>
      <c r="G47" s="205"/>
      <c r="H47" s="206"/>
    </row>
    <row r="48" spans="1:8">
      <c r="A48" s="38"/>
      <c r="C48" s="126"/>
      <c r="D48" s="205"/>
      <c r="E48" s="205"/>
      <c r="F48" s="205"/>
      <c r="G48" s="205"/>
      <c r="H48" s="206"/>
    </row>
    <row r="49" spans="1:13">
      <c r="A49" s="40"/>
      <c r="B49" s="31"/>
      <c r="C49" s="127"/>
      <c r="D49" s="205"/>
      <c r="E49" s="205"/>
      <c r="F49" s="205"/>
      <c r="G49" s="205"/>
      <c r="H49" s="206"/>
    </row>
    <row r="50" spans="1:13">
      <c r="A50" s="38"/>
      <c r="D50" s="205"/>
      <c r="E50" s="205"/>
      <c r="F50" s="205"/>
      <c r="G50" s="205"/>
      <c r="H50" s="206"/>
      <c r="M50" t="s">
        <v>211</v>
      </c>
    </row>
    <row r="51" spans="1:13">
      <c r="A51" s="62" t="s">
        <v>204</v>
      </c>
      <c r="B51" s="63" t="s">
        <v>511</v>
      </c>
      <c r="G51" s="74" t="str">
        <f>$G$9</f>
        <v>Щербаков А.С.</v>
      </c>
      <c r="H51" s="64"/>
    </row>
    <row r="52" spans="1:13">
      <c r="A52" s="38"/>
      <c r="H52" s="39"/>
    </row>
    <row r="53" spans="1:13">
      <c r="A53" s="65" t="s">
        <v>206</v>
      </c>
      <c r="B53" s="66" t="s">
        <v>518</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4" zoomScale="110" zoomScaleNormal="100" zoomScaleSheetLayoutView="110" zoomScalePageLayoutView="90" workbookViewId="0">
      <selection activeCell="I30" sqref="I30"/>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6" t="s">
        <v>208</v>
      </c>
      <c r="B6" s="237"/>
      <c r="C6" s="237"/>
      <c r="D6" s="237"/>
      <c r="E6" s="237"/>
      <c r="F6" s="237"/>
      <c r="G6" s="237"/>
      <c r="H6" s="238"/>
    </row>
    <row r="7" spans="1:8" ht="21.6" customHeight="1">
      <c r="A7" s="236"/>
      <c r="B7" s="237"/>
      <c r="C7" s="237"/>
      <c r="D7" s="237"/>
      <c r="E7" s="237"/>
      <c r="F7" s="237"/>
      <c r="G7" s="237"/>
      <c r="H7" s="238"/>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5" t="s">
        <v>222</v>
      </c>
      <c r="D8" s="235"/>
      <c r="E8" s="235"/>
      <c r="F8" s="191">
        <v>1</v>
      </c>
      <c r="G8" s="118" t="s">
        <v>309</v>
      </c>
      <c r="H8" s="159"/>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5"/>
      <c r="D9" s="235"/>
      <c r="E9" s="235"/>
      <c r="F9" s="191"/>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0"/>
      <c r="C10" s="239"/>
      <c r="D10" s="239"/>
      <c r="E10" s="239"/>
      <c r="F10" s="195"/>
      <c r="G10" s="118"/>
      <c r="H10" s="39"/>
    </row>
    <row r="11" spans="1:8">
      <c r="A11" s="193"/>
      <c r="B11" s="198"/>
      <c r="C11" s="194">
        <f>SUM(F8:F10)</f>
        <v>1</v>
      </c>
      <c r="H11" s="39"/>
    </row>
    <row r="12" spans="1:8" ht="18.75">
      <c r="A12" s="75" t="s">
        <v>191</v>
      </c>
      <c r="B12" s="20">
        <f>КАГ!B8</f>
        <v>45290</v>
      </c>
      <c r="C12" s="12"/>
      <c r="D12" s="16" t="s">
        <v>186</v>
      </c>
      <c r="E12" s="29"/>
      <c r="F12" s="29"/>
      <c r="G12" s="17"/>
      <c r="H12" s="18"/>
    </row>
    <row r="13" spans="1:8" ht="15.75">
      <c r="A13" s="76" t="s">
        <v>193</v>
      </c>
      <c r="B13" s="22">
        <v>0.90277777777777779</v>
      </c>
      <c r="C13" s="12"/>
      <c r="D13" s="94" t="s">
        <v>172</v>
      </c>
      <c r="E13" s="92"/>
      <c r="F13" s="92"/>
      <c r="G13" s="79" t="str">
        <f>КАГ!G9</f>
        <v>Щербаков А.С.</v>
      </c>
      <c r="H13" s="90" t="str">
        <f>IF(ISBLANK(КАГ!H9),"",КАГ!H9)</f>
        <v/>
      </c>
    </row>
    <row r="14" spans="1:8" ht="15.75">
      <c r="A14" s="76" t="s">
        <v>194</v>
      </c>
      <c r="B14" s="22">
        <v>0.92361111111111116</v>
      </c>
      <c r="C14" s="12"/>
      <c r="D14" s="95" t="s">
        <v>173</v>
      </c>
      <c r="E14" s="93"/>
      <c r="F14" s="93"/>
      <c r="G14" s="80" t="str">
        <f>КАГ!G10</f>
        <v>Мелека Е.А.</v>
      </c>
      <c r="H14" s="91" t="str">
        <f>IF(ISBLANK(КАГ!H10),"",КАГ!H10)</f>
        <v/>
      </c>
    </row>
    <row r="15" spans="1:8" ht="16.5" thickBot="1">
      <c r="A15" s="164" t="s">
        <v>389</v>
      </c>
      <c r="B15" s="189">
        <f>IF(B14&lt;B13,B14+1,B14)-B13</f>
        <v>2.083333333333337E-2</v>
      </c>
      <c r="D15" s="95" t="s">
        <v>170</v>
      </c>
      <c r="E15" s="93"/>
      <c r="F15" s="93"/>
      <c r="G15" s="80" t="str">
        <f>КАГ!G11</f>
        <v>Морозов А.А.</v>
      </c>
      <c r="H15" s="91" t="str">
        <f>IF(ISBLANK(КАГ!H11),"",КАГ!H11)</f>
        <v/>
      </c>
    </row>
    <row r="16" spans="1:8" ht="17.25" thickTop="1" thickBot="1">
      <c r="A16" s="89" t="s">
        <v>192</v>
      </c>
      <c r="B16" s="203" t="str">
        <f>КАГ!B11</f>
        <v>Михайлов П.С.</v>
      </c>
      <c r="D16" s="95" t="s">
        <v>303</v>
      </c>
      <c r="E16" s="93"/>
      <c r="F16" s="93"/>
      <c r="G16" s="80" t="str">
        <f>КАГ!G12</f>
        <v>Мишина Е.А</v>
      </c>
      <c r="H16" s="91" t="str">
        <f>IF(ISBLANK(КАГ!H12),"",КАГ!H12)</f>
        <v/>
      </c>
    </row>
    <row r="17" spans="1:8" ht="16.5" thickTop="1">
      <c r="A17" s="15" t="s">
        <v>8</v>
      </c>
      <c r="B17" s="67">
        <f>КАГ!B12</f>
        <v>29952</v>
      </c>
      <c r="D17" s="95" t="s">
        <v>184</v>
      </c>
      <c r="E17" s="93"/>
      <c r="F17" s="93"/>
      <c r="G17" s="80" t="str">
        <f>IF(ISBLANK(КАГ!G13),"",КАГ!G13)</f>
        <v/>
      </c>
      <c r="H17" s="91" t="str">
        <f>IF(ISBLANK(КАГ!H13),"",КАГ!H13)</f>
        <v/>
      </c>
    </row>
    <row r="18" spans="1:8" ht="15.75">
      <c r="A18" s="15" t="s">
        <v>10</v>
      </c>
      <c r="B18" s="30">
        <f>КАГ!B13</f>
        <v>41</v>
      </c>
      <c r="H18" s="39"/>
    </row>
    <row r="19" spans="1:8" ht="14.45" customHeight="1">
      <c r="A19" s="15" t="s">
        <v>12</v>
      </c>
      <c r="B19" s="68">
        <f>КАГ!B14</f>
        <v>35683</v>
      </c>
      <c r="C19" s="69"/>
      <c r="D19" s="69"/>
      <c r="E19" s="69"/>
      <c r="F19" s="69"/>
      <c r="G19" s="166" t="s">
        <v>401</v>
      </c>
      <c r="H19" s="181" t="str">
        <f>КАГ!H15</f>
        <v>07:00</v>
      </c>
    </row>
    <row r="20" spans="1:8" ht="14.45" customHeight="1">
      <c r="A20" s="15" t="s">
        <v>133</v>
      </c>
      <c r="B20" s="68">
        <f>КАГ!B15</f>
        <v>35</v>
      </c>
      <c r="C20" s="70"/>
      <c r="D20" s="70"/>
      <c r="E20" s="70"/>
      <c r="F20" s="70"/>
      <c r="G20" s="167" t="s">
        <v>403</v>
      </c>
      <c r="H20" s="182">
        <f>КАГ!H16</f>
        <v>7380</v>
      </c>
    </row>
    <row r="21" spans="1:8" ht="14.45" customHeight="1">
      <c r="A21" s="15" t="s">
        <v>106</v>
      </c>
      <c r="B21" s="67" t="str">
        <f>КАГ!B16</f>
        <v>ОКС с ↑ ST</v>
      </c>
      <c r="C21" s="70"/>
      <c r="E21" s="71"/>
      <c r="F21" s="71"/>
      <c r="G21" s="168" t="s">
        <v>390</v>
      </c>
      <c r="H21" s="169">
        <f>КАГ!H17</f>
        <v>14.022</v>
      </c>
    </row>
    <row r="22" spans="1:8" ht="14.45" customHeight="1">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0.90583333333333338</v>
      </c>
    </row>
    <row r="23" spans="1:8" ht="14.45" customHeight="1">
      <c r="A23" s="65" t="s">
        <v>393</v>
      </c>
      <c r="B23" s="173" t="s">
        <v>392</v>
      </c>
      <c r="C23" s="163"/>
      <c r="D23" s="163"/>
      <c r="E23" s="163"/>
      <c r="F23" s="163"/>
      <c r="H23" s="39"/>
    </row>
    <row r="24" spans="1:8" ht="14.45" customHeight="1">
      <c r="A24" s="184" t="s">
        <v>391</v>
      </c>
      <c r="B24" s="171"/>
      <c r="C24" s="171"/>
      <c r="D24" s="171"/>
      <c r="E24" s="171"/>
      <c r="F24" s="171"/>
      <c r="G24" s="171"/>
      <c r="H24" s="172"/>
    </row>
    <row r="25" spans="1:8" ht="14.45" customHeight="1">
      <c r="A25" s="243" t="s">
        <v>529</v>
      </c>
      <c r="B25" s="244"/>
      <c r="C25" s="244"/>
      <c r="D25" s="244"/>
      <c r="E25" s="244"/>
      <c r="F25" s="244"/>
      <c r="G25" s="244"/>
      <c r="H25" s="245"/>
    </row>
    <row r="26" spans="1:8" ht="14.45" customHeight="1">
      <c r="A26" s="246"/>
      <c r="B26" s="244"/>
      <c r="C26" s="244"/>
      <c r="D26" s="244"/>
      <c r="E26" s="244"/>
      <c r="F26" s="244"/>
      <c r="G26" s="244"/>
      <c r="H26" s="245"/>
    </row>
    <row r="27" spans="1:8" ht="14.45" customHeight="1">
      <c r="A27" s="246"/>
      <c r="B27" s="244"/>
      <c r="C27" s="244"/>
      <c r="D27" s="244"/>
      <c r="E27" s="244"/>
      <c r="F27" s="244"/>
      <c r="G27" s="244"/>
      <c r="H27" s="245"/>
    </row>
    <row r="28" spans="1:8" ht="14.45" customHeight="1">
      <c r="A28" s="246"/>
      <c r="B28" s="244"/>
      <c r="C28" s="244"/>
      <c r="D28" s="244"/>
      <c r="E28" s="244"/>
      <c r="F28" s="244"/>
      <c r="G28" s="244"/>
      <c r="H28" s="245"/>
    </row>
    <row r="29" spans="1:8" ht="14.45" customHeight="1">
      <c r="A29" s="246"/>
      <c r="B29" s="244"/>
      <c r="C29" s="244"/>
      <c r="D29" s="244"/>
      <c r="E29" s="244"/>
      <c r="F29" s="244"/>
      <c r="G29" s="244"/>
      <c r="H29" s="245"/>
    </row>
    <row r="30" spans="1:8" ht="14.45" customHeight="1">
      <c r="A30" s="246"/>
      <c r="B30" s="244"/>
      <c r="C30" s="244"/>
      <c r="D30" s="244"/>
      <c r="E30" s="244"/>
      <c r="F30" s="244"/>
      <c r="G30" s="244"/>
      <c r="H30" s="245"/>
    </row>
    <row r="31" spans="1:8" ht="14.45" customHeight="1">
      <c r="A31" s="246"/>
      <c r="B31" s="244"/>
      <c r="C31" s="244"/>
      <c r="D31" s="244"/>
      <c r="E31" s="244"/>
      <c r="F31" s="244"/>
      <c r="G31" s="244"/>
      <c r="H31" s="245"/>
    </row>
    <row r="32" spans="1:8" ht="14.45" customHeight="1">
      <c r="A32" s="246"/>
      <c r="B32" s="244"/>
      <c r="C32" s="244"/>
      <c r="D32" s="244"/>
      <c r="E32" s="244"/>
      <c r="F32" s="244"/>
      <c r="G32" s="244"/>
      <c r="H32" s="245"/>
    </row>
    <row r="33" spans="1:12" ht="14.45" customHeight="1">
      <c r="A33" s="246"/>
      <c r="B33" s="244"/>
      <c r="C33" s="244"/>
      <c r="D33" s="244"/>
      <c r="E33" s="244"/>
      <c r="F33" s="244"/>
      <c r="G33" s="244"/>
      <c r="H33" s="245"/>
    </row>
    <row r="34" spans="1:12" ht="14.45" customHeight="1">
      <c r="A34" s="246"/>
      <c r="B34" s="244"/>
      <c r="C34" s="244"/>
      <c r="D34" s="244"/>
      <c r="E34" s="244"/>
      <c r="F34" s="244"/>
      <c r="G34" s="244"/>
      <c r="H34" s="245"/>
    </row>
    <row r="35" spans="1:12" ht="14.45" customHeight="1">
      <c r="A35" s="246"/>
      <c r="B35" s="244"/>
      <c r="C35" s="244"/>
      <c r="D35" s="244"/>
      <c r="E35" s="244"/>
      <c r="F35" s="244"/>
      <c r="G35" s="244"/>
      <c r="H35" s="245"/>
    </row>
    <row r="36" spans="1:12" ht="14.45" customHeight="1">
      <c r="A36" s="246"/>
      <c r="B36" s="244"/>
      <c r="C36" s="244"/>
      <c r="D36" s="244"/>
      <c r="E36" s="244"/>
      <c r="F36" s="244"/>
      <c r="G36" s="244"/>
      <c r="H36" s="245"/>
    </row>
    <row r="37" spans="1:12" ht="14.45" customHeight="1">
      <c r="A37" s="246"/>
      <c r="B37" s="244"/>
      <c r="C37" s="244"/>
      <c r="D37" s="244"/>
      <c r="E37" s="244"/>
      <c r="F37" s="244"/>
      <c r="G37" s="244"/>
      <c r="H37" s="245"/>
    </row>
    <row r="38" spans="1:12" ht="14.45" customHeight="1">
      <c r="A38" s="178" t="s">
        <v>397</v>
      </c>
      <c r="B38" s="176"/>
      <c r="C38" s="177"/>
      <c r="D38" s="177"/>
      <c r="E38" s="187" t="str">
        <f>IF(A6=Вмешательства!D4,Вмешательства!V16,IF(ЧКВ!A6=Вмешательства!D36,Вмешательства!V16,"-----"))</f>
        <v>СТЕНТ/Ы</v>
      </c>
      <c r="F38" s="177"/>
      <c r="G38" s="180"/>
    </row>
    <row r="39" spans="1:12" ht="15.75">
      <c r="A39" s="174" t="s">
        <v>394</v>
      </c>
      <c r="B39" s="70" t="s">
        <v>396</v>
      </c>
      <c r="C39" s="121"/>
      <c r="D39" s="122" t="s">
        <v>187</v>
      </c>
      <c r="E39" s="72"/>
      <c r="F39" s="72"/>
      <c r="G39" s="72"/>
      <c r="H39" s="73"/>
    </row>
    <row r="40" spans="1:12" ht="14.45" customHeight="1">
      <c r="A40" s="175" t="s">
        <v>395</v>
      </c>
      <c r="B40" s="179" t="s">
        <v>511</v>
      </c>
      <c r="C40" s="120"/>
      <c r="D40" s="240" t="s">
        <v>519</v>
      </c>
      <c r="E40" s="241"/>
      <c r="F40" s="241"/>
      <c r="G40" s="241"/>
      <c r="H40" s="242"/>
    </row>
    <row r="41" spans="1:12" ht="14.45" customHeight="1">
      <c r="A41" s="32"/>
      <c r="B41" s="28"/>
      <c r="C41" s="120"/>
      <c r="D41" s="241"/>
      <c r="E41" s="241"/>
      <c r="F41" s="241"/>
      <c r="G41" s="241"/>
      <c r="H41" s="242"/>
    </row>
    <row r="42" spans="1:12" ht="14.45" customHeight="1">
      <c r="A42" s="32"/>
      <c r="B42" s="28"/>
      <c r="C42" s="120"/>
      <c r="D42" s="241"/>
      <c r="E42" s="241"/>
      <c r="F42" s="241"/>
      <c r="G42" s="241"/>
      <c r="H42" s="242"/>
    </row>
    <row r="43" spans="1:12" ht="14.45" customHeight="1">
      <c r="A43" s="32"/>
      <c r="B43" s="28"/>
      <c r="C43" s="120"/>
      <c r="D43" s="241"/>
      <c r="E43" s="241"/>
      <c r="F43" s="241"/>
      <c r="G43" s="241"/>
      <c r="H43" s="242"/>
    </row>
    <row r="44" spans="1:12" ht="14.45" customHeight="1">
      <c r="A44" s="32"/>
      <c r="B44" s="28"/>
      <c r="C44" s="120"/>
      <c r="D44" s="241"/>
      <c r="E44" s="241"/>
      <c r="F44" s="241"/>
      <c r="G44" s="241"/>
      <c r="H44" s="242"/>
      <c r="L44" s="161"/>
    </row>
    <row r="45" spans="1:12" ht="14.45" customHeight="1">
      <c r="A45" s="32"/>
      <c r="B45" s="28"/>
      <c r="C45" s="120"/>
      <c r="D45" s="241"/>
      <c r="E45" s="241"/>
      <c r="F45" s="241"/>
      <c r="G45" s="241"/>
      <c r="H45" s="242"/>
    </row>
    <row r="46" spans="1:12" ht="14.45" customHeight="1">
      <c r="A46" s="32"/>
      <c r="B46" s="28"/>
      <c r="C46" s="120"/>
      <c r="D46" s="241"/>
      <c r="E46" s="241"/>
      <c r="F46" s="241"/>
      <c r="G46" s="241"/>
      <c r="H46" s="242"/>
    </row>
    <row r="47" spans="1:12" ht="14.45" customHeight="1">
      <c r="A47" s="38"/>
      <c r="C47" s="120"/>
      <c r="D47" s="241"/>
      <c r="E47" s="241"/>
      <c r="F47" s="241"/>
      <c r="G47" s="241"/>
      <c r="H47" s="242"/>
    </row>
    <row r="48" spans="1:12" ht="14.45" customHeight="1">
      <c r="A48" s="38"/>
      <c r="C48" s="120"/>
      <c r="D48" s="241"/>
      <c r="E48" s="241"/>
      <c r="F48" s="241"/>
      <c r="G48" s="241"/>
      <c r="H48" s="242"/>
    </row>
    <row r="49" spans="1:8" ht="14.45" customHeight="1">
      <c r="A49" s="38"/>
      <c r="C49" s="120"/>
      <c r="D49" s="241"/>
      <c r="E49" s="241"/>
      <c r="F49" s="241"/>
      <c r="G49" s="241"/>
      <c r="H49" s="242"/>
    </row>
    <row r="50" spans="1:8">
      <c r="A50" s="62" t="s">
        <v>204</v>
      </c>
      <c r="B50" s="63" t="s">
        <v>520</v>
      </c>
      <c r="H50" s="39"/>
    </row>
    <row r="51" spans="1:8">
      <c r="A51" s="65" t="s">
        <v>206</v>
      </c>
      <c r="B51" s="66" t="s">
        <v>518</v>
      </c>
      <c r="G51" s="74" t="str">
        <f>$G$13</f>
        <v>Щербаков А.С.</v>
      </c>
      <c r="H51" s="64"/>
    </row>
    <row r="52" spans="1:8">
      <c r="A52" s="226" t="s">
        <v>374</v>
      </c>
      <c r="B52" s="227"/>
      <c r="C52" s="227"/>
      <c r="D52" s="227"/>
      <c r="E52" s="227"/>
      <c r="F52" s="228"/>
      <c r="H52" s="39"/>
    </row>
    <row r="53" spans="1:8" ht="15" customHeight="1">
      <c r="A53" s="229"/>
      <c r="B53" s="230"/>
      <c r="C53" s="230"/>
      <c r="D53" s="230"/>
      <c r="E53" s="230"/>
      <c r="F53" s="231"/>
      <c r="G53" s="74" t="str">
        <f>IF(ISBLANK(H13),"",H13)</f>
        <v/>
      </c>
      <c r="H53" s="64"/>
    </row>
    <row r="54" spans="1:8">
      <c r="A54" s="232"/>
      <c r="B54" s="233"/>
      <c r="C54" s="233"/>
      <c r="D54" s="233"/>
      <c r="E54" s="233"/>
      <c r="F54" s="234"/>
      <c r="G54" s="31"/>
      <c r="H54" s="41"/>
    </row>
  </sheetData>
  <sheetProtection sheet="1" formatCells="0" formatColumns="0"/>
  <mergeCells count="7">
    <mergeCell ref="A52:F54"/>
    <mergeCell ref="C8:E8"/>
    <mergeCell ref="A6:H7"/>
    <mergeCell ref="C9:E9"/>
    <mergeCell ref="C10:E10"/>
    <mergeCell ref="D40:H49"/>
    <mergeCell ref="A25:H37"/>
  </mergeCells>
  <phoneticPr fontId="13"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13" zoomScaleNormal="90" zoomScaleSheetLayoutView="100" zoomScalePageLayoutView="80" workbookViewId="0">
      <selection activeCell="C21" sqref="C21"/>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45290</v>
      </c>
      <c r="C2" s="153"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8" t="s">
        <v>195</v>
      </c>
      <c r="B4" s="149" t="s">
        <v>105</v>
      </c>
      <c r="C4" s="150" t="s">
        <v>15</v>
      </c>
      <c r="D4" s="202" t="str">
        <f>КАГ!$B$11</f>
        <v>Михайлов П.С.</v>
      </c>
    </row>
    <row r="5" spans="1:4" ht="15.75" thickTop="1">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29952</v>
      </c>
    </row>
    <row r="6" spans="1:4" ht="30">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41</v>
      </c>
    </row>
    <row r="7" spans="1:4">
      <c r="A7" s="38"/>
      <c r="C7" s="101" t="s">
        <v>12</v>
      </c>
      <c r="D7" s="103">
        <f>КАГ!$B$14</f>
        <v>35683</v>
      </c>
    </row>
    <row r="8" spans="1:4">
      <c r="A8" s="196" t="str">
        <f>ЧКВ!$A$9</f>
        <v>Код модели: 21166</v>
      </c>
      <c r="B8" s="104"/>
      <c r="C8" s="101" t="s">
        <v>133</v>
      </c>
      <c r="D8" s="103">
        <f>КАГ!$B$15</f>
        <v>35</v>
      </c>
    </row>
    <row r="9" spans="1:4">
      <c r="A9" s="196" t="str">
        <f>ЧКВ!$A$10</f>
        <v>Код метода: 47</v>
      </c>
      <c r="C9" s="105" t="s">
        <v>106</v>
      </c>
      <c r="D9" s="103" t="str">
        <f>КАГ!$B$16</f>
        <v>ОКС с ↑ ST</v>
      </c>
    </row>
    <row r="10" spans="1:4">
      <c r="A10" s="197"/>
      <c r="B10" s="31"/>
      <c r="C10" s="151" t="s">
        <v>13</v>
      </c>
      <c r="D10" s="152">
        <f>КАГ!$B$8</f>
        <v>45290</v>
      </c>
    </row>
    <row r="11" spans="1:4">
      <c r="A11" s="27"/>
      <c r="B11" s="112"/>
      <c r="C11" s="112"/>
      <c r="D11" s="113"/>
    </row>
    <row r="12" spans="1:4" ht="18.75" customHeight="1">
      <c r="A12" s="137" t="s">
        <v>335</v>
      </c>
      <c r="B12" s="138" t="s">
        <v>0</v>
      </c>
      <c r="C12" s="138" t="s">
        <v>14</v>
      </c>
      <c r="D12" s="139" t="s">
        <v>100</v>
      </c>
    </row>
    <row r="13" spans="1:4" ht="27.75" customHeight="1">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510</v>
      </c>
      <c r="C13" s="188"/>
      <c r="D13" s="141">
        <v>1</v>
      </c>
    </row>
    <row r="14" spans="1:4" ht="27.75" customHeight="1">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325</v>
      </c>
      <c r="C14" s="136"/>
      <c r="D14" s="141">
        <v>1</v>
      </c>
    </row>
    <row r="15" spans="1:4" ht="27.75" customHeight="1">
      <c r="A15" s="142"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5" s="155" t="s">
        <v>310</v>
      </c>
      <c r="C15" s="136"/>
      <c r="D15" s="141">
        <v>1</v>
      </c>
    </row>
    <row r="16" spans="1:4" ht="27.75" customHeight="1">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378</v>
      </c>
      <c r="C16" s="183" t="s">
        <v>408</v>
      </c>
      <c r="D16" s="141">
        <v>1</v>
      </c>
    </row>
    <row r="17" spans="1:4" ht="27.75" customHeight="1">
      <c r="A17"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5" t="s">
        <v>323</v>
      </c>
      <c r="C17" s="183" t="s">
        <v>457</v>
      </c>
      <c r="D17" s="141">
        <v>1</v>
      </c>
    </row>
    <row r="18" spans="1:4" ht="27.75" customHeight="1">
      <c r="A18"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6" t="s">
        <v>323</v>
      </c>
      <c r="C18" s="136" t="s">
        <v>450</v>
      </c>
      <c r="D18" s="141">
        <v>1</v>
      </c>
    </row>
    <row r="19" spans="1:4" ht="27.75" customHeight="1">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9" s="155" t="s">
        <v>516</v>
      </c>
      <c r="C19" s="136"/>
      <c r="D19" s="141">
        <v>1</v>
      </c>
    </row>
    <row r="20" spans="1:4" ht="27.75" customHeight="1">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6"/>
      <c r="D20" s="141"/>
    </row>
    <row r="21" spans="1:4" ht="27.75" customHeight="1">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513</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371</v>
      </c>
      <c r="C39" s="114"/>
      <c r="D39" s="39"/>
    </row>
    <row r="40" spans="1:4" ht="19.899999999999999" customHeight="1">
      <c r="A40" s="40"/>
      <c r="B40" s="31"/>
      <c r="C40" s="31"/>
      <c r="D40" s="41"/>
    </row>
    <row r="41" spans="1:4" ht="14.45" customHeight="1">
      <c r="C41" s="11"/>
    </row>
  </sheetData>
  <sheetProtection sheet="1" formatCells="0" formatColumns="0" formatRows="0" sort="0" autoFilter="0"/>
  <phoneticPr fontId="13"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howErrorMessage="1" sqref="B39 B35">
      <formula1>INDIRECT("Сотрудники[Должность: ФИО]")</formula1>
    </dataValidation>
    <dataValidation type="list" allowBlank="1" showInputMessage="1" sqref="B21">
      <formula1>ВЫП.Список_Расходка_5</formula1>
    </dataValidation>
    <dataValidation type="list" allowBlank="1" showInputMessage="1" sqref="B19">
      <formula1>ВЫП.Список_Расходка_6</formula1>
    </dataValidation>
    <dataValidation type="list" allowBlank="1" showInputMessage="1" sqref="B17">
      <formula1>ВЫП.Список_Расходка_7</formula1>
    </dataValidation>
    <dataValidation type="list" allowBlank="1" showInputMessage="1" sqref="B18:B19">
      <formula1>ВЫП.Список_Расходка_8</formula1>
    </dataValidation>
    <dataValidation type="list" allowBlank="1" showInputMessage="1" sqref="B20">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 type="list" allowBlank="1" showInputMessage="1" sqref="B16:B20">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5"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488</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487</v>
      </c>
      <c r="G3" s="3" t="s">
        <v>488</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311</v>
      </c>
      <c r="G4" s="3" t="s">
        <v>488</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402</v>
      </c>
      <c r="F5" t="s">
        <v>131</v>
      </c>
      <c r="G5" s="3" t="s">
        <v>488</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488</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488</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488</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488</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489</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487</v>
      </c>
      <c r="G13" s="3" t="s">
        <v>489</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311</v>
      </c>
      <c r="G14" s="3" t="s">
        <v>489</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489</v>
      </c>
      <c r="H15" s="3">
        <v>2633</v>
      </c>
      <c r="I15" s="3">
        <v>46</v>
      </c>
      <c r="J15" s="3">
        <v>45</v>
      </c>
      <c r="K15" s="3">
        <v>45</v>
      </c>
      <c r="L15" s="3">
        <v>45</v>
      </c>
      <c r="M15" s="3">
        <v>45</v>
      </c>
      <c r="N15" s="3">
        <v>45</v>
      </c>
      <c r="O15" s="3">
        <v>45</v>
      </c>
      <c r="P15" s="3">
        <v>45</v>
      </c>
      <c r="Q15" s="3">
        <v>45</v>
      </c>
      <c r="R15" s="3">
        <v>45</v>
      </c>
      <c r="S15" s="3">
        <v>45</v>
      </c>
      <c r="T15" s="3">
        <v>45</v>
      </c>
      <c r="V15" t="s">
        <v>397</v>
      </c>
      <c r="W15" s="12"/>
    </row>
    <row r="16" spans="1:23">
      <c r="A16" s="8">
        <v>15</v>
      </c>
      <c r="B16" s="2" t="s">
        <v>31</v>
      </c>
      <c r="C16" s="8" t="s">
        <v>237</v>
      </c>
      <c r="D16" s="5" t="s">
        <v>32</v>
      </c>
      <c r="V16" t="s">
        <v>398</v>
      </c>
    </row>
    <row r="17" spans="1:23">
      <c r="A17" s="8">
        <v>16</v>
      </c>
      <c r="B17" s="2" t="s">
        <v>33</v>
      </c>
      <c r="C17" s="8" t="s">
        <v>238</v>
      </c>
      <c r="D17" s="5" t="s">
        <v>34</v>
      </c>
      <c r="F17" t="s">
        <v>490</v>
      </c>
      <c r="V17" t="s">
        <v>399</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336</v>
      </c>
      <c r="J21" s="12"/>
    </row>
    <row r="22" spans="1:23" ht="30">
      <c r="A22" s="8">
        <v>21</v>
      </c>
      <c r="B22" s="2" t="s">
        <v>52</v>
      </c>
      <c r="C22" s="8" t="s">
        <v>53</v>
      </c>
      <c r="D22" s="5" t="s">
        <v>54</v>
      </c>
      <c r="F22" t="s">
        <v>337</v>
      </c>
      <c r="J22" s="12"/>
      <c r="U22" s="2"/>
    </row>
    <row r="23" spans="1:23">
      <c r="A23" s="8">
        <v>22</v>
      </c>
      <c r="B23" s="2" t="s">
        <v>55</v>
      </c>
      <c r="C23" s="8" t="s">
        <v>56</v>
      </c>
      <c r="D23" s="5" t="s">
        <v>57</v>
      </c>
      <c r="F23" t="s">
        <v>347</v>
      </c>
      <c r="J23" s="12"/>
      <c r="U23" s="2"/>
    </row>
    <row r="24" spans="1:23">
      <c r="A24" s="8">
        <v>23</v>
      </c>
      <c r="B24" s="2" t="s">
        <v>58</v>
      </c>
      <c r="C24" s="8" t="s">
        <v>59</v>
      </c>
      <c r="D24" s="5" t="s">
        <v>60</v>
      </c>
      <c r="F24" t="s">
        <v>505</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3"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40" zoomScaleNormal="100" workbookViewId="0">
      <selection activeCell="AI41" sqref="AI41"/>
    </sheetView>
  </sheetViews>
  <sheetFormatPr defaultRowHeight="15" outlineLevelCol="1"/>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502</v>
      </c>
      <c r="AN1" s="2" t="s">
        <v>496</v>
      </c>
      <c r="AO1" t="s">
        <v>356</v>
      </c>
      <c r="AP1" s="160"/>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1</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учёта'!$B$19,Расходка[[#This Row],[Наименование расходного материала]])),MAX($J$1:J1)+1,0)</f>
        <v>0</v>
      </c>
      <c r="K2" s="116">
        <f>IF(ISNUMBER(SEARCH('Карта учёта'!$B$17,Расходка[[#This Row],[Наименование расходного материала]])),MAX($K$1:K1)+1,0)</f>
        <v>0</v>
      </c>
      <c r="L2" s="116">
        <f>IF(ISNUMBER(SEARCH('Карта учёта'!$B$18,Расходка[[#This Row],[Наименование расходного материала]])),MAX($L$1:L1)+1,0)</f>
        <v>0</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Hunter® 6F</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Проводник коронарный  0,8g, Angioline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404</v>
      </c>
      <c r="AI2" t="s">
        <v>190</v>
      </c>
      <c r="AJ2" t="s">
        <v>199</v>
      </c>
      <c r="AK2" t="str">
        <f>CONCATENATE(AI2,AJ2)</f>
        <v xml:space="preserve">Контраст: Ультравист 370 </v>
      </c>
      <c r="AM2" s="190">
        <v>155800</v>
      </c>
      <c r="AN2" s="2" t="s">
        <v>309</v>
      </c>
      <c r="AO2" t="s">
        <v>498</v>
      </c>
      <c r="AP2" s="129"/>
    </row>
    <row r="3" spans="1:42">
      <c r="A3">
        <v>2</v>
      </c>
      <c r="B3" t="s">
        <v>94</v>
      </c>
      <c r="C3" t="s">
        <v>373</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учёта'!$B$19,Расходка[[#This Row],[Наименование расходного материала]])),MAX($J$1:J2)+1,0)</f>
        <v>0</v>
      </c>
      <c r="K3" s="116">
        <f>IF(ISNUMBER(SEARCH('Карта учёта'!$B$17,Расходка[[#This Row],[Наименование расходного материала]])),MAX($K$1:K2)+1,0)</f>
        <v>0</v>
      </c>
      <c r="L3" s="116">
        <f>IF(ISNUMBER(SEARCH('Карта учёта'!$B$18,Расходка[[#This Row],[Наименование расходного материала]])),MAX($L$1:L2)+1,0)</f>
        <v>0</v>
      </c>
      <c r="M3" s="116">
        <f>IF(ISNUMBER(SEARCH('Карта учёта'!$B$20,Расходка[[#This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405</v>
      </c>
      <c r="AI3" t="s">
        <v>190</v>
      </c>
      <c r="AJ3" t="s">
        <v>200</v>
      </c>
      <c r="AK3" t="str">
        <f t="shared" ref="AK3:AK6" si="0">CONCATENATE(AI3,AJ3)</f>
        <v>Контраст: Омнипак 350</v>
      </c>
      <c r="AM3" s="190">
        <v>218190</v>
      </c>
      <c r="AN3" s="2" t="s">
        <v>491</v>
      </c>
      <c r="AO3" t="s">
        <v>499</v>
      </c>
      <c r="AP3" s="130"/>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учёта'!$B$19,Расходка[[#This Row],[Наименование расходного материала]])),MAX($J$1:J3)+1,0)</f>
        <v>0</v>
      </c>
      <c r="K4" s="116">
        <f>IF(ISNUMBER(SEARCH('Карта учёта'!$B$17,Расходка[[#This Row],[Наименование расходного материала]])),MAX($K$1:K3)+1,0)</f>
        <v>0</v>
      </c>
      <c r="L4" s="116">
        <f>IF(ISNUMBER(SEARCH('Карта учёта'!$B$18,Расходка[[#This Row],[Наименование расходного материала]])),MAX($L$1:L3)+1,0)</f>
        <v>0</v>
      </c>
      <c r="M4" s="116">
        <f>IF(ISNUMBER(SEARCH('Карта учёта'!$B$20,Расходка[[#This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406</v>
      </c>
      <c r="AI4" t="s">
        <v>190</v>
      </c>
      <c r="AJ4" t="s">
        <v>201</v>
      </c>
      <c r="AK4" t="str">
        <f t="shared" si="0"/>
        <v>Контраст: Оптирей 350</v>
      </c>
      <c r="AM4" s="190">
        <v>337440</v>
      </c>
      <c r="AN4" s="2" t="s">
        <v>504</v>
      </c>
      <c r="AO4" t="s">
        <v>501</v>
      </c>
      <c r="AP4" s="130"/>
    </row>
    <row r="5" spans="1:42">
      <c r="A5">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учёта'!$B$19,Расходка[[#This Row],[Наименование расходного материала]])),MAX($J$1:J4)+1,0)</f>
        <v>0</v>
      </c>
      <c r="K5" s="116">
        <f>IF(ISNUMBER(SEARCH('Карта учёта'!$B$17,Расходка[[#This Row],[Наименование расходного материала]])),MAX($K$1:K4)+1,0)</f>
        <v>0</v>
      </c>
      <c r="L5" s="116">
        <f>IF(ISNUMBER(SEARCH('Карта учёта'!$B$18,Расходка[[#This Row],[Наименование расходного материала]])),MAX($L$1:L4)+1,0)</f>
        <v>0</v>
      </c>
      <c r="M5" s="116">
        <f>IF(ISNUMBER(SEARCH('Карта учёта'!$B$20,Расходка[[#This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407</v>
      </c>
      <c r="AI5" t="s">
        <v>190</v>
      </c>
      <c r="AJ5" t="s">
        <v>202</v>
      </c>
      <c r="AK5" t="str">
        <f t="shared" si="0"/>
        <v>Контраст: Юнигексол 350</v>
      </c>
      <c r="AM5" s="190">
        <v>136170</v>
      </c>
      <c r="AN5" s="2"/>
      <c r="AO5" t="s">
        <v>500</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учёта'!$B$19,Расходка[[#This Row],[Наименование расходного материала]])),MAX($J$1:J5)+1,0)</f>
        <v>0</v>
      </c>
      <c r="K6" s="116">
        <f>IF(ISNUMBER(SEARCH('Карта учёта'!$B$17,Расходка[[#This Row],[Наименование расходного материала]])),MAX($K$1:K5)+1,0)</f>
        <v>0</v>
      </c>
      <c r="L6" s="116">
        <f>IF(ISNUMBER(SEARCH('Карта учёта'!$B$18,Расходка[[#This Row],[Наименование расходного материала]])),MAX($L$1:L5)+1,0)</f>
        <v>0</v>
      </c>
      <c r="M6" s="116">
        <f>IF(ISNUMBER(SEARCH('Карта учёта'!$B$20,Расходка[[#This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408</v>
      </c>
      <c r="AI6" t="s">
        <v>190</v>
      </c>
      <c r="AJ6" t="s">
        <v>203</v>
      </c>
      <c r="AK6" t="str">
        <f t="shared" si="0"/>
        <v>Контраст: Сканлюкс 370</v>
      </c>
      <c r="AM6" s="190">
        <v>135820</v>
      </c>
      <c r="AN6" s="2"/>
      <c r="AO6" t="s">
        <v>503</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учёта'!$B$19,Расходка[[#This Row],[Наименование расходного материала]])),MAX($J$1:J6)+1,0)</f>
        <v>0</v>
      </c>
      <c r="K7" s="116">
        <f>IF(ISNUMBER(SEARCH('Карта учёта'!$B$17,Расходка[[#This Row],[Наименование расходного материала]])),MAX($K$1:K6)+1,0)</f>
        <v>0</v>
      </c>
      <c r="L7" s="116">
        <f>IF(ISNUMBER(SEARCH('Карта учёта'!$B$18,Расходка[[#This Row],[Наименование расходного материала]])),MAX($L$1:L6)+1,0)</f>
        <v>0</v>
      </c>
      <c r="M7" s="116">
        <f>IF(ISNUMBER(SEARCH('Карта учёта'!$B$20,Расходка[[#This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409</v>
      </c>
      <c r="AI7" t="s">
        <v>190</v>
      </c>
      <c r="AJ7" t="s">
        <v>204</v>
      </c>
      <c r="AK7" t="str">
        <f t="shared" ref="AK7:AK8" si="1">CONCATENATE(AI7,AJ7)</f>
        <v>Контраст: Йогексол 350</v>
      </c>
      <c r="AM7" s="190">
        <v>155760</v>
      </c>
      <c r="AN7" s="2"/>
      <c r="AO7" t="s">
        <v>497</v>
      </c>
    </row>
    <row r="8" spans="1:42">
      <c r="A8">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учёта'!$B$19,Расходка[[#This Row],[Наименование расходного материала]])),MAX($J$1:J7)+1,0)</f>
        <v>0</v>
      </c>
      <c r="K8" s="116">
        <f>IF(ISNUMBER(SEARCH('Карта учёта'!$B$17,Расходка[[#This Row],[Наименование расходного материала]])),MAX($K$1:K7)+1,0)</f>
        <v>0</v>
      </c>
      <c r="L8" s="116">
        <f>IF(ISNUMBER(SEARCH('Карта учёта'!$B$18,Расходка[[#This Row],[Наименование расходного материала]])),MAX($L$1:L7)+1,0)</f>
        <v>0</v>
      </c>
      <c r="M8" s="116">
        <f>IF(ISNUMBER(SEARCH('Карта учёта'!$B$20,Расходка[[#This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410</v>
      </c>
      <c r="AI8" t="s">
        <v>190</v>
      </c>
      <c r="AJ8" t="s">
        <v>205</v>
      </c>
      <c r="AK8" t="str">
        <f t="shared" si="1"/>
        <v>Контраст: Визипак 320</v>
      </c>
      <c r="AM8" s="190">
        <v>218140</v>
      </c>
      <c r="AN8" s="2"/>
      <c r="AO8" t="s">
        <v>89</v>
      </c>
    </row>
    <row r="9" spans="1:42">
      <c r="A9">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учёта'!$B$19,Расходка[[#This Row],[Наименование расходного материала]])),MAX($J$1:J8)+1,0)</f>
        <v>0</v>
      </c>
      <c r="K9" s="116">
        <f>IF(ISNUMBER(SEARCH('Карта учёта'!$B$17,Расходка[[#This Row],[Наименование расходного материала]])),MAX($K$1:K8)+1,0)</f>
        <v>0</v>
      </c>
      <c r="L9" s="116">
        <f>IF(ISNUMBER(SEARCH('Карта учёта'!$B$18,Расходка[[#This Row],[Наименование расходного материала]])),MAX($L$1:L8)+1,0)</f>
        <v>0</v>
      </c>
      <c r="M9" s="116">
        <f>IF(ISNUMBER(SEARCH('Карта учёта'!$B$20,Расходка[[#This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411</v>
      </c>
      <c r="AM9" s="190">
        <v>218160</v>
      </c>
      <c r="AN9" s="2"/>
      <c r="AO9" t="s">
        <v>90</v>
      </c>
    </row>
    <row r="10" spans="1:42">
      <c r="A10">
        <v>9</v>
      </c>
      <c r="B10" t="s">
        <v>5</v>
      </c>
      <c r="C10" t="s">
        <v>378</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учёта'!$B$21,Расходка[[#This Row],[Наименование расходного материала]])),MAX($I$1:I9)+1,0)</f>
        <v>9</v>
      </c>
      <c r="J10" s="116">
        <f>IF(ISNUMBER(SEARCH('Карта учёта'!$B$19,Расходка[[#This Row],[Наименование расходного материала]])),MAX($J$1:J9)+1,0)</f>
        <v>0</v>
      </c>
      <c r="K10" s="116">
        <f>IF(ISNUMBER(SEARCH('Карта учёта'!$B$17,Расходка[[#This Row],[Наименование расходного материала]])),MAX($K$1:K9)+1,0)</f>
        <v>0</v>
      </c>
      <c r="L10" s="116">
        <f>IF(ISNUMBER(SEARCH('Карта учёта'!$B$18,Расходка[[#This Row],[Наименование расходного материала]])),MAX($L$1:L9)+1,0)</f>
        <v>0</v>
      </c>
      <c r="M10" s="116">
        <f>IF(ISNUMBER(SEARCH('Карта учёта'!$B$20,Расходка[[#This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412</v>
      </c>
      <c r="AI10" t="s">
        <v>355</v>
      </c>
      <c r="AM10" s="190">
        <v>194510</v>
      </c>
      <c r="AN10" s="2"/>
      <c r="AO10" t="s">
        <v>91</v>
      </c>
    </row>
    <row r="11" spans="1:42">
      <c r="A11">
        <v>10</v>
      </c>
      <c r="B11" t="s">
        <v>5</v>
      </c>
      <c r="C11" t="s">
        <v>400</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учёта'!$B$21,Расходка[[#This Row],[Наименование расходного материала]])),MAX($I$1:I10)+1,0)</f>
        <v>10</v>
      </c>
      <c r="J11" s="116">
        <f>IF(ISNUMBER(SEARCH('Карта учёта'!$B$19,Расходка[[#This Row],[Наименование расходного материала]])),MAX($J$1:J10)+1,0)</f>
        <v>0</v>
      </c>
      <c r="K11" s="116">
        <f>IF(ISNUMBER(SEARCH('Карта учёта'!$B$17,Расходка[[#This Row],[Наименование расходного материала]])),MAX($K$1:K10)+1,0)</f>
        <v>0</v>
      </c>
      <c r="L11" s="116">
        <f>IF(ISNUMBER(SEARCH('Карта учёта'!$B$18,Расходка[[#This Row],[Наименование расходного материала]])),MAX($L$1:L10)+1,0)</f>
        <v>0</v>
      </c>
      <c r="M11" s="116">
        <f>IF(ISNUMBER(SEARCH('Карта учёта'!$B$20,Расходка[[#This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413</v>
      </c>
      <c r="AI11" t="s">
        <v>4</v>
      </c>
      <c r="AM11" s="190">
        <v>323500</v>
      </c>
      <c r="AN11" s="2"/>
      <c r="AO11" t="s">
        <v>92</v>
      </c>
    </row>
    <row r="12" spans="1:42">
      <c r="A12">
        <v>11</v>
      </c>
      <c r="B12" t="s">
        <v>308</v>
      </c>
      <c r="C12" s="1" t="s">
        <v>333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учёта'!$B$19,Расходка[[#This Row],[Наименование расходного материала]])),MAX($J$1:J11)+1,0)</f>
        <v>0</v>
      </c>
      <c r="K12" s="116">
        <f>IF(ISNUMBER(SEARCH('Карта учёта'!$B$17,Расходка[[#This Row],[Наименование расходного материала]])),MAX($K$1:K11)+1,0)</f>
        <v>0</v>
      </c>
      <c r="L12" s="116">
        <f>IF(ISNUMBER(SEARCH('Карта учёта'!$B$18,Расходка[[#This Row],[Наименование расходного материала]])),MAX($L$1:L11)+1,0)</f>
        <v>0</v>
      </c>
      <c r="M12" s="116">
        <f>IF(ISNUMBER(SEARCH('Карта учёта'!$B$20,Расходка[[#This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414</v>
      </c>
      <c r="AI12" t="s">
        <v>3</v>
      </c>
      <c r="AM12" s="190">
        <v>323510</v>
      </c>
      <c r="AN12" s="2"/>
      <c r="AO12" t="s">
        <v>93</v>
      </c>
    </row>
    <row r="13" spans="1:42">
      <c r="A13">
        <v>12</v>
      </c>
      <c r="B13" t="s">
        <v>308</v>
      </c>
      <c r="C13" t="s">
        <v>367</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учёта'!$B$19,Расходка[[#This Row],[Наименование расходного материала]])),MAX($J$1:J12)+1,0)</f>
        <v>0</v>
      </c>
      <c r="K13" s="116">
        <f>IF(ISNUMBER(SEARCH('Карта учёта'!$B$17,Расходка[[#This Row],[Наименование расходного материала]])),MAX($K$1:K12)+1,0)</f>
        <v>0</v>
      </c>
      <c r="L13" s="116">
        <f>IF(ISNUMBER(SEARCH('Карта учёта'!$B$18,Расходка[[#This Row],[Наименование расходного материала]])),MAX($L$1:L12)+1,0)</f>
        <v>0</v>
      </c>
      <c r="M13" s="116">
        <f>IF(ISNUMBER(SEARCH('Карта учёта'!$B$20,Расходка[[#This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415</v>
      </c>
      <c r="AI13" t="s">
        <v>6</v>
      </c>
      <c r="AN13" s="2"/>
    </row>
    <row r="14" spans="1:42">
      <c r="A14">
        <v>13</v>
      </c>
      <c r="B14" t="s">
        <v>306</v>
      </c>
      <c r="C14" t="s">
        <v>332</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учёта'!$B$19,Расходка[[#This Row],[Наименование расходного материала]])),MAX($J$1:J13)+1,0)</f>
        <v>0</v>
      </c>
      <c r="K14" s="116">
        <f>IF(ISNUMBER(SEARCH('Карта учёта'!$B$17,Расходка[[#This Row],[Наименование расходного материала]])),MAX($K$1:K13)+1,0)</f>
        <v>0</v>
      </c>
      <c r="L14" s="116">
        <f>IF(ISNUMBER(SEARCH('Карта учёта'!$B$18,Расходка[[#This Row],[Наименование расходного материала]])),MAX($L$1:L13)+1,0)</f>
        <v>0</v>
      </c>
      <c r="M14" s="116">
        <f>IF(ISNUMBER(SEARCH('Карта учёта'!$B$20,Расходка[[#This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494</v>
      </c>
      <c r="AI14" t="s">
        <v>5</v>
      </c>
      <c r="AM14" s="190"/>
      <c r="AN14" s="2"/>
    </row>
    <row r="15" spans="1:42">
      <c r="A15">
        <v>14</v>
      </c>
      <c r="B15" t="s">
        <v>306</v>
      </c>
      <c r="C15" t="s">
        <v>364</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учёта'!$B$19,Расходка[[#This Row],[Наименование расходного материала]])),MAX($J$1:J14)+1,0)</f>
        <v>0</v>
      </c>
      <c r="K15" s="116">
        <f>IF(ISNUMBER(SEARCH('Карта учёта'!$B$17,Расходка[[#This Row],[Наименование расходного материала]])),MAX($K$1:K14)+1,0)</f>
        <v>0</v>
      </c>
      <c r="L15" s="116">
        <f>IF(ISNUMBER(SEARCH('Карта учёта'!$B$18,Расходка[[#This Row],[Наименование расходного материала]])),MAX($L$1:L14)+1,0)</f>
        <v>0</v>
      </c>
      <c r="M15" s="116">
        <f>IF(ISNUMBER(SEARCH('Карта учёта'!$B$20,Расходка[[#This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416</v>
      </c>
      <c r="AI15" t="s">
        <v>94</v>
      </c>
    </row>
    <row r="16" spans="1:42">
      <c r="A16">
        <v>15</v>
      </c>
      <c r="B16" t="s">
        <v>306</v>
      </c>
      <c r="C16" t="s">
        <v>354</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учёта'!$B$19,Расходка[[#This Row],[Наименование расходного материала]])),MAX($J$1:J15)+1,0)</f>
        <v>0</v>
      </c>
      <c r="K16" s="116">
        <f>IF(ISNUMBER(SEARCH('Карта учёта'!$B$17,Расходка[[#This Row],[Наименование расходного материала]])),MAX($K$1:K15)+1,0)</f>
        <v>0</v>
      </c>
      <c r="L16" s="116">
        <f>IF(ISNUMBER(SEARCH('Карта учёта'!$B$18,Расходка[[#This Row],[Наименование расходного материала]])),MAX($L$1:L15)+1,0)</f>
        <v>0</v>
      </c>
      <c r="M16" s="116">
        <f>IF(ISNUMBER(SEARCH('Карта учёта'!$B$20,Расходка[[#This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417</v>
      </c>
      <c r="AI16" t="s">
        <v>306</v>
      </c>
    </row>
    <row r="17" spans="1:35">
      <c r="A17">
        <v>16</v>
      </c>
      <c r="B17" t="s">
        <v>306</v>
      </c>
      <c r="C17" t="s">
        <v>379</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учёта'!$B$19,Расходка[[#This Row],[Наименование расходного материала]])),MAX($J$1:J16)+1,0)</f>
        <v>0</v>
      </c>
      <c r="K17" s="116">
        <f>IF(ISNUMBER(SEARCH('Карта учёта'!$B$17,Расходка[[#This Row],[Наименование расходного материала]])),MAX($K$1:K16)+1,0)</f>
        <v>0</v>
      </c>
      <c r="L17" s="116">
        <f>IF(ISNUMBER(SEARCH('Карта учёта'!$B$18,Расходка[[#This Row],[Наименование расходного материала]])),MAX($L$1:L16)+1,0)</f>
        <v>0</v>
      </c>
      <c r="M17" s="116">
        <f>IF(ISNUMBER(SEARCH('Карта учёта'!$B$20,Расходка[[#This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418</v>
      </c>
      <c r="AI17" t="s">
        <v>206</v>
      </c>
    </row>
    <row r="18" spans="1:35">
      <c r="A18">
        <v>17</v>
      </c>
      <c r="B18" t="s">
        <v>306</v>
      </c>
      <c r="C18" t="s">
        <v>369</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учёта'!$B$19,Расходка[[#This Row],[Наименование расходного материала]])),MAX($J$1:J17)+1,0)</f>
        <v>0</v>
      </c>
      <c r="K18" s="116">
        <f>IF(ISNUMBER(SEARCH('Карта учёта'!$B$17,Расходка[[#This Row],[Наименование расходного материала]])),MAX($K$1:K17)+1,0)</f>
        <v>0</v>
      </c>
      <c r="L18" s="116">
        <f>IF(ISNUMBER(SEARCH('Карта учёта'!$B$18,Расходка[[#This Row],[Наименование расходного материала]])),MAX($L$1:L17)+1,0)</f>
        <v>0</v>
      </c>
      <c r="M18" s="116">
        <f>IF(ISNUMBER(SEARCH('Карта учёта'!$B$20,Расходка[[#This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419</v>
      </c>
      <c r="AI18" t="s">
        <v>95</v>
      </c>
    </row>
    <row r="19" spans="1:35">
      <c r="A19">
        <v>18</v>
      </c>
      <c r="B19" t="s">
        <v>306</v>
      </c>
      <c r="C19" t="s">
        <v>507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учёта'!$B$19,Расходка[[#This Row],[Наименование расходного материала]])),MAX($J$1:J18)+1,0)</f>
        <v>0</v>
      </c>
      <c r="K19" s="116">
        <f>IF(ISNUMBER(SEARCH('Карта учёта'!$B$17,Расходка[[#This Row],[Наименование расходного материала]])),MAX($K$1:K18)+1,0)</f>
        <v>0</v>
      </c>
      <c r="L19" s="116">
        <f>IF(ISNUMBER(SEARCH('Карта учёта'!$B$18,Расходка[[#This Row],[Наименование расходного материала]])),MAX($L$1:L18)+1,0)</f>
        <v>0</v>
      </c>
      <c r="M19" s="116">
        <f>IF(ISNUMBER(SEARCH('Карта учёта'!$B$20,Расходка[[#This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420</v>
      </c>
      <c r="AI19" t="s">
        <v>301</v>
      </c>
    </row>
    <row r="20" spans="1:35">
      <c r="A20">
        <v>19</v>
      </c>
      <c r="B20" t="s">
        <v>206</v>
      </c>
      <c r="C20" s="1" t="s">
        <v>338</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учёта'!$B$19,Расходка[[#This Row],[Наименование расходного материала]])),MAX($J$1:J19)+1,0)</f>
        <v>0</v>
      </c>
      <c r="K20" s="116">
        <f>IF(ISNUMBER(SEARCH('Карта учёта'!$B$17,Расходка[[#This Row],[Наименование расходного материала]])),MAX($K$1:K19)+1,0)</f>
        <v>0</v>
      </c>
      <c r="L20" s="116">
        <f>IF(ISNUMBER(SEARCH('Карта учёта'!$B$18,Расходка[[#This Row],[Наименование расходного материала]])),MAX($L$1:L19)+1,0)</f>
        <v>0</v>
      </c>
      <c r="M20" s="116">
        <f>IF(ISNUMBER(SEARCH('Карта учёта'!$B$20,Расходка[[#This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421</v>
      </c>
      <c r="AI20" t="s">
        <v>308</v>
      </c>
    </row>
    <row r="21" spans="1:35">
      <c r="A21">
        <v>20</v>
      </c>
      <c r="B21" t="s">
        <v>306</v>
      </c>
      <c r="C21" s="1" t="s">
        <v>509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учёта'!$B$19,Расходка[[#This Row],[Наименование расходного материала]])),MAX($J$1:J20)+1,0)</f>
        <v>0</v>
      </c>
      <c r="K21" s="116">
        <f>IF(ISNUMBER(SEARCH('Карта учёта'!$B$17,Расходка[[#This Row],[Наименование расходного материала]])),MAX($K$1:K20)+1,0)</f>
        <v>0</v>
      </c>
      <c r="L21" s="116">
        <f>IF(ISNUMBER(SEARCH('Карта учёта'!$B$18,Расходка[[#This Row],[Наименование расходного материала]])),MAX($L$1:L20)+1,0)</f>
        <v>0</v>
      </c>
      <c r="M21" s="116">
        <f>IF(ISNUMBER(SEARCH('Карта учёта'!$B$20,Расходка[[#This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422</v>
      </c>
    </row>
    <row r="22" spans="1:35">
      <c r="A22">
        <v>21</v>
      </c>
      <c r="B22" t="s">
        <v>306</v>
      </c>
      <c r="C22" s="1" t="s">
        <v>510</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учёта'!$B$19,Расходка[[#This Row],[Наименование расходного материала]])),MAX($J$1:J21)+1,0)</f>
        <v>0</v>
      </c>
      <c r="K22" s="116">
        <f>IF(ISNUMBER(SEARCH('Карта учёта'!$B$17,Расходка[[#This Row],[Наименование расходного материала]])),MAX($K$1:K21)+1,0)</f>
        <v>0</v>
      </c>
      <c r="L22" s="116">
        <f>IF(ISNUMBER(SEARCH('Карта учёта'!$B$18,Расходка[[#This Row],[Наименование расходного материала]])),MAX($L$1:L21)+1,0)</f>
        <v>0</v>
      </c>
      <c r="M22" s="116">
        <f>IF(ISNUMBER(SEARCH('Карта учёта'!$B$20,Расходка[[#This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423</v>
      </c>
    </row>
    <row r="23" spans="1:35">
      <c r="A23">
        <v>22</v>
      </c>
      <c r="B23" t="s">
        <v>3</v>
      </c>
      <c r="C23" t="s">
        <v>321</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учёта'!$B$19,Расходка[[#This Row],[Наименование расходного материала]])),MAX($J$1:J22)+1,0)</f>
        <v>0</v>
      </c>
      <c r="K23" s="116">
        <f>IF(ISNUMBER(SEARCH('Карта учёта'!$B$17,Расходка[[#This Row],[Наименование расходного материала]])),MAX($K$1:K22)+1,0)</f>
        <v>0</v>
      </c>
      <c r="L23" s="116">
        <f>IF(ISNUMBER(SEARCH('Карта учёта'!$B$18,Расходка[[#This Row],[Наименование расходного материала]])),MAX($L$1:L22)+1,0)</f>
        <v>0</v>
      </c>
      <c r="M23" s="116">
        <f>IF(ISNUMBER(SEARCH('Карта учёта'!$B$20,Расходка[[#This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424</v>
      </c>
    </row>
    <row r="24" spans="1:35">
      <c r="A24">
        <v>23</v>
      </c>
      <c r="B24" t="s">
        <v>3</v>
      </c>
      <c r="C24" t="s">
        <v>342</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учёта'!$B$19,Расходка[[#This Row],[Наименование расходного материала]])),MAX($J$1:J23)+1,0)</f>
        <v>0</v>
      </c>
      <c r="K24" s="116">
        <f>IF(ISNUMBER(SEARCH('Карта учёта'!$B$17,Расходка[[#This Row],[Наименование расходного материала]])),MAX($K$1:K23)+1,0)</f>
        <v>0</v>
      </c>
      <c r="L24" s="116">
        <f>IF(ISNUMBER(SEARCH('Карта учёта'!$B$18,Расходка[[#This Row],[Наименование расходного материала]])),MAX($L$1:L23)+1,0)</f>
        <v>0</v>
      </c>
      <c r="M24" s="116">
        <f>IF(ISNUMBER(SEARCH('Карта учёта'!$B$20,Расходка[[#This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425</v>
      </c>
    </row>
    <row r="25" spans="1:35">
      <c r="A25">
        <v>24</v>
      </c>
      <c r="B25" t="s">
        <v>3</v>
      </c>
      <c r="C25" t="s">
        <v>314</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учёта'!$B$19,Расходка[[#This Row],[Наименование расходного материала]])),MAX($J$1:J24)+1,0)</f>
        <v>0</v>
      </c>
      <c r="K25" s="116">
        <f>IF(ISNUMBER(SEARCH('Карта учёта'!$B$17,Расходка[[#This Row],[Наименование расходного материала]])),MAX($K$1:K24)+1,0)</f>
        <v>0</v>
      </c>
      <c r="L25" s="116">
        <f>IF(ISNUMBER(SEARCH('Карта учёта'!$B$18,Расходка[[#This Row],[Наименование расходного материала]])),MAX($L$1:L24)+1,0)</f>
        <v>0</v>
      </c>
      <c r="M25" s="116">
        <f>IF(ISNUMBER(SEARCH('Карта учёта'!$B$20,Расходка[[#This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426</v>
      </c>
    </row>
    <row r="26" spans="1:35">
      <c r="A26">
        <v>25</v>
      </c>
      <c r="B26" t="s">
        <v>3</v>
      </c>
      <c r="C26" t="s">
        <v>376</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учёта'!$B$19,Расходка[[#This Row],[Наименование расходного материала]])),MAX($J$1:J25)+1,0)</f>
        <v>0</v>
      </c>
      <c r="K26" s="116">
        <f>IF(ISNUMBER(SEARCH('Карта учёта'!$B$17,Расходка[[#This Row],[Наименование расходного материала]])),MAX($K$1:K25)+1,0)</f>
        <v>0</v>
      </c>
      <c r="L26" s="116">
        <f>IF(ISNUMBER(SEARCH('Карта учёта'!$B$18,Расходка[[#This Row],[Наименование расходного материала]])),MAX($L$1:L25)+1,0)</f>
        <v>0</v>
      </c>
      <c r="M26" s="116">
        <f>IF(ISNUMBER(SEARCH('Карта учёта'!$B$20,Расходка[[#This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427</v>
      </c>
    </row>
    <row r="27" spans="1:35">
      <c r="A27">
        <v>26</v>
      </c>
      <c r="B27" t="s">
        <v>3</v>
      </c>
      <c r="C27" t="s">
        <v>377</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учёта'!$B$19,Расходка[[#This Row],[Наименование расходного материала]])),MAX($J$1:J26)+1,0)</f>
        <v>0</v>
      </c>
      <c r="K27" s="116">
        <f>IF(ISNUMBER(SEARCH('Карта учёта'!$B$17,Расходка[[#This Row],[Наименование расходного материала]])),MAX($K$1:K26)+1,0)</f>
        <v>0</v>
      </c>
      <c r="L27" s="116">
        <f>IF(ISNUMBER(SEARCH('Карта учёта'!$B$18,Расходка[[#This Row],[Наименование расходного материала]])),MAX($L$1:L26)+1,0)</f>
        <v>0</v>
      </c>
      <c r="M27" s="116">
        <f>IF(ISNUMBER(SEARCH('Карта учёта'!$B$20,Расходка[[#This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428</v>
      </c>
    </row>
    <row r="28" spans="1:35">
      <c r="A28">
        <v>27</v>
      </c>
      <c r="B28" t="s">
        <v>3</v>
      </c>
      <c r="C28" s="1" t="s">
        <v>359</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учёта'!$B$19,Расходка[[#This Row],[Наименование расходного материала]])),MAX($J$1:J27)+1,0)</f>
        <v>0</v>
      </c>
      <c r="K28" s="116">
        <f>IF(ISNUMBER(SEARCH('Карта учёта'!$B$17,Расходка[[#This Row],[Наименование расходного материала]])),MAX($K$1:K27)+1,0)</f>
        <v>0</v>
      </c>
      <c r="L28" s="116">
        <f>IF(ISNUMBER(SEARCH('Карта учёта'!$B$18,Расходка[[#This Row],[Наименование расходного материала]])),MAX($L$1:L27)+1,0)</f>
        <v>0</v>
      </c>
      <c r="M28" s="116">
        <f>IF(ISNUMBER(SEARCH('Карта учёта'!$B$20,Расходка[[#This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429</v>
      </c>
    </row>
    <row r="29" spans="1:35">
      <c r="A29">
        <v>28</v>
      </c>
      <c r="B29" t="s">
        <v>3</v>
      </c>
      <c r="C29" s="1" t="s">
        <v>372</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учёта'!$B$19,Расходка[[#This Row],[Наименование расходного материала]])),MAX($J$1:J28)+1,0)</f>
        <v>0</v>
      </c>
      <c r="K29" s="116">
        <f>IF(ISNUMBER(SEARCH('Карта учёта'!$B$17,Расходка[[#This Row],[Наименование расходного материала]])),MAX($K$1:K28)+1,0)</f>
        <v>0</v>
      </c>
      <c r="L29" s="116">
        <f>IF(ISNUMBER(SEARCH('Карта учёта'!$B$18,Расходка[[#This Row],[Наименование расходного материала]])),MAX($L$1:L28)+1,0)</f>
        <v>0</v>
      </c>
      <c r="M29" s="116">
        <f>IF(ISNUMBER(SEARCH('Карта учёта'!$B$20,Расходка[[#This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430</v>
      </c>
    </row>
    <row r="30" spans="1:35">
      <c r="A30">
        <v>29</v>
      </c>
      <c r="B30" t="s">
        <v>3</v>
      </c>
      <c r="C30" s="1" t="s">
        <v>322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учёта'!$B$19,Расходка[[#This Row],[Наименование расходного материала]])),MAX($J$1:J29)+1,0)</f>
        <v>0</v>
      </c>
      <c r="K30" s="116">
        <f>IF(ISNUMBER(SEARCH('Карта учёта'!$B$17,Расходка[[#This Row],[Наименование расходного материала]])),MAX($K$1:K29)+1,0)</f>
        <v>0</v>
      </c>
      <c r="L30" s="116">
        <f>IF(ISNUMBER(SEARCH('Карта учёта'!$B$18,Расходка[[#This Row],[Наименование расходного материала]])),MAX($L$1:L29)+1,0)</f>
        <v>0</v>
      </c>
      <c r="M30" s="116">
        <f>IF(ISNUMBER(SEARCH('Карта учёта'!$B$20,Расходка[[#This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492</v>
      </c>
    </row>
    <row r="31" spans="1:35">
      <c r="A31">
        <v>30</v>
      </c>
      <c r="B31" t="s">
        <v>3</v>
      </c>
      <c r="C31" t="s">
        <v>318</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учёта'!$B$19,Расходка[[#This Row],[Наименование расходного материала]])),MAX($J$1:J30)+1,0)</f>
        <v>0</v>
      </c>
      <c r="K31" s="116">
        <f>IF(ISNUMBER(SEARCH('Карта учёта'!$B$17,Расходка[[#This Row],[Наименование расходного материала]])),MAX($K$1:K30)+1,0)</f>
        <v>0</v>
      </c>
      <c r="L31" s="116">
        <f>IF(ISNUMBER(SEARCH('Карта учёта'!$B$18,Расходка[[#This Row],[Наименование расходного материала]])),MAX($L$1:L30)+1,0)</f>
        <v>0</v>
      </c>
      <c r="M31" s="116">
        <f>IF(ISNUMBER(SEARCH('Карта учёта'!$B$20,Расходка[[#This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431</v>
      </c>
    </row>
    <row r="32" spans="1:35">
      <c r="A32">
        <v>31</v>
      </c>
      <c r="B32" t="s">
        <v>3</v>
      </c>
      <c r="C32" t="s">
        <v>319</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учёта'!$B$19,Расходка[[#This Row],[Наименование расходного материала]])),MAX($J$1:J31)+1,0)</f>
        <v>0</v>
      </c>
      <c r="K32" s="116">
        <f>IF(ISNUMBER(SEARCH('Карта учёта'!$B$17,Расходка[[#This Row],[Наименование расходного материала]])),MAX($K$1:K31)+1,0)</f>
        <v>0</v>
      </c>
      <c r="L32" s="116">
        <f>IF(ISNUMBER(SEARCH('Карта учёта'!$B$18,Расходка[[#This Row],[Наименование расходного материала]])),MAX($L$1:L31)+1,0)</f>
        <v>0</v>
      </c>
      <c r="M32" s="116">
        <f>IF(ISNUMBER(SEARCH('Карта учёта'!$B$20,Расходка[[#This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432</v>
      </c>
    </row>
    <row r="33" spans="1:33">
      <c r="A33">
        <v>32</v>
      </c>
      <c r="B33" t="s">
        <v>3</v>
      </c>
      <c r="C33" t="s">
        <v>320</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учёта'!$B$19,Расходка[[#This Row],[Наименование расходного материала]])),MAX($J$1:J32)+1,0)</f>
        <v>0</v>
      </c>
      <c r="K33" s="116">
        <f>IF(ISNUMBER(SEARCH('Карта учёта'!$B$17,Расходка[[#This Row],[Наименование расходного материала]])),MAX($K$1:K32)+1,0)</f>
        <v>0</v>
      </c>
      <c r="L33" s="116">
        <f>IF(ISNUMBER(SEARCH('Карта учёта'!$B$18,Расходка[[#This Row],[Наименование расходного материала]])),MAX($L$1:L32)+1,0)</f>
        <v>0</v>
      </c>
      <c r="M33" s="116">
        <f>IF(ISNUMBER(SEARCH('Карта учёта'!$B$20,Расходка[[#This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433</v>
      </c>
    </row>
    <row r="34" spans="1:33">
      <c r="A34">
        <v>33</v>
      </c>
      <c r="B34" t="s">
        <v>3</v>
      </c>
      <c r="C34" t="s">
        <v>316</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учёта'!$B$19,Расходка[[#This Row],[Наименование расходного материала]])),MAX($J$1:J33)+1,0)</f>
        <v>0</v>
      </c>
      <c r="K34" s="116">
        <f>IF(ISNUMBER(SEARCH('Карта учёта'!$B$17,Расходка[[#This Row],[Наименование расходного материала]])),MAX($K$1:K33)+1,0)</f>
        <v>0</v>
      </c>
      <c r="L34" s="116">
        <f>IF(ISNUMBER(SEARCH('Карта учёта'!$B$18,Расходка[[#This Row],[Наименование расходного материала]])),MAX($L$1:L33)+1,0)</f>
        <v>0</v>
      </c>
      <c r="M34" s="116">
        <f>IF(ISNUMBER(SEARCH('Карта учёта'!$B$20,Расходка[[#This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434</v>
      </c>
    </row>
    <row r="35" spans="1:33">
      <c r="A35">
        <v>34</v>
      </c>
      <c r="B35" t="s">
        <v>3</v>
      </c>
      <c r="C35" s="1" t="s">
        <v>353</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учёта'!$B$19,Расходка[[#This Row],[Наименование расходного материала]])),MAX($J$1:J34)+1,0)</f>
        <v>0</v>
      </c>
      <c r="K35" s="116">
        <f>IF(ISNUMBER(SEARCH('Карта учёта'!$B$17,Расходка[[#This Row],[Наименование расходного материала]])),MAX($K$1:K34)+1,0)</f>
        <v>0</v>
      </c>
      <c r="L35" s="116">
        <f>IF(ISNUMBER(SEARCH('Карта учёта'!$B$18,Расходка[[#This Row],[Наименование расходного материала]])),MAX($L$1:L34)+1,0)</f>
        <v>0</v>
      </c>
      <c r="M35" s="116">
        <f>IF(ISNUMBER(SEARCH('Карта учёта'!$B$20,Расходка[[#This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493</v>
      </c>
    </row>
    <row r="36" spans="1:33">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учёта'!$B$19,Расходка[[#This Row],[Наименование расходного материала]])),MAX($J$1:J35)+1,0)</f>
        <v>0</v>
      </c>
      <c r="K36" s="116">
        <f>IF(ISNUMBER(SEARCH('Карта учёта'!$B$17,Расходка[[#This Row],[Наименование расходного материала]])),MAX($K$1:K35)+1,0)</f>
        <v>0</v>
      </c>
      <c r="L36" s="116">
        <f>IF(ISNUMBER(SEARCH('Карта учёта'!$B$18,Расходка[[#This Row],[Наименование расходного материала]])),MAX($L$1:L35)+1,0)</f>
        <v>0</v>
      </c>
      <c r="M36" s="116">
        <f>IF(ISNUMBER(SEARCH('Карта учёта'!$B$20,Расходка[[#This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435</v>
      </c>
    </row>
    <row r="37" spans="1:33">
      <c r="A37">
        <v>36</v>
      </c>
      <c r="B37" t="s">
        <v>3</v>
      </c>
      <c r="C37" s="1" t="s">
        <v>360</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учёта'!$B$19,Расходка[[#This Row],[Наименование расходного материала]])),MAX($J$1:J36)+1,0)</f>
        <v>0</v>
      </c>
      <c r="K37" s="116">
        <f>IF(ISNUMBER(SEARCH('Карта учёта'!$B$17,Расходка[[#This Row],[Наименование расходного материала]])),MAX($K$1:K36)+1,0)</f>
        <v>0</v>
      </c>
      <c r="L37" s="116">
        <f>IF(ISNUMBER(SEARCH('Карта учёта'!$B$18,Расходка[[#This Row],[Наименование расходного материала]])),MAX($L$1:L36)+1,0)</f>
        <v>0</v>
      </c>
      <c r="M37" s="116">
        <f>IF(ISNUMBER(SEARCH('Карта учёта'!$B$20,Расходка[[#This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408</v>
      </c>
    </row>
    <row r="38" spans="1:33">
      <c r="A38">
        <v>37</v>
      </c>
      <c r="B38" t="s">
        <v>3</v>
      </c>
      <c r="C38" t="s">
        <v>315</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учёта'!$B$19,Расходка[[#This Row],[Наименование расходного материала]])),MAX($J$1:J37)+1,0)</f>
        <v>0</v>
      </c>
      <c r="K38" s="116">
        <f>IF(ISNUMBER(SEARCH('Карта учёта'!$B$17,Расходка[[#This Row],[Наименование расходного материала]])),MAX($K$1:K37)+1,0)</f>
        <v>0</v>
      </c>
      <c r="L38" s="116">
        <f>IF(ISNUMBER(SEARCH('Карта учёта'!$B$18,Расходка[[#This Row],[Наименование расходного материала]])),MAX($L$1:L37)+1,0)</f>
        <v>0</v>
      </c>
      <c r="M38" s="116">
        <f>IF(ISNUMBER(SEARCH('Карта учёта'!$B$20,Расходка[[#This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495</v>
      </c>
    </row>
    <row r="39" spans="1:33">
      <c r="A39">
        <v>38</v>
      </c>
      <c r="B39" t="s">
        <v>3</v>
      </c>
      <c r="C39" t="s">
        <v>380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учёта'!$B$19,Расходка[[#This Row],[Наименование расходного материала]])),MAX($J$1:J38)+1,0)</f>
        <v>0</v>
      </c>
      <c r="K39" s="116">
        <f>IF(ISNUMBER(SEARCH('Карта учёта'!$B$17,Расходка[[#This Row],[Наименование расходного материала]])),MAX($K$1:K38)+1,0)</f>
        <v>0</v>
      </c>
      <c r="L39" s="116">
        <f>IF(ISNUMBER(SEARCH('Карта учёта'!$B$18,Расходка[[#This Row],[Наименование расходного материала]])),MAX($L$1:L38)+1,0)</f>
        <v>0</v>
      </c>
      <c r="M39" s="116">
        <f>IF(ISNUMBER(SEARCH('Карта учёта'!$B$20,Расходка[[#This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436</v>
      </c>
    </row>
    <row r="40" spans="1:33">
      <c r="A40">
        <v>39</v>
      </c>
      <c r="B40" t="s">
        <v>3</v>
      </c>
      <c r="C40" s="1" t="s">
        <v>375</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учёта'!$B$19,Расходка[[#This Row],[Наименование расходного материала]])),MAX($J$1:J39)+1,0)</f>
        <v>0</v>
      </c>
      <c r="K40" s="116">
        <f>IF(ISNUMBER(SEARCH('Карта учёта'!$B$17,Расходка[[#This Row],[Наименование расходного материала]])),MAX($K$1:K39)+1,0)</f>
        <v>0</v>
      </c>
      <c r="L40" s="116">
        <f>IF(ISNUMBER(SEARCH('Карта учёта'!$B$18,Расходка[[#This Row],[Наименование расходного материала]])),MAX($L$1:L39)+1,0)</f>
        <v>0</v>
      </c>
      <c r="M40" s="116">
        <f>IF(ISNUMBER(SEARCH('Карта учёта'!$B$20,Расходка[[#This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437</v>
      </c>
    </row>
    <row r="41" spans="1:33">
      <c r="A41">
        <v>40</v>
      </c>
      <c r="B41" t="s">
        <v>3</v>
      </c>
      <c r="C41" t="s">
        <v>317</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учёта'!$B$19,Расходка[[#This Row],[Наименование расходного материала]])),MAX($J$1:J40)+1,0)</f>
        <v>0</v>
      </c>
      <c r="K41" s="116">
        <f>IF(ISNUMBER(SEARCH('Карта учёта'!$B$17,Расходка[[#This Row],[Наименование расходного материала]])),MAX($K$1:K40)+1,0)</f>
        <v>0</v>
      </c>
      <c r="L41" s="116">
        <f>IF(ISNUMBER(SEARCH('Карта учёта'!$B$18,Расходка[[#This Row],[Наименование расходного материала]])),MAX($L$1:L40)+1,0)</f>
        <v>0</v>
      </c>
      <c r="M41" s="116">
        <f>IF(ISNUMBER(SEARCH('Карта учёта'!$B$20,Расходка[[#This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438</v>
      </c>
    </row>
    <row r="42" spans="1:33">
      <c r="A42">
        <v>41</v>
      </c>
      <c r="B42" t="s">
        <v>3</v>
      </c>
      <c r="C42" t="s">
        <v>362</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учёта'!$B$19,Расходка[[#This Row],[Наименование расходного материала]])),MAX($J$1:J41)+1,0)</f>
        <v>0</v>
      </c>
      <c r="K42" s="116">
        <f>IF(ISNUMBER(SEARCH('Карта учёта'!$B$17,Расходка[[#This Row],[Наименование расходного материала]])),MAX($K$1:K41)+1,0)</f>
        <v>0</v>
      </c>
      <c r="L42" s="116">
        <f>IF(ISNUMBER(SEARCH('Карта учёта'!$B$18,Расходка[[#This Row],[Наименование расходного материала]])),MAX($L$1:L41)+1,0)</f>
        <v>0</v>
      </c>
      <c r="M42" s="116">
        <f>IF(ISNUMBER(SEARCH('Карта учёта'!$B$20,Расходка[[#This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439</v>
      </c>
    </row>
    <row r="43" spans="1:33">
      <c r="A43">
        <v>42</v>
      </c>
      <c r="B43" t="s">
        <v>3</v>
      </c>
      <c r="C43" t="s">
        <v>363</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учёта'!$B$19,Расходка[[#This Row],[Наименование расходного материала]])),MAX($J$1:J42)+1,0)</f>
        <v>0</v>
      </c>
      <c r="K43" s="116">
        <f>IF(ISNUMBER(SEARCH('Карта учёта'!$B$17,Расходка[[#This Row],[Наименование расходного материала]])),MAX($K$1:K42)+1,0)</f>
        <v>0</v>
      </c>
      <c r="L43" s="116">
        <f>IF(ISNUMBER(SEARCH('Карта учёта'!$B$18,Расходка[[#This Row],[Наименование расходного материала]])),MAX($L$1:L42)+1,0)</f>
        <v>0</v>
      </c>
      <c r="M43" s="116">
        <f>IF(ISNUMBER(SEARCH('Карта учёта'!$B$20,Расходка[[#This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412</v>
      </c>
    </row>
    <row r="44" spans="1:33">
      <c r="A44">
        <v>43</v>
      </c>
      <c r="B44" t="s">
        <v>3</v>
      </c>
      <c r="C44" t="s">
        <v>516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учёта'!$B$19,Расходка[[#This Row],[Наименование расходного материала]])),MAX($J$1:J43)+1,0)</f>
        <v>1</v>
      </c>
      <c r="K44" s="116">
        <f>IF(ISNUMBER(SEARCH('Карта учёта'!$B$17,Расходка[[#This Row],[Наименование расходного материала]])),MAX($K$1:K43)+1,0)</f>
        <v>0</v>
      </c>
      <c r="L44" s="116">
        <f>IF(ISNUMBER(SEARCH('Карта учёта'!$B$18,Расходка[[#This Row],[Наименование расходного материала]])),MAX($L$1:L43)+1,0)</f>
        <v>0</v>
      </c>
      <c r="M44" s="116">
        <f>IF(ISNUMBER(SEARCH('Карта учёта'!$B$20,Расходка[[#This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0,8g, Angioline</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0,8g, Angioline</v>
      </c>
      <c r="AA44" s="115" t="str">
        <f>IFERROR(INDEX(Расходка[Наименование расходного материала],MATCH(Расходка[[#This Row],[№]],Поиск_расходки[Индекс10],0)),"")</f>
        <v>Проводник коронарный  0,8g, Angioline</v>
      </c>
      <c r="AB44" s="115" t="str">
        <f>IFERROR(INDEX(Расходка[Наименование расходного материала],MATCH(Расходка[[#This Row],[№]],Поиск_расходки[Индекс11],0)),"")</f>
        <v>Проводник коронарный  0,8g, Angioline</v>
      </c>
      <c r="AC44" s="115" t="str">
        <f>IFERROR(INDEX(Расходка[Наименование расходного материала],MATCH(Расходка[[#This Row],[№]],Поиск_расходки[Индекс12],0)),"")</f>
        <v>Проводник коронарный  0,8g, Angioline</v>
      </c>
      <c r="AD44" s="115" t="str">
        <f>IFERROR(INDEX(Расходка[Наименование расходного материала],MATCH(Расходка[[#This Row],[№]],Поиск_расходки[Индекс13],0)),"")</f>
        <v>Проводник коронарный  0,8g, Angioline</v>
      </c>
      <c r="AF44" s="4" t="s">
        <v>6</v>
      </c>
      <c r="AG44" s="4" t="s">
        <v>440</v>
      </c>
    </row>
    <row r="45" spans="1:33">
      <c r="A45">
        <v>44</v>
      </c>
      <c r="B45" t="s">
        <v>3</v>
      </c>
      <c r="C45" t="s">
        <v>346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учёта'!$B$19,Расходка[[#This Row],[Наименование расходного материала]])),MAX($J$1:J44)+1,0)</f>
        <v>0</v>
      </c>
      <c r="K45" s="116">
        <f>IF(ISNUMBER(SEARCH('Карта учёта'!$B$17,Расходка[[#This Row],[Наименование расходного материала]])),MAX($K$1:K44)+1,0)</f>
        <v>0</v>
      </c>
      <c r="L45" s="116">
        <f>IF(ISNUMBER(SEARCH('Карта учёта'!$B$18,Расходка[[#This Row],[Наименование расходного материала]])),MAX($L$1:L44)+1,0)</f>
        <v>0</v>
      </c>
      <c r="M45" s="116">
        <f>IF(ISNUMBER(SEARCH('Карта учёта'!$B$20,Расходка[[#This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1g, Angioline</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Проводник коронарный  1g, Angioline</v>
      </c>
      <c r="AA45" s="115" t="str">
        <f>IFERROR(INDEX(Расходка[Наименование расходного материала],MATCH(Расходка[[#This Row],[№]],Поиск_расходки[Индекс10],0)),"")</f>
        <v>Проводник коронарный  1g, Angioline</v>
      </c>
      <c r="AB45" s="115" t="str">
        <f>IFERROR(INDEX(Расходка[Наименование расходного материала],MATCH(Расходка[[#This Row],[№]],Поиск_расходки[Индекс11],0)),"")</f>
        <v>Проводник коронарный  1g, Angioline</v>
      </c>
      <c r="AC45" s="115" t="str">
        <f>IFERROR(INDEX(Расходка[Наименование расходного материала],MATCH(Расходка[[#This Row],[№]],Поиск_расходки[Индекс12],0)),"")</f>
        <v>Проводник коронарный  1g, Angioline</v>
      </c>
      <c r="AD45" s="115" t="str">
        <f>IFERROR(INDEX(Расходка[Наименование расходного материала],MATCH(Расходка[[#This Row],[№]],Поиск_расходки[Индекс13],0)),"")</f>
        <v>Проводник коронарный  1g, Angioline</v>
      </c>
      <c r="AF45" s="4" t="s">
        <v>6</v>
      </c>
      <c r="AG45" s="4" t="s">
        <v>441</v>
      </c>
    </row>
    <row r="46" spans="1:33">
      <c r="A46">
        <v>45</v>
      </c>
      <c r="B46" t="s">
        <v>3</v>
      </c>
      <c r="C46" t="s">
        <v>96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учёта'!$B$19,Расходка[[#This Row],[Наименование расходного материала]])),MAX($J$1:J45)+1,0)</f>
        <v>0</v>
      </c>
      <c r="K46" s="116">
        <f>IF(ISNUMBER(SEARCH('Карта учёта'!$B$17,Расходка[[#This Row],[Наименование расходного материала]])),MAX($K$1:K45)+1,0)</f>
        <v>0</v>
      </c>
      <c r="L46" s="116">
        <f>IF(ISNUMBER(SEARCH('Карта учёта'!$B$18,Расходка[[#This Row],[Наименование расходного материала]])),MAX($L$1:L45)+1,0)</f>
        <v>0</v>
      </c>
      <c r="M46" s="116">
        <f>IF(ISNUMBER(SEARCH('Карта учёта'!$B$20,Расходка[[#This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Проводник коронарный  3g, Angioline</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Проводник коронарный  3g, Angioline</v>
      </c>
      <c r="AA46" s="115" t="str">
        <f>IFERROR(INDEX(Расходка[Наименование расходного материала],MATCH(Расходка[[#This Row],[№]],Поиск_расходки[Индекс10],0)),"")</f>
        <v>Проводник коронарный  3g, Angioline</v>
      </c>
      <c r="AB46" s="115" t="str">
        <f>IFERROR(INDEX(Расходка[Наименование расходного материала],MATCH(Расходка[[#This Row],[№]],Поиск_расходки[Индекс11],0)),"")</f>
        <v>Проводник коронарный  3g, Angioline</v>
      </c>
      <c r="AC46" s="115" t="str">
        <f>IFERROR(INDEX(Расходка[Наименование расходного материала],MATCH(Расходка[[#This Row],[№]],Поиск_расходки[Индекс12],0)),"")</f>
        <v>Проводник коронарный  3g, Angioline</v>
      </c>
      <c r="AD46" s="115" t="str">
        <f>IFERROR(INDEX(Расходка[Наименование расходного материала],MATCH(Расходка[[#This Row],[№]],Поиск_расходки[Индекс13],0)),"")</f>
        <v>Проводник коронарный  3g, Angioline</v>
      </c>
      <c r="AF46" s="4" t="s">
        <v>6</v>
      </c>
      <c r="AG46" s="4" t="s">
        <v>442</v>
      </c>
    </row>
    <row r="47" spans="1:33">
      <c r="A47">
        <v>46</v>
      </c>
      <c r="B47" t="s">
        <v>3</v>
      </c>
      <c r="C47" t="s">
        <v>514</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учёта'!$B$19,Расходка[[#This Row],[Наименование расходного материала]])),MAX($J$1:J46)+1,0)</f>
        <v>0</v>
      </c>
      <c r="K47" s="116">
        <f>IF(ISNUMBER(SEARCH('Карта учёта'!$B$17,Расходка[[#This Row],[Наименование расходного материала]])),MAX($K$1:K46)+1,0)</f>
        <v>0</v>
      </c>
      <c r="L47" s="116">
        <f>IF(ISNUMBER(SEARCH('Карта учёта'!$B$18,Расходка[[#This Row],[Наименование расходного материала]])),MAX($L$1:L46)+1,0)</f>
        <v>0</v>
      </c>
      <c r="M47" s="116">
        <f>IF(ISNUMBER(SEARCH('Карта учёта'!$B$20,Расходка[[#This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Lepu Medical Balancium</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Lepu Medical Balancium</v>
      </c>
      <c r="AA47" s="115" t="str">
        <f>IFERROR(INDEX(Расходка[Наименование расходного материала],MATCH(Расходка[[#This Row],[№]],Поиск_расходки[Индекс10],0)),"")</f>
        <v>Lepu Medical Balancium</v>
      </c>
      <c r="AB47" s="115" t="str">
        <f>IFERROR(INDEX(Расходка[Наименование расходного материала],MATCH(Расходка[[#This Row],[№]],Поиск_расходки[Индекс11],0)),"")</f>
        <v>Lepu Medical Balancium</v>
      </c>
      <c r="AC47" s="115" t="str">
        <f>IFERROR(INDEX(Расходка[Наименование расходного материала],MATCH(Расходка[[#This Row],[№]],Поиск_расходки[Индекс12],0)),"")</f>
        <v>Lepu Medical Balancium</v>
      </c>
      <c r="AD47" s="115" t="str">
        <f>IFERROR(INDEX(Расходка[Наименование расходного материала],MATCH(Расходка[[#This Row],[№]],Поиск_расходки[Индекс13],0)),"")</f>
        <v>Lepu Medical Balancium</v>
      </c>
      <c r="AF47" s="4" t="s">
        <v>6</v>
      </c>
      <c r="AG47" s="4" t="s">
        <v>443</v>
      </c>
    </row>
    <row r="48" spans="1:33">
      <c r="A48">
        <v>47</v>
      </c>
      <c r="B48" t="s">
        <v>6</v>
      </c>
      <c r="C48" s="1" t="s">
        <v>278</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учёта'!$B$19,Расходка[[#This Row],[Наименование расходного материала]])),MAX($J$1:J47)+1,0)</f>
        <v>0</v>
      </c>
      <c r="K48" s="116">
        <f>IF(ISNUMBER(SEARCH('Карта учёта'!$B$17,Расходка[[#This Row],[Наименование расходного материала]])),MAX($K$1:K47)+1,0)</f>
        <v>0</v>
      </c>
      <c r="L48" s="116">
        <f>IF(ISNUMBER(SEARCH('Карта учёта'!$B$18,Расходка[[#This Row],[Наименование расходного материала]])),MAX($L$1:L47)+1,0)</f>
        <v>0</v>
      </c>
      <c r="M48" s="116">
        <f>IF(ISNUMBER(SEARCH('Карта учёта'!$B$20,Расходка[[#This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BMS, Integtity</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BMS, Integtity</v>
      </c>
      <c r="AA48" s="115" t="str">
        <f>IFERROR(INDEX(Расходка[Наименование расходного материала],MATCH(Расходка[[#This Row],[№]],Поиск_расходки[Индекс10],0)),"")</f>
        <v>BMS, Integtity</v>
      </c>
      <c r="AB48" s="115" t="str">
        <f>IFERROR(INDEX(Расходка[Наименование расходного материала],MATCH(Расходка[[#This Row],[№]],Поиск_расходки[Индекс11],0)),"")</f>
        <v>BMS, Integtity</v>
      </c>
      <c r="AC48" s="115" t="str">
        <f>IFERROR(INDEX(Расходка[Наименование расходного материала],MATCH(Расходка[[#This Row],[№]],Поиск_расходки[Индекс12],0)),"")</f>
        <v>BMS, Integtity</v>
      </c>
      <c r="AD48" s="115" t="str">
        <f>IFERROR(INDEX(Расходка[Наименование расходного материала],MATCH(Расходка[[#This Row],[№]],Поиск_расходки[Индекс13],0)),"")</f>
        <v>BMS, Integtity</v>
      </c>
      <c r="AF48" s="4" t="s">
        <v>6</v>
      </c>
      <c r="AG48" s="4" t="s">
        <v>444</v>
      </c>
    </row>
    <row r="49" spans="1:33">
      <c r="A49">
        <v>48</v>
      </c>
      <c r="B49" t="s">
        <v>6</v>
      </c>
      <c r="C49" s="158" t="s">
        <v>345</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учёта'!$B$19,Расходка[[#This Row],[Наименование расходного материала]])),MAX($J$1:J48)+1,0)</f>
        <v>0</v>
      </c>
      <c r="K49" s="116">
        <f>IF(ISNUMBER(SEARCH('Карта учёта'!$B$17,Расходка[[#This Row],[Наименование расходного материала]])),MAX($K$1:K48)+1,0)</f>
        <v>0</v>
      </c>
      <c r="L49" s="116">
        <f>IF(ISNUMBER(SEARCH('Карта учёта'!$B$18,Расходка[[#This Row],[Наименование расходного материала]])),MAX($L$1:L48)+1,0)</f>
        <v>0</v>
      </c>
      <c r="M49" s="116">
        <f>IF(ISNUMBER(SEARCH('Карта учёта'!$B$20,Расходка[[#This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Calipso</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Calipso</v>
      </c>
      <c r="AA49" s="115" t="str">
        <f>IFERROR(INDEX(Расходка[Наименование расходного материала],MATCH(Расходка[[#This Row],[№]],Поиск_расходки[Индекс10],0)),"")</f>
        <v>DES, Calipso</v>
      </c>
      <c r="AB49" s="115" t="str">
        <f>IFERROR(INDEX(Расходка[Наименование расходного материала],MATCH(Расходка[[#This Row],[№]],Поиск_расходки[Индекс11],0)),"")</f>
        <v>DES, Calipso</v>
      </c>
      <c r="AC49" s="115" t="str">
        <f>IFERROR(INDEX(Расходка[Наименование расходного материала],MATCH(Расходка[[#This Row],[№]],Поиск_расходки[Индекс12],0)),"")</f>
        <v>DES, Calipso</v>
      </c>
      <c r="AD49" s="115" t="str">
        <f>IFERROR(INDEX(Расходка[Наименование расходного материала],MATCH(Расходка[[#This Row],[№]],Поиск_расходки[Индекс13],0)),"")</f>
        <v>DES, Calipso</v>
      </c>
      <c r="AF49" s="4" t="s">
        <v>6</v>
      </c>
      <c r="AG49" s="4" t="s">
        <v>445</v>
      </c>
    </row>
    <row r="50" spans="1:33">
      <c r="A50">
        <v>49</v>
      </c>
      <c r="B50" t="s">
        <v>6</v>
      </c>
      <c r="C50" s="158" t="s">
        <v>344</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учёта'!$B$19,Расходка[[#This Row],[Наименование расходного материала]])),MAX($J$1:J49)+1,0)</f>
        <v>0</v>
      </c>
      <c r="K50" s="116">
        <f>IF(ISNUMBER(SEARCH('Карта учёта'!$B$17,Расходка[[#This Row],[Наименование расходного материала]])),MAX($K$1:K49)+1,0)</f>
        <v>0</v>
      </c>
      <c r="L50" s="116">
        <f>IF(ISNUMBER(SEARCH('Карта учёта'!$B$18,Расходка[[#This Row],[Наименование расходного материала]])),MAX($L$1:L49)+1,0)</f>
        <v>0</v>
      </c>
      <c r="M50" s="116">
        <f>IF(ISNUMBER(SEARCH('Карта учёта'!$B$20,Расходка[[#This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NanoMed</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NanoMed</v>
      </c>
      <c r="AA50" s="115" t="str">
        <f>IFERROR(INDEX(Расходка[Наименование расходного материала],MATCH(Расходка[[#This Row],[№]],Поиск_расходки[Индекс10],0)),"")</f>
        <v>DES, NanoMed</v>
      </c>
      <c r="AB50" s="115" t="str">
        <f>IFERROR(INDEX(Расходка[Наименование расходного материала],MATCH(Расходка[[#This Row],[№]],Поиск_расходки[Индекс11],0)),"")</f>
        <v>DES, NanoMed</v>
      </c>
      <c r="AC50" s="115" t="str">
        <f>IFERROR(INDEX(Расходка[Наименование расходного материала],MATCH(Расходка[[#This Row],[№]],Поиск_расходки[Индекс12],0)),"")</f>
        <v>DES, NanoMed</v>
      </c>
      <c r="AD50" s="115" t="str">
        <f>IFERROR(INDEX(Расходка[Наименование расходного материала],MATCH(Расходка[[#This Row],[№]],Поиск_расходки[Индекс13],0)),"")</f>
        <v>DES, NanoMed</v>
      </c>
      <c r="AF50" s="4" t="s">
        <v>6</v>
      </c>
      <c r="AG50" s="4" t="s">
        <v>446</v>
      </c>
    </row>
    <row r="51" spans="1:33">
      <c r="A51">
        <v>50</v>
      </c>
      <c r="B51" t="s">
        <v>6</v>
      </c>
      <c r="C51" s="131" t="s">
        <v>323</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учёта'!$B$19,Расходка[[#This Row],[Наименование расходного материала]])),MAX($J$1:J50)+1,0)</f>
        <v>0</v>
      </c>
      <c r="K51" s="116">
        <f>IF(ISNUMBER(SEARCH('Карта учёта'!$B$17,Расходка[[#This Row],[Наименование расходного материала]])),MAX($K$1:K50)+1,0)</f>
        <v>1</v>
      </c>
      <c r="L51" s="116">
        <f>IF(ISNUMBER(SEARCH('Карта учёта'!$B$18,Расходка[[#This Row],[Наименование расходного материала]])),MAX($L$1:L50)+1,0)</f>
        <v>1</v>
      </c>
      <c r="M51" s="116">
        <f>IF(ISNUMBER(SEARCH('Карта учёта'!$B$20,Расходка[[#This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Resolute Integtity</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Integtity</v>
      </c>
      <c r="AA51" s="115" t="str">
        <f>IFERROR(INDEX(Расходка[Наименование расходного материала],MATCH(Расходка[[#This Row],[№]],Поиск_расходки[Индекс10],0)),"")</f>
        <v>DES, Resolute Integtity</v>
      </c>
      <c r="AB51" s="115" t="str">
        <f>IFERROR(INDEX(Расходка[Наименование расходного материала],MATCH(Расходка[[#This Row],[№]],Поиск_расходки[Индекс11],0)),"")</f>
        <v>DES, Resolute Integtity</v>
      </c>
      <c r="AC51" s="115" t="str">
        <f>IFERROR(INDEX(Расходка[Наименование расходного материала],MATCH(Расходка[[#This Row],[№]],Поиск_расходки[Индекс12],0)),"")</f>
        <v>DES, Resolute Integtity</v>
      </c>
      <c r="AD51" s="115" t="str">
        <f>IFERROR(INDEX(Расходка[Наименование расходного материала],MATCH(Расходка[[#This Row],[№]],Поиск_расходки[Индекс13],0)),"")</f>
        <v>DES, Resolute Integtity</v>
      </c>
      <c r="AF51" s="4" t="s">
        <v>6</v>
      </c>
      <c r="AG51" s="4" t="s">
        <v>447</v>
      </c>
    </row>
    <row r="52" spans="1:33">
      <c r="A52">
        <v>51</v>
      </c>
      <c r="B52" t="s">
        <v>6</v>
      </c>
      <c r="C52" t="s">
        <v>357</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учёта'!$B$19,Расходка[[#This Row],[Наименование расходного материала]])),MAX($J$1:J51)+1,0)</f>
        <v>0</v>
      </c>
      <c r="K52" s="116">
        <f>IF(ISNUMBER(SEARCH('Карта учёта'!$B$17,Расходка[[#This Row],[Наименование расходного материала]])),MAX($K$1:K51)+1,0)</f>
        <v>0</v>
      </c>
      <c r="L52" s="116">
        <f>IF(ISNUMBER(SEARCH('Карта учёта'!$B$18,Расходка[[#This Row],[Наименование расходного материала]])),MAX($L$1:L51)+1,0)</f>
        <v>0</v>
      </c>
      <c r="M52" s="116">
        <f>IF(ISNUMBER(SEARCH('Карта учёта'!$B$20,Расходка[[#This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Yukon Chrome PC</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DES, Yukon Chrome PC</v>
      </c>
      <c r="AA52" s="115" t="str">
        <f>IFERROR(INDEX(Расходка[Наименование расходного материала],MATCH(Расходка[[#This Row],[№]],Поиск_расходки[Индекс10],0)),"")</f>
        <v>DES, Yukon Chrome PC</v>
      </c>
      <c r="AB52" s="115" t="str">
        <f>IFERROR(INDEX(Расходка[Наименование расходного материала],MATCH(Расходка[[#This Row],[№]],Поиск_расходки[Индекс11],0)),"")</f>
        <v>DES, Yukon Chrome PC</v>
      </c>
      <c r="AC52" s="115" t="str">
        <f>IFERROR(INDEX(Расходка[Наименование расходного материала],MATCH(Расходка[[#This Row],[№]],Поиск_расходки[Индекс12],0)),"")</f>
        <v>DES, Yukon Chrome PC</v>
      </c>
      <c r="AD52" s="115" t="str">
        <f>IFERROR(INDEX(Расходка[Наименование расходного материала],MATCH(Расходка[[#This Row],[№]],Поиск_расходки[Индекс13],0)),"")</f>
        <v>DES, Yukon Chrome PC</v>
      </c>
      <c r="AF52" s="4" t="s">
        <v>6</v>
      </c>
      <c r="AG52" s="4" t="s">
        <v>448</v>
      </c>
    </row>
    <row r="53" spans="1:33">
      <c r="A53">
        <v>52</v>
      </c>
      <c r="B53" t="s">
        <v>6</v>
      </c>
      <c r="C53" s="162" t="s">
        <v>388</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учёта'!$B$19,Расходка[[#This Row],[Наименование расходного материала]])),MAX($J$1:J52)+1,0)</f>
        <v>0</v>
      </c>
      <c r="K53" s="116">
        <f>IF(ISNUMBER(SEARCH('Карта учёта'!$B$17,Расходка[[#This Row],[Наименование расходного материала]])),MAX($K$1:K52)+1,0)</f>
        <v>0</v>
      </c>
      <c r="L53" s="116">
        <f>IF(ISNUMBER(SEARCH('Карта учёта'!$B$18,Расходка[[#This Row],[Наименование расходного материала]])),MAX($L$1:L52)+1,0)</f>
        <v>0</v>
      </c>
      <c r="M53" s="116">
        <f>IF(ISNUMBER(SEARCH('Карта учёта'!$B$20,Расходка[[#This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DES, Firehawk</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DES, Firehawk</v>
      </c>
      <c r="AA53" s="115" t="str">
        <f>IFERROR(INDEX(Расходка[Наименование расходного материала],MATCH(Расходка[[#This Row],[№]],Поиск_расходки[Индекс10],0)),"")</f>
        <v>DES, Firehawk</v>
      </c>
      <c r="AB53" s="115" t="str">
        <f>IFERROR(INDEX(Расходка[Наименование расходного материала],MATCH(Расходка[[#This Row],[№]],Поиск_расходки[Индекс11],0)),"")</f>
        <v>DES, Firehawk</v>
      </c>
      <c r="AC53" s="115" t="str">
        <f>IFERROR(INDEX(Расходка[Наименование расходного материала],MATCH(Расходка[[#This Row],[№]],Поиск_расходки[Индекс12],0)),"")</f>
        <v>DES, Firehawk</v>
      </c>
      <c r="AD53" s="115" t="str">
        <f>IFERROR(INDEX(Расходка[Наименование расходного материала],MATCH(Расходка[[#This Row],[№]],Поиск_расходки[Индекс13],0)),"")</f>
        <v>DES, Firehawk</v>
      </c>
      <c r="AF53" s="4" t="s">
        <v>6</v>
      </c>
      <c r="AG53" s="4" t="s">
        <v>449</v>
      </c>
    </row>
    <row r="54" spans="1:33">
      <c r="A54">
        <v>53</v>
      </c>
      <c r="B54" t="s">
        <v>6</v>
      </c>
      <c r="C54" t="s">
        <v>387</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учёта'!$B$19,Расходка[[#This Row],[Наименование расходного материала]])),MAX($J$1:J53)+1,0)</f>
        <v>0</v>
      </c>
      <c r="K54" s="116">
        <f>IF(ISNUMBER(SEARCH('Карта учёта'!$B$17,Расходка[[#This Row],[Наименование расходного материала]])),MAX($K$1:K53)+1,0)</f>
        <v>0</v>
      </c>
      <c r="L54" s="116">
        <f>IF(ISNUMBER(SEARCH('Карта учёта'!$B$18,Расходка[[#This Row],[Наименование расходного материала]])),MAX($L$1:L53)+1,0)</f>
        <v>0</v>
      </c>
      <c r="M54" s="116">
        <f>IF(ISNUMBER(SEARCH('Карта учёта'!$B$20,Расходка[[#This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DES, Resolute Onyx</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DES, Resolute Onyx</v>
      </c>
      <c r="AA54" s="115" t="str">
        <f>IFERROR(INDEX(Расходка[Наименование расходного материала],MATCH(Расходка[[#This Row],[№]],Поиск_расходки[Индекс10],0)),"")</f>
        <v>DES, Resolute Onyx</v>
      </c>
      <c r="AB54" s="115" t="str">
        <f>IFERROR(INDEX(Расходка[Наименование расходного материала],MATCH(Расходка[[#This Row],[№]],Поиск_расходки[Индекс11],0)),"")</f>
        <v>DES, Resolute Onyx</v>
      </c>
      <c r="AC54" s="115" t="str">
        <f>IFERROR(INDEX(Расходка[Наименование расходного материала],MATCH(Расходка[[#This Row],[№]],Поиск_расходки[Индекс12],0)),"")</f>
        <v>DES, Resolute Onyx</v>
      </c>
      <c r="AD54" s="115" t="str">
        <f>IFERROR(INDEX(Расходка[Наименование расходного материала],MATCH(Расходка[[#This Row],[№]],Поиск_расходки[Индекс13],0)),"")</f>
        <v>DES, Resolute Onyx</v>
      </c>
      <c r="AF54" s="4" t="s">
        <v>6</v>
      </c>
      <c r="AG54" s="4" t="s">
        <v>450</v>
      </c>
    </row>
    <row r="55" spans="1:33">
      <c r="A55">
        <v>54</v>
      </c>
      <c r="B55" t="s">
        <v>6</v>
      </c>
      <c r="C55" t="s">
        <v>515</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учёта'!$B$19,Расходка[[#This Row],[Наименование расходного материала]])),MAX($J$1:J54)+1,0)</f>
        <v>0</v>
      </c>
      <c r="K55" s="116">
        <f>IF(ISNUMBER(SEARCH('Карта учёта'!$B$17,Расходка[[#This Row],[Наименование расходного материала]])),MAX($K$1:K54)+1,0)</f>
        <v>0</v>
      </c>
      <c r="L55" s="116">
        <f>IF(ISNUMBER(SEARCH('Карта учёта'!$B$18,Расходка[[#This Row],[Наименование расходного материала]])),MAX($L$1:L54)+1,0)</f>
        <v>0</v>
      </c>
      <c r="M55" s="116">
        <f>IF(ISNUMBER(SEARCH('Карта учёта'!$B$20,Расходка[[#This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DES, Metafor</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DES, Metafor</v>
      </c>
      <c r="AA55" s="115" t="str">
        <f>IFERROR(INDEX(Расходка[Наименование расходного материала],MATCH(Расходка[[#This Row],[№]],Поиск_расходки[Индекс10],0)),"")</f>
        <v>DES, Metafor</v>
      </c>
      <c r="AB55" s="115" t="str">
        <f>IFERROR(INDEX(Расходка[Наименование расходного материала],MATCH(Расходка[[#This Row],[№]],Поиск_расходки[Индекс11],0)),"")</f>
        <v>DES, Metafor</v>
      </c>
      <c r="AC55" s="115" t="str">
        <f>IFERROR(INDEX(Расходка[Наименование расходного материала],MATCH(Расходка[[#This Row],[№]],Поиск_расходки[Индекс12],0)),"")</f>
        <v>DES, Metafor</v>
      </c>
      <c r="AD55" s="115" t="str">
        <f>IFERROR(INDEX(Расходка[Наименование расходного материала],MATCH(Расходка[[#This Row],[№]],Поиск_расходки[Индекс13],0)),"")</f>
        <v>DES, Metafor</v>
      </c>
      <c r="AF55" s="4" t="s">
        <v>6</v>
      </c>
      <c r="AG55" s="4" t="s">
        <v>451</v>
      </c>
    </row>
    <row r="56" spans="1:33">
      <c r="A56">
        <v>55</v>
      </c>
      <c r="B56" t="s">
        <v>95</v>
      </c>
      <c r="C56" s="1" t="s">
        <v>324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учёта'!$B$19,Расходка[[#This Row],[Наименование расходного материала]])),MAX($J$1:J55)+1,0)</f>
        <v>0</v>
      </c>
      <c r="K56" s="116">
        <f>IF(ISNUMBER(SEARCH('Карта учёта'!$B$17,Расходка[[#This Row],[Наименование расходного материала]])),MAX($K$1:K55)+1,0)</f>
        <v>0</v>
      </c>
      <c r="L56" s="116">
        <f>IF(ISNUMBER(SEARCH('Карта учёта'!$B$18,Расходка[[#This Row],[Наименование расходного материала]])),MAX($L$1:L55)+1,0)</f>
        <v>0</v>
      </c>
      <c r="M56" s="116">
        <f>IF(ISNUMBER(SEARCH('Карта учёта'!$B$20,Расходка[[#This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Guidezilla™ II 6F</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Guidezilla™ II 6F</v>
      </c>
      <c r="AA56" s="115" t="str">
        <f>IFERROR(INDEX(Расходка[Наименование расходного материала],MATCH(Расходка[[#This Row],[№]],Поиск_расходки[Индекс10],0)),"")</f>
        <v>Guidezilla™ II 6F</v>
      </c>
      <c r="AB56" s="115" t="str">
        <f>IFERROR(INDEX(Расходка[Наименование расходного материала],MATCH(Расходка[[#This Row],[№]],Поиск_расходки[Индекс11],0)),"")</f>
        <v>Guidezilla™ II 6F</v>
      </c>
      <c r="AC56" s="115" t="str">
        <f>IFERROR(INDEX(Расходка[Наименование расходного материала],MATCH(Расходка[[#This Row],[№]],Поиск_расходки[Индекс12],0)),"")</f>
        <v>Guidezilla™ II 6F</v>
      </c>
      <c r="AD56" s="115" t="str">
        <f>IFERROR(INDEX(Расходка[Наименование расходного материала],MATCH(Расходка[[#This Row],[№]],Поиск_расходки[Индекс13],0)),"")</f>
        <v>Guidezilla™ II 6F</v>
      </c>
      <c r="AF56" s="4" t="s">
        <v>6</v>
      </c>
      <c r="AG56" s="4" t="s">
        <v>452</v>
      </c>
    </row>
    <row r="57" spans="1:33">
      <c r="A57">
        <v>56</v>
      </c>
      <c r="B57" t="s">
        <v>95</v>
      </c>
      <c r="C57" s="1" t="s">
        <v>343</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учёта'!$B$19,Расходка[[#This Row],[Наименование расходного материала]])),MAX($J$1:J56)+1,0)</f>
        <v>0</v>
      </c>
      <c r="K57" s="116">
        <f>IF(ISNUMBER(SEARCH('Карта учёта'!$B$17,Расходка[[#This Row],[Наименование расходного материала]])),MAX($K$1:K56)+1,0)</f>
        <v>0</v>
      </c>
      <c r="L57" s="116">
        <f>IF(ISNUMBER(SEARCH('Карта учёта'!$B$18,Расходка[[#This Row],[Наименование расходного материала]])),MAX($L$1:L56)+1,0)</f>
        <v>0</v>
      </c>
      <c r="M57" s="116">
        <f>IF(ISNUMBER(SEARCH('Карта учёта'!$B$20,Расходка[[#This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Telescope ™ II 6F</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Telescope ™ II 6F</v>
      </c>
      <c r="AA57" s="115" t="str">
        <f>IFERROR(INDEX(Расходка[Наименование расходного материала],MATCH(Расходка[[#This Row],[№]],Поиск_расходки[Индекс10],0)),"")</f>
        <v>Telescope ™ II 6F</v>
      </c>
      <c r="AB57" s="115" t="str">
        <f>IFERROR(INDEX(Расходка[Наименование расходного материала],MATCH(Расходка[[#This Row],[№]],Поиск_расходки[Индекс11],0)),"")</f>
        <v>Telescope ™ II 6F</v>
      </c>
      <c r="AC57" s="115" t="str">
        <f>IFERROR(INDEX(Расходка[Наименование расходного материала],MATCH(Расходка[[#This Row],[№]],Поиск_расходки[Индекс12],0)),"")</f>
        <v>Telescope ™ II 6F</v>
      </c>
      <c r="AD57" s="115" t="str">
        <f>IFERROR(INDEX(Расходка[Наименование расходного материала],MATCH(Расходка[[#This Row],[№]],Поиск_расходки[Индекс13],0)),"")</f>
        <v>Telescope ™ II 6F</v>
      </c>
      <c r="AF57" s="4" t="s">
        <v>6</v>
      </c>
      <c r="AG57" s="4" t="s">
        <v>453</v>
      </c>
    </row>
    <row r="58" spans="1:33">
      <c r="A58">
        <v>57</v>
      </c>
      <c r="B58" t="s">
        <v>4</v>
      </c>
      <c r="C58" t="s">
        <v>350</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учёта'!$B$19,Расходка[[#This Row],[Наименование расходного материала]])),MAX($J$1:J57)+1,0)</f>
        <v>0</v>
      </c>
      <c r="K58" s="116">
        <f>IF(ISNUMBER(SEARCH('Карта учёта'!$B$17,Расходка[[#This Row],[Наименование расходного материала]])),MAX($K$1:K57)+1,0)</f>
        <v>0</v>
      </c>
      <c r="L58" s="116">
        <f>IF(ISNUMBER(SEARCH('Карта учёта'!$B$18,Расходка[[#This Row],[Наименование расходного материала]])),MAX($L$1:L57)+1,0)</f>
        <v>0</v>
      </c>
      <c r="M58" s="116">
        <f>IF(ISNUMBER(SEARCH('Карта учёта'!$B$20,Расходка[[#This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AL 1</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AL 1</v>
      </c>
      <c r="AA58" s="115" t="str">
        <f>IFERROR(INDEX(Расходка[Наименование расходного материала],MATCH(Расходка[[#This Row],[№]],Поиск_расходки[Индекс10],0)),"")</f>
        <v>Launcher 6F AL 1</v>
      </c>
      <c r="AB58" s="115" t="str">
        <f>IFERROR(INDEX(Расходка[Наименование расходного материала],MATCH(Расходка[[#This Row],[№]],Поиск_расходки[Индекс11],0)),"")</f>
        <v>Launcher 6F AL 1</v>
      </c>
      <c r="AC58" s="115" t="str">
        <f>IFERROR(INDEX(Расходка[Наименование расходного материала],MATCH(Расходка[[#This Row],[№]],Поиск_расходки[Индекс12],0)),"")</f>
        <v>Launcher 6F AL 1</v>
      </c>
      <c r="AD58" s="115" t="str">
        <f>IFERROR(INDEX(Расходка[Наименование расходного материала],MATCH(Расходка[[#This Row],[№]],Поиск_расходки[Индекс13],0)),"")</f>
        <v>Launcher 6F AL 1</v>
      </c>
      <c r="AF58" s="4" t="s">
        <v>6</v>
      </c>
      <c r="AG58" s="4" t="s">
        <v>454</v>
      </c>
    </row>
    <row r="59" spans="1:33">
      <c r="A59">
        <v>58</v>
      </c>
      <c r="B59" t="s">
        <v>4</v>
      </c>
      <c r="C59" t="s">
        <v>351</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учёта'!$B$19,Расходка[[#This Row],[Наименование расходного материала]])),MAX($J$1:J58)+1,0)</f>
        <v>0</v>
      </c>
      <c r="K59" s="116">
        <f>IF(ISNUMBER(SEARCH('Карта учёта'!$B$17,Расходка[[#This Row],[Наименование расходного материала]])),MAX($K$1:K58)+1,0)</f>
        <v>0</v>
      </c>
      <c r="L59" s="116">
        <f>IF(ISNUMBER(SEARCH('Карта учёта'!$B$18,Расходка[[#This Row],[Наименование расходного материала]])),MAX($L$1:L58)+1,0)</f>
        <v>0</v>
      </c>
      <c r="M59" s="116">
        <f>IF(ISNUMBER(SEARCH('Карта учёта'!$B$20,Расходка[[#This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AL 2</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AL 2</v>
      </c>
      <c r="AA59" s="115" t="str">
        <f>IFERROR(INDEX(Расходка[Наименование расходного материала],MATCH(Расходка[[#This Row],[№]],Поиск_расходки[Индекс10],0)),"")</f>
        <v>Launcher 6F AL 2</v>
      </c>
      <c r="AB59" s="115" t="str">
        <f>IFERROR(INDEX(Расходка[Наименование расходного материала],MATCH(Расходка[[#This Row],[№]],Поиск_расходки[Индекс11],0)),"")</f>
        <v>Launcher 6F AL 2</v>
      </c>
      <c r="AC59" s="115" t="str">
        <f>IFERROR(INDEX(Расходка[Наименование расходного материала],MATCH(Расходка[[#This Row],[№]],Поиск_расходки[Индекс12],0)),"")</f>
        <v>Launcher 6F AL 2</v>
      </c>
      <c r="AD59" s="115" t="str">
        <f>IFERROR(INDEX(Расходка[Наименование расходного материала],MATCH(Расходка[[#This Row],[№]],Поиск_расходки[Индекс13],0)),"")</f>
        <v>Launcher 6F AL 2</v>
      </c>
      <c r="AF59" s="4" t="s">
        <v>6</v>
      </c>
      <c r="AG59" s="4" t="s">
        <v>455</v>
      </c>
    </row>
    <row r="60" spans="1:33">
      <c r="A60">
        <v>59</v>
      </c>
      <c r="B60" t="s">
        <v>4</v>
      </c>
      <c r="C60" t="s">
        <v>512</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учёта'!$B$19,Расходка[[#This Row],[Наименование расходного материала]])),MAX($J$1:J59)+1,0)</f>
        <v>0</v>
      </c>
      <c r="K60" s="116">
        <f>IF(ISNUMBER(SEARCH('Карта учёта'!$B$17,Расходка[[#This Row],[Наименование расходного материала]])),MAX($K$1:K59)+1,0)</f>
        <v>0</v>
      </c>
      <c r="L60" s="116">
        <f>IF(ISNUMBER(SEARCH('Карта учёта'!$B$18,Расходка[[#This Row],[Наименование расходного материала]])),MAX($L$1:L59)+1,0)</f>
        <v>0</v>
      </c>
      <c r="M60" s="116">
        <f>IF(ISNUMBER(SEARCH('Карта учёта'!$B$20,Расходка[[#This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AL 3</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AL 3</v>
      </c>
      <c r="AA60" s="115" t="str">
        <f>IFERROR(INDEX(Расходка[Наименование расходного материала],MATCH(Расходка[[#This Row],[№]],Поиск_расходки[Индекс10],0)),"")</f>
        <v>Launcher 6F AL 3</v>
      </c>
      <c r="AB60" s="115" t="str">
        <f>IFERROR(INDEX(Расходка[Наименование расходного материала],MATCH(Расходка[[#This Row],[№]],Поиск_расходки[Индекс11],0)),"")</f>
        <v>Launcher 6F AL 3</v>
      </c>
      <c r="AC60" s="115" t="str">
        <f>IFERROR(INDEX(Расходка[Наименование расходного материала],MATCH(Расходка[[#This Row],[№]],Поиск_расходки[Индекс12],0)),"")</f>
        <v>Launcher 6F AL 3</v>
      </c>
      <c r="AD60" s="115" t="str">
        <f>IFERROR(INDEX(Расходка[Наименование расходного материала],MATCH(Расходка[[#This Row],[№]],Поиск_расходки[Индекс13],0)),"")</f>
        <v>Launcher 6F AL 3</v>
      </c>
      <c r="AF60" s="4" t="s">
        <v>6</v>
      </c>
      <c r="AG60" s="4" t="s">
        <v>456</v>
      </c>
    </row>
    <row r="61" spans="1:33">
      <c r="A61">
        <v>60</v>
      </c>
      <c r="B61" t="s">
        <v>4</v>
      </c>
      <c r="C61" t="s">
        <v>325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1</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учёта'!$B$19,Расходка[[#This Row],[Наименование расходного материала]])),MAX($J$1:J60)+1,0)</f>
        <v>0</v>
      </c>
      <c r="K61" s="116">
        <f>IF(ISNUMBER(SEARCH('Карта учёта'!$B$17,Расходка[[#This Row],[Наименование расходного материала]])),MAX($K$1:K60)+1,0)</f>
        <v>0</v>
      </c>
      <c r="L61" s="116">
        <f>IF(ISNUMBER(SEARCH('Карта учёта'!$B$18,Расходка[[#This Row],[Наименование расходного материала]])),MAX($L$1:L60)+1,0)</f>
        <v>0</v>
      </c>
      <c r="M61" s="116">
        <f>IF(ISNUMBER(SEARCH('Карта учёта'!$B$20,Расходка[[#This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EBU 3.5</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EBU 3.5</v>
      </c>
      <c r="AA61" s="115" t="str">
        <f>IFERROR(INDEX(Расходка[Наименование расходного материала],MATCH(Расходка[[#This Row],[№]],Поиск_расходки[Индекс10],0)),"")</f>
        <v>Launcher 6F EBU 3.5</v>
      </c>
      <c r="AB61" s="115" t="str">
        <f>IFERROR(INDEX(Расходка[Наименование расходного материала],MATCH(Расходка[[#This Row],[№]],Поиск_расходки[Индекс11],0)),"")</f>
        <v>Launcher 6F EBU 3.5</v>
      </c>
      <c r="AC61" s="115" t="str">
        <f>IFERROR(INDEX(Расходка[Наименование расходного материала],MATCH(Расходка[[#This Row],[№]],Поиск_расходки[Индекс12],0)),"")</f>
        <v>Launcher 6F EBU 3.5</v>
      </c>
      <c r="AD61" s="115" t="str">
        <f>IFERROR(INDEX(Расходка[Наименование расходного материала],MATCH(Расходка[[#This Row],[№]],Поиск_расходки[Индекс13],0)),"")</f>
        <v>Launcher 6F EBU 3.5</v>
      </c>
      <c r="AF61" s="4" t="s">
        <v>6</v>
      </c>
      <c r="AG61" s="4" t="s">
        <v>417</v>
      </c>
    </row>
    <row r="62" spans="1:33">
      <c r="A62">
        <v>61</v>
      </c>
      <c r="B62" t="s">
        <v>4</v>
      </c>
      <c r="C62" t="s">
        <v>326</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учёта'!$B$19,Расходка[[#This Row],[Наименование расходного материала]])),MAX($J$1:J61)+1,0)</f>
        <v>0</v>
      </c>
      <c r="K62" s="116">
        <f>IF(ISNUMBER(SEARCH('Карта учёта'!$B$17,Расходка[[#This Row],[Наименование расходного материала]])),MAX($K$1:K61)+1,0)</f>
        <v>0</v>
      </c>
      <c r="L62" s="116">
        <f>IF(ISNUMBER(SEARCH('Карта учёта'!$B$18,Расходка[[#This Row],[Наименование расходного материала]])),MAX($L$1:L61)+1,0)</f>
        <v>0</v>
      </c>
      <c r="M62" s="116">
        <f>IF(ISNUMBER(SEARCH('Карта учёта'!$B$20,Расходка[[#This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EBU 4.0</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EBU 4.0</v>
      </c>
      <c r="AA62" s="115" t="str">
        <f>IFERROR(INDEX(Расходка[Наименование расходного материала],MATCH(Расходка[[#This Row],[№]],Поиск_расходки[Индекс10],0)),"")</f>
        <v>Launcher 6F EBU 4.0</v>
      </c>
      <c r="AB62" s="115" t="str">
        <f>IFERROR(INDEX(Расходка[Наименование расходного материала],MATCH(Расходка[[#This Row],[№]],Поиск_расходки[Индекс11],0)),"")</f>
        <v>Launcher 6F EBU 4.0</v>
      </c>
      <c r="AC62" s="115" t="str">
        <f>IFERROR(INDEX(Расходка[Наименование расходного материала],MATCH(Расходка[[#This Row],[№]],Поиск_расходки[Индекс12],0)),"")</f>
        <v>Launcher 6F EBU 4.0</v>
      </c>
      <c r="AD62" s="115" t="str">
        <f>IFERROR(INDEX(Расходка[Наименование расходного материала],MATCH(Расходка[[#This Row],[№]],Поиск_расходки[Индекс13],0)),"")</f>
        <v>Launcher 6F EBU 4.0</v>
      </c>
      <c r="AF62" s="4" t="s">
        <v>6</v>
      </c>
      <c r="AG62" s="4" t="s">
        <v>457</v>
      </c>
    </row>
    <row r="63" spans="1:33">
      <c r="A63">
        <v>62</v>
      </c>
      <c r="B63" t="s">
        <v>4</v>
      </c>
      <c r="C63" t="s">
        <v>327</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учёта'!$B$19,Расходка[[#This Row],[Наименование расходного материала]])),MAX($J$1:J62)+1,0)</f>
        <v>0</v>
      </c>
      <c r="K63" s="116">
        <f>IF(ISNUMBER(SEARCH('Карта учёта'!$B$17,Расходка[[#This Row],[Наименование расходного материала]])),MAX($K$1:K62)+1,0)</f>
        <v>0</v>
      </c>
      <c r="L63" s="116">
        <f>IF(ISNUMBER(SEARCH('Карта учёта'!$B$18,Расходка[[#This Row],[Наименование расходного материала]])),MAX($L$1:L62)+1,0)</f>
        <v>0</v>
      </c>
      <c r="M63" s="116">
        <f>IF(ISNUMBER(SEARCH('Карта учёта'!$B$20,Расходка[[#This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JL 3.5</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6F JL 3.5</v>
      </c>
      <c r="AA63" s="115" t="str">
        <f>IFERROR(INDEX(Расходка[Наименование расходного материала],MATCH(Расходка[[#This Row],[№]],Поиск_расходки[Индекс10],0)),"")</f>
        <v>Launcher 6F JL 3.5</v>
      </c>
      <c r="AB63" s="115" t="str">
        <f>IFERROR(INDEX(Расходка[Наименование расходного материала],MATCH(Расходка[[#This Row],[№]],Поиск_расходки[Индекс11],0)),"")</f>
        <v>Launcher 6F JL 3.5</v>
      </c>
      <c r="AC63" s="115" t="str">
        <f>IFERROR(INDEX(Расходка[Наименование расходного материала],MATCH(Расходка[[#This Row],[№]],Поиск_расходки[Индекс12],0)),"")</f>
        <v>Launcher 6F JL 3.5</v>
      </c>
      <c r="AD63" s="115" t="str">
        <f>IFERROR(INDEX(Расходка[Наименование расходного материала],MATCH(Расходка[[#This Row],[№]],Поиск_расходки[Индекс13],0)),"")</f>
        <v>Launcher 6F JL 3.5</v>
      </c>
      <c r="AF63" s="4" t="s">
        <v>6</v>
      </c>
      <c r="AG63" s="4" t="s">
        <v>458</v>
      </c>
    </row>
    <row r="64" spans="1:33">
      <c r="A64">
        <v>63</v>
      </c>
      <c r="B64" t="s">
        <v>4</v>
      </c>
      <c r="C64" t="s">
        <v>328</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учёта'!$B$19,Расходка[[#This Row],[Наименование расходного материала]])),MAX($J$1:J63)+1,0)</f>
        <v>0</v>
      </c>
      <c r="K64" s="116">
        <f>IF(ISNUMBER(SEARCH('Карта учёта'!$B$17,Расходка[[#This Row],[Наименование расходного материала]])),MAX($K$1:K63)+1,0)</f>
        <v>0</v>
      </c>
      <c r="L64" s="116">
        <f>IF(ISNUMBER(SEARCH('Карта учёта'!$B$18,Расходка[[#This Row],[Наименование расходного материала]])),MAX($L$1:L63)+1,0)</f>
        <v>0</v>
      </c>
      <c r="M64" s="116">
        <f>IF(ISNUMBER(SEARCH('Карта учёта'!$B$20,Расходка[[#This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6F JL 4.0</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6F JL 4.0</v>
      </c>
      <c r="AA64" s="115" t="str">
        <f>IFERROR(INDEX(Расходка[Наименование расходного материала],MATCH(Расходка[[#This Row],[№]],Поиск_расходки[Индекс10],0)),"")</f>
        <v>Launcher 6F JL 4.0</v>
      </c>
      <c r="AB64" s="115" t="str">
        <f>IFERROR(INDEX(Расходка[Наименование расходного материала],MATCH(Расходка[[#This Row],[№]],Поиск_расходки[Индекс11],0)),"")</f>
        <v>Launcher 6F JL 4.0</v>
      </c>
      <c r="AC64" s="115" t="str">
        <f>IFERROR(INDEX(Расходка[Наименование расходного материала],MATCH(Расходка[[#This Row],[№]],Поиск_расходки[Индекс12],0)),"")</f>
        <v>Launcher 6F JL 4.0</v>
      </c>
      <c r="AD64" s="115" t="str">
        <f>IFERROR(INDEX(Расходка[Наименование расходного материала],MATCH(Расходка[[#This Row],[№]],Поиск_расходки[Индекс13],0)),"")</f>
        <v>Launcher 6F JL 4.0</v>
      </c>
      <c r="AF64" s="4" t="s">
        <v>6</v>
      </c>
      <c r="AG64" s="4" t="s">
        <v>459</v>
      </c>
    </row>
    <row r="65" spans="1:33">
      <c r="A65">
        <v>64</v>
      </c>
      <c r="B65" t="s">
        <v>4</v>
      </c>
      <c r="C65" t="s">
        <v>334</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учёта'!$B$19,Расходка[[#This Row],[Наименование расходного материала]])),MAX($J$1:J64)+1,0)</f>
        <v>0</v>
      </c>
      <c r="K65" s="116">
        <f>IF(ISNUMBER(SEARCH('Карта учёта'!$B$17,Расходка[[#This Row],[Наименование расходного материала]])),MAX($K$1:K64)+1,0)</f>
        <v>0</v>
      </c>
      <c r="L65" s="116">
        <f>IF(ISNUMBER(SEARCH('Карта учёта'!$B$18,Расходка[[#This Row],[Наименование расходного материала]])),MAX($L$1:L64)+1,0)</f>
        <v>0</v>
      </c>
      <c r="M65" s="116">
        <f>IF(ISNUMBER(SEARCH('Карта учёта'!$B$20,Расходка[[#This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6F JL 4.5</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Launcher 6F JL 4.5</v>
      </c>
      <c r="AA65" s="115" t="str">
        <f>IFERROR(INDEX(Расходка[Наименование расходного материала],MATCH(Расходка[[#This Row],[№]],Поиск_расходки[Индекс10],0)),"")</f>
        <v>Launcher 6F JL 4.5</v>
      </c>
      <c r="AB65" s="115" t="str">
        <f>IFERROR(INDEX(Расходка[Наименование расходного материала],MATCH(Расходка[[#This Row],[№]],Поиск_расходки[Индекс11],0)),"")</f>
        <v>Launcher 6F JL 4.5</v>
      </c>
      <c r="AC65" s="115" t="str">
        <f>IFERROR(INDEX(Расходка[Наименование расходного материала],MATCH(Расходка[[#This Row],[№]],Поиск_расходки[Индекс12],0)),"")</f>
        <v>Launcher 6F JL 4.5</v>
      </c>
      <c r="AD65" s="115" t="str">
        <f>IFERROR(INDEX(Расходка[Наименование расходного материала],MATCH(Расходка[[#This Row],[№]],Поиск_расходки[Индекс13],0)),"")</f>
        <v>Launcher 6F JL 4.5</v>
      </c>
      <c r="AF65" s="4" t="s">
        <v>6</v>
      </c>
      <c r="AG65" s="4" t="s">
        <v>460</v>
      </c>
    </row>
    <row r="66" spans="1:33">
      <c r="A66">
        <v>65</v>
      </c>
      <c r="B66" t="s">
        <v>4</v>
      </c>
      <c r="C66" t="s">
        <v>329</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учёта'!$B$19,Расходка[[#This Row],[Наименование расходного материала]])),MAX($J$1:J65)+1,0)</f>
        <v>0</v>
      </c>
      <c r="K66" s="116">
        <f>IF(ISNUMBER(SEARCH('Карта учёта'!$B$17,Расходка[[#This Row],[Наименование расходного материала]])),MAX($K$1:K65)+1,0)</f>
        <v>0</v>
      </c>
      <c r="L66" s="116">
        <f>IF(ISNUMBER(SEARCH('Карта учёта'!$B$18,Расходка[[#This Row],[Наименование расходного материала]])),MAX($L$1:L65)+1,0)</f>
        <v>0</v>
      </c>
      <c r="M66" s="116">
        <f>IF(ISNUMBER(SEARCH('Карта учёта'!$B$20,Расходка[[#This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Launcher 6F JR 3.5</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Launcher 6F JR 3.5</v>
      </c>
      <c r="AA66" s="115" t="str">
        <f>IFERROR(INDEX(Расходка[Наименование расходного материала],MATCH(Расходка[[#This Row],[№]],Поиск_расходки[Индекс10],0)),"")</f>
        <v>Launcher 6F JR 3.5</v>
      </c>
      <c r="AB66" s="115" t="str">
        <f>IFERROR(INDEX(Расходка[Наименование расходного материала],MATCH(Расходка[[#This Row],[№]],Поиск_расходки[Индекс11],0)),"")</f>
        <v>Launcher 6F JR 3.5</v>
      </c>
      <c r="AC66" s="115" t="str">
        <f>IFERROR(INDEX(Расходка[Наименование расходного материала],MATCH(Расходка[[#This Row],[№]],Поиск_расходки[Индекс12],0)),"")</f>
        <v>Launcher 6F JR 3.5</v>
      </c>
      <c r="AD66" s="115" t="str">
        <f>IFERROR(INDEX(Расходка[Наименование расходного материала],MATCH(Расходка[[#This Row],[№]],Поиск_расходки[Индекс13],0)),"")</f>
        <v>Launcher 6F JR 3.5</v>
      </c>
      <c r="AF66" s="4" t="s">
        <v>6</v>
      </c>
      <c r="AG66" s="4" t="s">
        <v>461</v>
      </c>
    </row>
    <row r="67" spans="1:33">
      <c r="A67">
        <v>66</v>
      </c>
      <c r="B67" t="s">
        <v>4</v>
      </c>
      <c r="C67" t="s">
        <v>330</v>
      </c>
      <c r="E67" s="116">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66</v>
      </c>
      <c r="J67" s="199">
        <f>IF(ISNUMBER(SEARCH('Карта учёта'!$B$19,Расходка[[#This Row],[Наименование расходного материала]])),MAX($J$1:J66)+1,0)</f>
        <v>0</v>
      </c>
      <c r="K67" s="199">
        <f>IF(ISNUMBER(SEARCH('Карта учёта'!$B$17,Расходка[[#This Row],[Наименование расходного материала]])),MAX($K$1:K66)+1,0)</f>
        <v>0</v>
      </c>
      <c r="L67" s="199">
        <f>IF(ISNUMBER(SEARCH('Карта учёта'!$B$18,Расходка[[#This Row],[Наименование расходного материала]])),MAX($L$1:L66)+1,0)</f>
        <v>0</v>
      </c>
      <c r="M67" s="199">
        <f>IF(ISNUMBER(SEARCH('Карта учёта'!$B$20,Расходка[[#This Row],[Наименование расходного материала]])),MAX($M$1:M66)+1,0)</f>
        <v>66</v>
      </c>
      <c r="N67" s="199">
        <f>IF(ISNUMBER(SEARCH('Карта учёта'!$B$22,Расходка[[#This Row],[Наименование расходного материала]])),MAX($N$1:N66)+1,0)</f>
        <v>66</v>
      </c>
      <c r="O67" s="199">
        <f>IF(ISNUMBER(SEARCH('Карта учёта'!$B$23,Расходка[[#This Row],[Наименование расходного материала]])),MAX($O$1:O66)+1,0)</f>
        <v>66</v>
      </c>
      <c r="P67" s="116">
        <f>IF(ISNUMBER(SEARCH('Карта учёта'!$B$24,Расходка[[#This Row],[Наименование расходного материала]])),MAX($P$1:P66)+1,0)</f>
        <v>66</v>
      </c>
      <c r="Q67" s="199">
        <f>IF(ISNUMBER(SEARCH('Карта учёта'!$B$25,Расходка[[#This Row],[Наименование расходного материала]])),MAX($Q$1:Q66)+1,0)</f>
        <v>66</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Launcher 6F JR 4.0</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Launcher 6F JR 4.0</v>
      </c>
      <c r="AA67" s="200" t="str">
        <f>IFERROR(INDEX(Расходка[Наименование расходного материала],MATCH(Расходка[[#This Row],[№]],Поиск_расходки[Индекс10],0)),"")</f>
        <v>Launcher 6F JR 4.0</v>
      </c>
      <c r="AB67" s="200" t="str">
        <f>IFERROR(INDEX(Расходка[Наименование расходного материала],MATCH(Расходка[[#This Row],[№]],Поиск_расходки[Индекс11],0)),"")</f>
        <v>Launcher 6F JR 4.0</v>
      </c>
      <c r="AC67" s="200" t="str">
        <f>IFERROR(INDEX(Расходка[Наименование расходного материала],MATCH(Расходка[[#This Row],[№]],Поиск_расходки[Индекс12],0)),"")</f>
        <v>Launcher 6F JR 4.0</v>
      </c>
      <c r="AD67" s="200" t="str">
        <f>IFERROR(INDEX(Расходка[Наименование расходного материала],MATCH(Расходка[[#This Row],[№]],Поиск_расходки[Индекс13],0)),"")</f>
        <v>Launcher 6F JR 4.0</v>
      </c>
      <c r="AF67" s="4" t="s">
        <v>6</v>
      </c>
      <c r="AG67" s="4" t="s">
        <v>462</v>
      </c>
    </row>
    <row r="68" spans="1:33">
      <c r="A68">
        <v>67</v>
      </c>
      <c r="B68" t="s">
        <v>4</v>
      </c>
      <c r="C68" t="s">
        <v>340</v>
      </c>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67</v>
      </c>
      <c r="J68" s="199">
        <f>IF(ISNUMBER(SEARCH('Карта учёта'!$B$19,Расходка[[#This Row],[Наименование расходного материала]])),MAX($J$1:J67)+1,0)</f>
        <v>0</v>
      </c>
      <c r="K68" s="199">
        <f>IF(ISNUMBER(SEARCH('Карта учёта'!$B$17,Расходка[[#This Row],[Наименование расходного материала]])),MAX($K$1:K67)+1,0)</f>
        <v>0</v>
      </c>
      <c r="L68" s="199">
        <f>IF(ISNUMBER(SEARCH('Карта учёта'!$B$18,Расходка[[#This Row],[Наименование расходного материала]])),MAX($L$1:L67)+1,0)</f>
        <v>0</v>
      </c>
      <c r="M68" s="199">
        <f>IF(ISNUMBER(SEARCH('Карта учёта'!$B$20,Расходка[[#This Row],[Наименование расходного материала]])),MAX($M$1:M67)+1,0)</f>
        <v>67</v>
      </c>
      <c r="N68" s="199">
        <f>IF(ISNUMBER(SEARCH('Карта учёта'!$B$22,Расходка[[#This Row],[Наименование расходного материала]])),MAX($N$1:N67)+1,0)</f>
        <v>67</v>
      </c>
      <c r="O68" s="199">
        <f>IF(ISNUMBER(SEARCH('Карта учёта'!$B$23,Расходка[[#This Row],[Наименование расходного материала]])),MAX($O$1:O67)+1,0)</f>
        <v>67</v>
      </c>
      <c r="P68" s="199">
        <f>IF(ISNUMBER(SEARCH('Карта учёта'!$B$24,Расходка[[#This Row],[Наименование расходного материала]])),MAX($P$1:P67)+1,0)</f>
        <v>67</v>
      </c>
      <c r="Q68" s="199">
        <f>IF(ISNUMBER(SEARCH('Карта учёта'!$B$25,Расходка[[#This Row],[Наименование расходного материала]])),MAX($Q$1:Q67)+1,0)</f>
        <v>67</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Launcher 7F JL 3.5</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Launcher 7F JL 3.5</v>
      </c>
      <c r="AA68" s="200" t="str">
        <f>IFERROR(INDEX(Расходка[Наименование расходного материала],MATCH(Расходка[[#This Row],[№]],Поиск_расходки[Индекс10],0)),"")</f>
        <v>Launcher 7F JL 3.5</v>
      </c>
      <c r="AB68" s="200" t="str">
        <f>IFERROR(INDEX(Расходка[Наименование расходного материала],MATCH(Расходка[[#This Row],[№]],Поиск_расходки[Индекс11],0)),"")</f>
        <v>Launcher 7F JL 3.5</v>
      </c>
      <c r="AC68" s="200" t="str">
        <f>IFERROR(INDEX(Расходка[Наименование расходного материала],MATCH(Расходка[[#This Row],[№]],Поиск_расходки[Индекс12],0)),"")</f>
        <v>Launcher 7F JL 3.5</v>
      </c>
      <c r="AD68" s="200" t="str">
        <f>IFERROR(INDEX(Расходка[Наименование расходного материала],MATCH(Расходка[[#This Row],[№]],Поиск_расходки[Индекс13],0)),"")</f>
        <v>Launcher 7F JL 3.5</v>
      </c>
      <c r="AF68" s="4" t="s">
        <v>6</v>
      </c>
      <c r="AG68" s="4" t="s">
        <v>463</v>
      </c>
    </row>
    <row r="69" spans="1:33">
      <c r="A69">
        <v>68</v>
      </c>
      <c r="B69" t="s">
        <v>4</v>
      </c>
      <c r="C69" t="s">
        <v>339</v>
      </c>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68</v>
      </c>
      <c r="J69" s="199">
        <f>IF(ISNUMBER(SEARCH('Карта учёта'!$B$19,Расходка[[#This Row],[Наименование расходного материала]])),MAX($J$1:J68)+1,0)</f>
        <v>0</v>
      </c>
      <c r="K69" s="199">
        <f>IF(ISNUMBER(SEARCH('Карта учёта'!$B$17,Расходка[[#This Row],[Наименование расходного материала]])),MAX($K$1:K68)+1,0)</f>
        <v>0</v>
      </c>
      <c r="L69" s="199">
        <f>IF(ISNUMBER(SEARCH('Карта учёта'!$B$18,Расходка[[#This Row],[Наименование расходного материала]])),MAX($L$1:L68)+1,0)</f>
        <v>0</v>
      </c>
      <c r="M69" s="199">
        <f>IF(ISNUMBER(SEARCH('Карта учёта'!$B$20,Расходка[[#This Row],[Наименование расходного материала]])),MAX($M$1:M68)+1,0)</f>
        <v>68</v>
      </c>
      <c r="N69" s="199">
        <f>IF(ISNUMBER(SEARCH('Карта учёта'!$B$22,Расходка[[#This Row],[Наименование расходного материала]])),MAX($N$1:N68)+1,0)</f>
        <v>68</v>
      </c>
      <c r="O69" s="199">
        <f>IF(ISNUMBER(SEARCH('Карта учёта'!$B$23,Расходка[[#This Row],[Наименование расходного материала]])),MAX($O$1:O68)+1,0)</f>
        <v>68</v>
      </c>
      <c r="P69" s="199">
        <f>IF(ISNUMBER(SEARCH('Карта учёта'!$B$24,Расходка[[#This Row],[Наименование расходного материала]])),MAX($P$1:P68)+1,0)</f>
        <v>68</v>
      </c>
      <c r="Q69" s="199">
        <f>IF(ISNUMBER(SEARCH('Карта учёта'!$B$25,Расходка[[#This Row],[Наименование расходного материала]])),MAX($Q$1:Q68)+1,0)</f>
        <v>68</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Launcher 7F JL 4.0</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Launcher 7F JL 4.0</v>
      </c>
      <c r="AA69" s="200" t="str">
        <f>IFERROR(INDEX(Расходка[Наименование расходного материала],MATCH(Расходка[[#This Row],[№]],Поиск_расходки[Индекс10],0)),"")</f>
        <v>Launcher 7F JL 4.0</v>
      </c>
      <c r="AB69" s="200" t="str">
        <f>IFERROR(INDEX(Расходка[Наименование расходного материала],MATCH(Расходка[[#This Row],[№]],Поиск_расходки[Индекс11],0)),"")</f>
        <v>Launcher 7F JL 4.0</v>
      </c>
      <c r="AC69" s="200" t="str">
        <f>IFERROR(INDEX(Расходка[Наименование расходного материала],MATCH(Расходка[[#This Row],[№]],Поиск_расходки[Индекс12],0)),"")</f>
        <v>Launcher 7F JL 4.0</v>
      </c>
      <c r="AD69" s="200" t="str">
        <f>IFERROR(INDEX(Расходка[Наименование расходного материала],MATCH(Расходка[[#This Row],[№]],Поиск_расходки[Индекс13],0)),"")</f>
        <v>Launcher 7F JL 4.0</v>
      </c>
      <c r="AF69" s="4" t="s">
        <v>6</v>
      </c>
      <c r="AG69" s="4" t="s">
        <v>464</v>
      </c>
    </row>
    <row r="70" spans="1:33">
      <c r="A70">
        <v>69</v>
      </c>
      <c r="B70" t="s">
        <v>301</v>
      </c>
      <c r="C70" s="1" t="s">
        <v>331</v>
      </c>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69</v>
      </c>
      <c r="J70" s="199">
        <f>IF(ISNUMBER(SEARCH('Карта учёта'!$B$19,Расходка[[#This Row],[Наименование расходного материала]])),MAX($J$1:J69)+1,0)</f>
        <v>0</v>
      </c>
      <c r="K70" s="199">
        <f>IF(ISNUMBER(SEARCH('Карта учёта'!$B$17,Расходка[[#This Row],[Наименование расходного материала]])),MAX($K$1:K69)+1,0)</f>
        <v>0</v>
      </c>
      <c r="L70" s="199">
        <f>IF(ISNUMBER(SEARCH('Карта учёта'!$B$18,Расходка[[#This Row],[Наименование расходного материала]])),MAX($L$1:L69)+1,0)</f>
        <v>0</v>
      </c>
      <c r="M70" s="199">
        <f>IF(ISNUMBER(SEARCH('Карта учёта'!$B$20,Расходка[[#This Row],[Наименование расходного материала]])),MAX($M$1:M69)+1,0)</f>
        <v>69</v>
      </c>
      <c r="N70" s="199">
        <f>IF(ISNUMBER(SEARCH('Карта учёта'!$B$22,Расходка[[#This Row],[Наименование расходного материала]])),MAX($N$1:N69)+1,0)</f>
        <v>69</v>
      </c>
      <c r="O70" s="199">
        <f>IF(ISNUMBER(SEARCH('Карта учёта'!$B$23,Расходка[[#This Row],[Наименование расходного материала]])),MAX($O$1:O69)+1,0)</f>
        <v>69</v>
      </c>
      <c r="P70" s="199">
        <f>IF(ISNUMBER(SEARCH('Карта учёта'!$B$24,Расходка[[#This Row],[Наименование расходного материала]])),MAX($P$1:P69)+1,0)</f>
        <v>69</v>
      </c>
      <c r="Q70" s="199">
        <f>IF(ISNUMBER(SEARCH('Карта учёта'!$B$25,Расходка[[#This Row],[Наименование расходного материала]])),MAX($Q$1:Q69)+1,0)</f>
        <v>69</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Angio-Seal™ VIP</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Angio-Seal™ VIP</v>
      </c>
      <c r="AA70" s="200" t="str">
        <f>IFERROR(INDEX(Расходка[Наименование расходного материала],MATCH(Расходка[[#This Row],[№]],Поиск_расходки[Индекс10],0)),"")</f>
        <v>Angio-Seal™ VIP</v>
      </c>
      <c r="AB70" s="200" t="str">
        <f>IFERROR(INDEX(Расходка[Наименование расходного материала],MATCH(Расходка[[#This Row],[№]],Поиск_расходки[Индекс11],0)),"")</f>
        <v>Angio-Seal™ VIP</v>
      </c>
      <c r="AC70" s="200" t="str">
        <f>IFERROR(INDEX(Расходка[Наименование расходного материала],MATCH(Расходка[[#This Row],[№]],Поиск_расходки[Индекс12],0)),"")</f>
        <v>Angio-Seal™ VIP</v>
      </c>
      <c r="AD70" s="200" t="str">
        <f>IFERROR(INDEX(Расходка[Наименование расходного материала],MATCH(Расходка[[#This Row],[№]],Поиск_расходки[Индекс13],0)),"")</f>
        <v>Angio-Seal™ VIP</v>
      </c>
      <c r="AF70" s="4" t="s">
        <v>6</v>
      </c>
      <c r="AG70" s="4" t="s">
        <v>465</v>
      </c>
    </row>
    <row r="71" spans="1:33">
      <c r="A71">
        <v>70</v>
      </c>
      <c r="E71" s="199">
        <f>IF(ISNUMBER(SEARCH('Карта учёта'!$B$13,Расходка[[#This Row],[Наименование расходного материала]])),MAX($E$1:E70)+1,0)</f>
        <v>0</v>
      </c>
      <c r="F71" s="199">
        <f>IF(ISNUMBER(SEARCH('Карта учёта'!$B$14,Расходка[[#This Row],[Наименование расходного материала]])),MAX($F$1:F70)+1,0)</f>
        <v>0</v>
      </c>
      <c r="G71" s="199">
        <f>IF(ISNUMBER(SEARCH('Карта учёта'!$B$15,Расходка[[#This Row],[Наименование расходного материала]])),MAX($G$1:G70)+1,0)</f>
        <v>0</v>
      </c>
      <c r="H71" s="199">
        <f>IF(ISNUMBER(SEARCH('Карта учёта'!$B$16,Расходка[[#This Row],[Наименование расходного материала]])),MAX($H$1:H70)+1,0)</f>
        <v>0</v>
      </c>
      <c r="I71" s="199">
        <f>IF(ISNUMBER(SEARCH('Карта учёта'!$B$21,Расходка[[#This Row],[Наименование расходного материала]])),MAX($I$1:I70)+1,0)</f>
        <v>0</v>
      </c>
      <c r="J71" s="199">
        <f>IF(ISNUMBER(SEARCH('Карта учёта'!$B$19,Расходка[[#This Row],[Наименование расходного материала]])),MAX($J$1:J70)+1,0)</f>
        <v>0</v>
      </c>
      <c r="K71" s="199">
        <f>IF(ISNUMBER(SEARCH('Карта учёта'!$B$17,Расходка[[#This Row],[Наименование расходного материала]])),MAX($K$1:K70)+1,0)</f>
        <v>0</v>
      </c>
      <c r="L71" s="199">
        <f>IF(ISNUMBER(SEARCH('Карта учёта'!$B$18,Расходка[[#This Row],[Наименование расходного материала]])),MAX($L$1:L70)+1,0)</f>
        <v>0</v>
      </c>
      <c r="M71" s="199">
        <f>IF(ISNUMBER(SEARCH('Карта учёта'!$B$20,Расходка[[#This Row],[Наименование расходного материала]])),MAX($M$1:M70)+1,0)</f>
        <v>0</v>
      </c>
      <c r="N71" s="199">
        <f>IF(ISNUMBER(SEARCH('Карта учёта'!$B$22,Расходка[[#This Row],[Наименование расходного материала]])),MAX($N$1:N70)+1,0)</f>
        <v>0</v>
      </c>
      <c r="O71" s="199">
        <f>IF(ISNUMBER(SEARCH('Карта учёта'!$B$23,Расходка[[#This Row],[Наименование расходного материала]])),MAX($O$1:O70)+1,0)</f>
        <v>0</v>
      </c>
      <c r="P71" s="199">
        <f>IF(ISNUMBER(SEARCH('Карта учёта'!$B$24,Расходка[[#This Row],[Наименование расходного материала]])),MAX($P$1:P70)+1,0)</f>
        <v>0</v>
      </c>
      <c r="Q71" s="199">
        <f>IF(ISNUMBER(SEARCH('Карта учёта'!$B$25,Расходка[[#This Row],[Наименование расходного материала]])),MAX($Q$1:Q70)+1,0)</f>
        <v>0</v>
      </c>
      <c r="R71" s="200" t="str">
        <f>IFERROR(INDEX(Расходка[Наименование расходного материала],MATCH(Расходка[[#This Row],[№]],Поиск_расходки[Индекс1],0)),"")</f>
        <v/>
      </c>
      <c r="S71" s="200" t="str">
        <f>IFERROR(INDEX(Расходка[Наименование расходного материала],MATCH(Расходка[[#This Row],[№]],Поиск_расходки[Индекс2],0)),"")</f>
        <v/>
      </c>
      <c r="T71" s="200" t="str">
        <f>IFERROR(INDEX(Расходка[Наименование расходного материала],MATCH(Расходка[[#This Row],[№]],Поиск_расходки[Индекс3],0)),"")</f>
        <v/>
      </c>
      <c r="U71" s="200" t="str">
        <f>IFERROR(INDEX(Расходка[Наименование расходного материала],MATCH(Расходка[[#This Row],[№]],Поиск_расходки[Индекс4],0)),"")</f>
        <v/>
      </c>
      <c r="V71" s="200" t="str">
        <f>IFERROR(INDEX(Расходка[Наименование расходного материала],MATCH(Расходка[[#This Row],[№]],Поиск_расходки[Индекс5],0)),"")</f>
        <v/>
      </c>
      <c r="W71" s="200" t="str">
        <f>IFERROR(INDEX(Расходка[Наименование расходного материала],MATCH(Расходка[[#This Row],[№]],Поиск_расходки[Индекс6],0)),"")</f>
        <v/>
      </c>
      <c r="X71" s="200" t="str">
        <f>IFERROR(INDEX(Расходка[Наименование расходного материала],MATCH(Расходка[[#This Row],[№]],Поиск_расходки[Индекс7],0)),"")</f>
        <v/>
      </c>
      <c r="Y71" s="200" t="str">
        <f>IFERROR(INDEX(Расходка[Наименование расходного материала],MATCH(Расходка[[#This Row],[№]],Поиск_расходки[Индекс8],0)),"")</f>
        <v/>
      </c>
      <c r="Z71" s="200" t="str">
        <f>IFERROR(INDEX(Расходка[Наименование расходного материала],MATCH(Расходка[[#This Row],[№]],Поиск_расходки[Индекс9],0)),"")</f>
        <v/>
      </c>
      <c r="AA71" s="200" t="str">
        <f>IFERROR(INDEX(Расходка[Наименование расходного материала],MATCH(Расходка[[#This Row],[№]],Поиск_расходки[Индекс10],0)),"")</f>
        <v/>
      </c>
      <c r="AB71" s="200" t="str">
        <f>IFERROR(INDEX(Расходка[Наименование расходного материала],MATCH(Расходка[[#This Row],[№]],Поиск_расходки[Индекс11],0)),"")</f>
        <v/>
      </c>
      <c r="AC71" s="200" t="str">
        <f>IFERROR(INDEX(Расходка[Наименование расходного материала],MATCH(Расходка[[#This Row],[№]],Поиск_расходки[Индекс12],0)),"")</f>
        <v/>
      </c>
      <c r="AD71" s="200" t="str">
        <f>IFERROR(INDEX(Расходка[Наименование расходного материала],MATCH(Расходка[[#This Row],[№]],Поиск_расходки[Индекс13],0)),"")</f>
        <v/>
      </c>
      <c r="AF71" s="4" t="s">
        <v>6</v>
      </c>
      <c r="AG71" s="4" t="s">
        <v>420</v>
      </c>
    </row>
    <row r="72" spans="1:33">
      <c r="A72">
        <v>71</v>
      </c>
      <c r="E72" s="199">
        <f>IF(ISNUMBER(SEARCH('Карта учёта'!$B$13,Расходка[[#This Row],[Наименование расходного материала]])),MAX($E$1:E71)+1,0)</f>
        <v>0</v>
      </c>
      <c r="F72" s="199">
        <f>IF(ISNUMBER(SEARCH('Карта учёта'!$B$14,Расходка[[#This Row],[Наименование расходного материала]])),MAX($F$1:F71)+1,0)</f>
        <v>0</v>
      </c>
      <c r="G72" s="199">
        <f>IF(ISNUMBER(SEARCH('Карта учёта'!$B$15,Расходка[[#This Row],[Наименование расходного материала]])),MAX($G$1:G71)+1,0)</f>
        <v>0</v>
      </c>
      <c r="H72" s="199">
        <f>IF(ISNUMBER(SEARCH('Карта учёта'!$B$16,Расходка[[#This Row],[Наименование расходного материала]])),MAX($H$1:H71)+1,0)</f>
        <v>0</v>
      </c>
      <c r="I72" s="199">
        <f>IF(ISNUMBER(SEARCH('Карта учёта'!$B$21,Расходка[[#This Row],[Наименование расходного материала]])),MAX($I$1:I71)+1,0)</f>
        <v>0</v>
      </c>
      <c r="J72" s="199">
        <f>IF(ISNUMBER(SEARCH('Карта учёта'!$B$19,Расходка[[#This Row],[Наименование расходного материала]])),MAX($J$1:J71)+1,0)</f>
        <v>0</v>
      </c>
      <c r="K72" s="199">
        <f>IF(ISNUMBER(SEARCH('Карта учёта'!$B$17,Расходка[[#This Row],[Наименование расходного материала]])),MAX($K$1:K71)+1,0)</f>
        <v>0</v>
      </c>
      <c r="L72" s="199">
        <f>IF(ISNUMBER(SEARCH('Карта учёта'!$B$18,Расходка[[#This Row],[Наименование расходного материала]])),MAX($L$1:L71)+1,0)</f>
        <v>0</v>
      </c>
      <c r="M72" s="199">
        <f>IF(ISNUMBER(SEARCH('Карта учёта'!$B$20,Расходка[[#This Row],[Наименование расходного материала]])),MAX($M$1:M71)+1,0)</f>
        <v>0</v>
      </c>
      <c r="N72" s="199">
        <f>IF(ISNUMBER(SEARCH('Карта учёта'!$B$22,Расходка[[#This Row],[Наименование расходного материала]])),MAX($N$1:N71)+1,0)</f>
        <v>0</v>
      </c>
      <c r="O72" s="199">
        <f>IF(ISNUMBER(SEARCH('Карта учёта'!$B$23,Расходка[[#This Row],[Наименование расходного материала]])),MAX($O$1:O71)+1,0)</f>
        <v>0</v>
      </c>
      <c r="P72" s="199">
        <f>IF(ISNUMBER(SEARCH('Карта учёта'!$B$24,Расходка[[#This Row],[Наименование расходного материала]])),MAX($P$1:P71)+1,0)</f>
        <v>0</v>
      </c>
      <c r="Q72" s="199">
        <f>IF(ISNUMBER(SEARCH('Карта учёта'!$B$25,Расходка[[#This Row],[Наименование расходного материала]])),MAX($Q$1:Q71)+1,0)</f>
        <v>0</v>
      </c>
      <c r="R72" s="200" t="str">
        <f>IFERROR(INDEX(Расходка[Наименование расходного материала],MATCH(Расходка[[#This Row],[№]],Поиск_расходки[Индекс1],0)),"")</f>
        <v/>
      </c>
      <c r="S72" s="200" t="str">
        <f>IFERROR(INDEX(Расходка[Наименование расходного материала],MATCH(Расходка[[#This Row],[№]],Поиск_расходки[Индекс2],0)),"")</f>
        <v/>
      </c>
      <c r="T72" s="200" t="str">
        <f>IFERROR(INDEX(Расходка[Наименование расходного материала],MATCH(Расходка[[#This Row],[№]],Поиск_расходки[Индекс3],0)),"")</f>
        <v/>
      </c>
      <c r="U72" s="200" t="str">
        <f>IFERROR(INDEX(Расходка[Наименование расходного материала],MATCH(Расходка[[#This Row],[№]],Поиск_расходки[Индекс4],0)),"")</f>
        <v/>
      </c>
      <c r="V72" s="200" t="str">
        <f>IFERROR(INDEX(Расходка[Наименование расходного материала],MATCH(Расходка[[#This Row],[№]],Поиск_расходки[Индекс5],0)),"")</f>
        <v/>
      </c>
      <c r="W72" s="200" t="str">
        <f>IFERROR(INDEX(Расходка[Наименование расходного материала],MATCH(Расходка[[#This Row],[№]],Поиск_расходки[Индекс6],0)),"")</f>
        <v/>
      </c>
      <c r="X72" s="200" t="str">
        <f>IFERROR(INDEX(Расходка[Наименование расходного материала],MATCH(Расходка[[#This Row],[№]],Поиск_расходки[Индекс7],0)),"")</f>
        <v/>
      </c>
      <c r="Y72" s="200" t="str">
        <f>IFERROR(INDEX(Расходка[Наименование расходного материала],MATCH(Расходка[[#This Row],[№]],Поиск_расходки[Индекс8],0)),"")</f>
        <v/>
      </c>
      <c r="Z72" s="200" t="str">
        <f>IFERROR(INDEX(Расходка[Наименование расходного материала],MATCH(Расходка[[#This Row],[№]],Поиск_расходки[Индекс9],0)),"")</f>
        <v/>
      </c>
      <c r="AA72" s="200" t="str">
        <f>IFERROR(INDEX(Расходка[Наименование расходного материала],MATCH(Расходка[[#This Row],[№]],Поиск_расходки[Индекс10],0)),"")</f>
        <v/>
      </c>
      <c r="AB72" s="200" t="str">
        <f>IFERROR(INDEX(Расходка[Наименование расходного материала],MATCH(Расходка[[#This Row],[№]],Поиск_расходки[Индекс11],0)),"")</f>
        <v/>
      </c>
      <c r="AC72" s="200" t="str">
        <f>IFERROR(INDEX(Расходка[Наименование расходного материала],MATCH(Расходка[[#This Row],[№]],Поиск_расходки[Индекс12],0)),"")</f>
        <v/>
      </c>
      <c r="AD72" s="200" t="str">
        <f>IFERROR(INDEX(Расходка[Наименование расходного материала],MATCH(Расходка[[#This Row],[№]],Поиск_расходки[Индекс13],0)),"")</f>
        <v/>
      </c>
      <c r="AF72" s="4" t="s">
        <v>6</v>
      </c>
      <c r="AG72" s="4" t="s">
        <v>466</v>
      </c>
    </row>
    <row r="73" spans="1:33">
      <c r="A73">
        <v>72</v>
      </c>
      <c r="E73" s="199">
        <f>IF(ISNUMBER(SEARCH('Карта учёта'!$B$13,Расходка[[#This Row],[Наименование расходного материала]])),MAX($E$1:E72)+1,0)</f>
        <v>0</v>
      </c>
      <c r="F73" s="199">
        <f>IF(ISNUMBER(SEARCH('Карта учёта'!$B$14,Расходка[[#This Row],[Наименование расходного материала]])),MAX($F$1:F72)+1,0)</f>
        <v>0</v>
      </c>
      <c r="G73" s="199">
        <f>IF(ISNUMBER(SEARCH('Карта учёта'!$B$15,Расходка[[#This Row],[Наименование расходного материала]])),MAX($G$1:G72)+1,0)</f>
        <v>0</v>
      </c>
      <c r="H73" s="199">
        <f>IF(ISNUMBER(SEARCH('Карта учёта'!$B$16,Расходка[[#This Row],[Наименование расходного материала]])),MAX($H$1:H72)+1,0)</f>
        <v>0</v>
      </c>
      <c r="I73" s="199">
        <f>IF(ISNUMBER(SEARCH('Карта учёта'!$B$21,Расходка[[#This Row],[Наименование расходного материала]])),MAX($I$1:I72)+1,0)</f>
        <v>0</v>
      </c>
      <c r="J73" s="199">
        <f>IF(ISNUMBER(SEARCH('Карта учёта'!$B$19,Расходка[[#This Row],[Наименование расходного материала]])),MAX($J$1:J72)+1,0)</f>
        <v>0</v>
      </c>
      <c r="K73" s="199">
        <f>IF(ISNUMBER(SEARCH('Карта учёта'!$B$17,Расходка[[#This Row],[Наименование расходного материала]])),MAX($K$1:K72)+1,0)</f>
        <v>0</v>
      </c>
      <c r="L73" s="199">
        <f>IF(ISNUMBER(SEARCH('Карта учёта'!$B$18,Расходка[[#This Row],[Наименование расходного материала]])),MAX($L$1:L72)+1,0)</f>
        <v>0</v>
      </c>
      <c r="M73" s="199">
        <f>IF(ISNUMBER(SEARCH('Карта учёта'!$B$20,Расходка[[#This Row],[Наименование расходного материала]])),MAX($M$1:M72)+1,0)</f>
        <v>0</v>
      </c>
      <c r="N73" s="199">
        <f>IF(ISNUMBER(SEARCH('Карта учёта'!$B$22,Расходка[[#This Row],[Наименование расходного материала]])),MAX($N$1:N72)+1,0)</f>
        <v>0</v>
      </c>
      <c r="O73" s="199">
        <f>IF(ISNUMBER(SEARCH('Карта учёта'!$B$23,Расходка[[#This Row],[Наименование расходного материала]])),MAX($O$1:O72)+1,0)</f>
        <v>0</v>
      </c>
      <c r="P73" s="199">
        <f>IF(ISNUMBER(SEARCH('Карта учёта'!$B$24,Расходка[[#This Row],[Наименование расходного материала]])),MAX($P$1:P72)+1,0)</f>
        <v>0</v>
      </c>
      <c r="Q73" s="199">
        <f>IF(ISNUMBER(SEARCH('Карта учёта'!$B$25,Расходка[[#This Row],[Наименование расходного материала]])),MAX($Q$1:Q72)+1,0)</f>
        <v>0</v>
      </c>
      <c r="R73" s="200" t="str">
        <f>IFERROR(INDEX(Расходка[Наименование расходного материала],MATCH(Расходка[[#This Row],[№]],Поиск_расходки[Индекс1],0)),"")</f>
        <v/>
      </c>
      <c r="S73" s="200" t="str">
        <f>IFERROR(INDEX(Расходка[Наименование расходного материала],MATCH(Расходка[[#This Row],[№]],Поиск_расходки[Индекс2],0)),"")</f>
        <v/>
      </c>
      <c r="T73" s="200" t="str">
        <f>IFERROR(INDEX(Расходка[Наименование расходного материала],MATCH(Расходка[[#This Row],[№]],Поиск_расходки[Индекс3],0)),"")</f>
        <v/>
      </c>
      <c r="U73" s="200" t="str">
        <f>IFERROR(INDEX(Расходка[Наименование расходного материала],MATCH(Расходка[[#This Row],[№]],Поиск_расходки[Индекс4],0)),"")</f>
        <v/>
      </c>
      <c r="V73" s="200" t="str">
        <f>IFERROR(INDEX(Расходка[Наименование расходного материала],MATCH(Расходка[[#This Row],[№]],Поиск_расходки[Индекс5],0)),"")</f>
        <v/>
      </c>
      <c r="W73" s="200" t="str">
        <f>IFERROR(INDEX(Расходка[Наименование расходного материала],MATCH(Расходка[[#This Row],[№]],Поиск_расходки[Индекс6],0)),"")</f>
        <v/>
      </c>
      <c r="X73" s="200" t="str">
        <f>IFERROR(INDEX(Расходка[Наименование расходного материала],MATCH(Расходка[[#This Row],[№]],Поиск_расходки[Индекс7],0)),"")</f>
        <v/>
      </c>
      <c r="Y73" s="200" t="str">
        <f>IFERROR(INDEX(Расходка[Наименование расходного материала],MATCH(Расходка[[#This Row],[№]],Поиск_расходки[Индекс8],0)),"")</f>
        <v/>
      </c>
      <c r="Z73" s="200" t="str">
        <f>IFERROR(INDEX(Расходка[Наименование расходного материала],MATCH(Расходка[[#This Row],[№]],Поиск_расходки[Индекс9],0)),"")</f>
        <v/>
      </c>
      <c r="AA73" s="200" t="str">
        <f>IFERROR(INDEX(Расходка[Наименование расходного материала],MATCH(Расходка[[#This Row],[№]],Поиск_расходки[Индекс10],0)),"")</f>
        <v/>
      </c>
      <c r="AB73" s="200" t="str">
        <f>IFERROR(INDEX(Расходка[Наименование расходного материала],MATCH(Расходка[[#This Row],[№]],Поиск_расходки[Индекс11],0)),"")</f>
        <v/>
      </c>
      <c r="AC73" s="200" t="str">
        <f>IFERROR(INDEX(Расходка[Наименование расходного материала],MATCH(Расходка[[#This Row],[№]],Поиск_расходки[Индекс12],0)),"")</f>
        <v/>
      </c>
      <c r="AD73" s="200" t="str">
        <f>IFERROR(INDEX(Расходка[Наименование расходного материала],MATCH(Расходка[[#This Row],[№]],Поиск_расходки[Индекс13],0)),"")</f>
        <v/>
      </c>
      <c r="AF73" s="4" t="s">
        <v>6</v>
      </c>
      <c r="AG73" s="4" t="s">
        <v>421</v>
      </c>
    </row>
    <row r="74" spans="1:33">
      <c r="A74">
        <v>73</v>
      </c>
      <c r="E74" s="199">
        <f>IF(ISNUMBER(SEARCH('Карта учёта'!$B$13,Расходка[[#This Row],[Наименование расходного материала]])),MAX($E$1:E73)+1,0)</f>
        <v>0</v>
      </c>
      <c r="F74" s="199">
        <f>IF(ISNUMBER(SEARCH('Карта учёта'!$B$14,Расходка[[#This Row],[Наименование расходного материала]])),MAX($F$1:F73)+1,0)</f>
        <v>0</v>
      </c>
      <c r="G74" s="199">
        <f>IF(ISNUMBER(SEARCH('Карта учёта'!$B$15,Расходка[[#This Row],[Наименование расходного материала]])),MAX($G$1:G73)+1,0)</f>
        <v>0</v>
      </c>
      <c r="H74" s="199">
        <f>IF(ISNUMBER(SEARCH('Карта учёта'!$B$16,Расходка[[#This Row],[Наименование расходного материала]])),MAX($H$1:H73)+1,0)</f>
        <v>0</v>
      </c>
      <c r="I74" s="199">
        <f>IF(ISNUMBER(SEARCH('Карта учёта'!$B$21,Расходка[[#This Row],[Наименование расходного материала]])),MAX($I$1:I73)+1,0)</f>
        <v>0</v>
      </c>
      <c r="J74" s="199">
        <f>IF(ISNUMBER(SEARCH('Карта учёта'!$B$19,Расходка[[#This Row],[Наименование расходного материала]])),MAX($J$1:J73)+1,0)</f>
        <v>0</v>
      </c>
      <c r="K74" s="199">
        <f>IF(ISNUMBER(SEARCH('Карта учёта'!$B$17,Расходка[[#This Row],[Наименование расходного материала]])),MAX($K$1:K73)+1,0)</f>
        <v>0</v>
      </c>
      <c r="L74" s="199">
        <f>IF(ISNUMBER(SEARCH('Карта учёта'!$B$18,Расходка[[#This Row],[Наименование расходного материала]])),MAX($L$1:L73)+1,0)</f>
        <v>0</v>
      </c>
      <c r="M74" s="199">
        <f>IF(ISNUMBER(SEARCH('Карта учёта'!$B$20,Расходка[[#This Row],[Наименование расходного материала]])),MAX($M$1:M73)+1,0)</f>
        <v>0</v>
      </c>
      <c r="N74" s="199">
        <f>IF(ISNUMBER(SEARCH('Карта учёта'!$B$22,Расходка[[#This Row],[Наименование расходного материала]])),MAX($N$1:N73)+1,0)</f>
        <v>0</v>
      </c>
      <c r="O74" s="199">
        <f>IF(ISNUMBER(SEARCH('Карта учёта'!$B$23,Расходка[[#This Row],[Наименование расходного материала]])),MAX($O$1:O73)+1,0)</f>
        <v>0</v>
      </c>
      <c r="P74" s="199">
        <f>IF(ISNUMBER(SEARCH('Карта учёта'!$B$24,Расходка[[#This Row],[Наименование расходного материала]])),MAX($P$1:P73)+1,0)</f>
        <v>0</v>
      </c>
      <c r="Q74" s="199">
        <f>IF(ISNUMBER(SEARCH('Карта учёта'!$B$25,Расходка[[#This Row],[Наименование расходного материала]])),MAX($Q$1:Q73)+1,0)</f>
        <v>0</v>
      </c>
      <c r="R74" s="200" t="str">
        <f>IFERROR(INDEX(Расходка[Наименование расходного материала],MATCH(Расходка[[#This Row],[№]],Поиск_расходки[Индекс1],0)),"")</f>
        <v/>
      </c>
      <c r="S74" s="200" t="str">
        <f>IFERROR(INDEX(Расходка[Наименование расходного материала],MATCH(Расходка[[#This Row],[№]],Поиск_расходки[Индекс2],0)),"")</f>
        <v/>
      </c>
      <c r="T74" s="200" t="str">
        <f>IFERROR(INDEX(Расходка[Наименование расходного материала],MATCH(Расходка[[#This Row],[№]],Поиск_расходки[Индекс3],0)),"")</f>
        <v/>
      </c>
      <c r="U74" s="200" t="str">
        <f>IFERROR(INDEX(Расходка[Наименование расходного материала],MATCH(Расходка[[#This Row],[№]],Поиск_расходки[Индекс4],0)),"")</f>
        <v/>
      </c>
      <c r="V74" s="200" t="str">
        <f>IFERROR(INDEX(Расходка[Наименование расходного материала],MATCH(Расходка[[#This Row],[№]],Поиск_расходки[Индекс5],0)),"")</f>
        <v/>
      </c>
      <c r="W74" s="200" t="str">
        <f>IFERROR(INDEX(Расходка[Наименование расходного материала],MATCH(Расходка[[#This Row],[№]],Поиск_расходки[Индекс6],0)),"")</f>
        <v/>
      </c>
      <c r="X74" s="200" t="str">
        <f>IFERROR(INDEX(Расходка[Наименование расходного материала],MATCH(Расходка[[#This Row],[№]],Поиск_расходки[Индекс7],0)),"")</f>
        <v/>
      </c>
      <c r="Y74" s="200" t="str">
        <f>IFERROR(INDEX(Расходка[Наименование расходного материала],MATCH(Расходка[[#This Row],[№]],Поиск_расходки[Индекс8],0)),"")</f>
        <v/>
      </c>
      <c r="Z74" s="200" t="str">
        <f>IFERROR(INDEX(Расходка[Наименование расходного материала],MATCH(Расходка[[#This Row],[№]],Поиск_расходки[Индекс9],0)),"")</f>
        <v/>
      </c>
      <c r="AA74" s="200" t="str">
        <f>IFERROR(INDEX(Расходка[Наименование расходного материала],MATCH(Расходка[[#This Row],[№]],Поиск_расходки[Индекс10],0)),"")</f>
        <v/>
      </c>
      <c r="AB74" s="200" t="str">
        <f>IFERROR(INDEX(Расходка[Наименование расходного материала],MATCH(Расходка[[#This Row],[№]],Поиск_расходки[Индекс11],0)),"")</f>
        <v/>
      </c>
      <c r="AC74" s="200" t="str">
        <f>IFERROR(INDEX(Расходка[Наименование расходного материала],MATCH(Расходка[[#This Row],[№]],Поиск_расходки[Индекс12],0)),"")</f>
        <v/>
      </c>
      <c r="AD74" s="200" t="str">
        <f>IFERROR(INDEX(Расходка[Наименование расходного материала],MATCH(Расходка[[#This Row],[№]],Поиск_расходки[Индекс13],0)),"")</f>
        <v/>
      </c>
      <c r="AF74" s="4" t="s">
        <v>6</v>
      </c>
      <c r="AG74" s="4" t="s">
        <v>467</v>
      </c>
    </row>
    <row r="75" spans="1:33">
      <c r="AF75" s="4" t="s">
        <v>6</v>
      </c>
      <c r="AG75" s="4" t="s">
        <v>468</v>
      </c>
    </row>
    <row r="76" spans="1:33">
      <c r="AF76" s="4" t="s">
        <v>6</v>
      </c>
      <c r="AG76" s="4" t="s">
        <v>469</v>
      </c>
    </row>
    <row r="77" spans="1:33">
      <c r="AF77" s="4" t="s">
        <v>6</v>
      </c>
      <c r="AG77" s="4" t="s">
        <v>470</v>
      </c>
    </row>
    <row r="78" spans="1:33">
      <c r="AF78" s="4" t="s">
        <v>6</v>
      </c>
      <c r="AG78" s="4" t="s">
        <v>471</v>
      </c>
    </row>
    <row r="79" spans="1:33">
      <c r="AF79" s="4" t="s">
        <v>6</v>
      </c>
      <c r="AG79" s="4" t="s">
        <v>472</v>
      </c>
    </row>
    <row r="80" spans="1:33">
      <c r="AF80" s="4" t="s">
        <v>6</v>
      </c>
      <c r="AG80" s="4" t="s">
        <v>473</v>
      </c>
    </row>
    <row r="81" spans="32:33">
      <c r="AF81" s="4" t="s">
        <v>6</v>
      </c>
      <c r="AG81" s="4" t="s">
        <v>474</v>
      </c>
    </row>
    <row r="82" spans="32:33">
      <c r="AF82" s="4" t="s">
        <v>6</v>
      </c>
      <c r="AG82" s="4" t="s">
        <v>475</v>
      </c>
    </row>
    <row r="83" spans="32:33">
      <c r="AF83" s="4" t="s">
        <v>6</v>
      </c>
      <c r="AG83" s="4" t="s">
        <v>476</v>
      </c>
    </row>
    <row r="84" spans="32:33">
      <c r="AF84" s="4" t="s">
        <v>6</v>
      </c>
      <c r="AG84" s="4" t="s">
        <v>427</v>
      </c>
    </row>
    <row r="85" spans="32:33">
      <c r="AF85" s="4" t="s">
        <v>6</v>
      </c>
      <c r="AG85" s="4" t="s">
        <v>428</v>
      </c>
    </row>
    <row r="86" spans="32:33">
      <c r="AF86" s="4" t="s">
        <v>6</v>
      </c>
      <c r="AG86" s="4" t="s">
        <v>477</v>
      </c>
    </row>
    <row r="87" spans="32:33">
      <c r="AF87" s="4" t="s">
        <v>6</v>
      </c>
      <c r="AG87" s="4" t="s">
        <v>478</v>
      </c>
    </row>
    <row r="88" spans="32:33">
      <c r="AF88" s="4" t="s">
        <v>6</v>
      </c>
      <c r="AG88" s="4" t="s">
        <v>479</v>
      </c>
    </row>
    <row r="89" spans="32:33">
      <c r="AF89" s="4" t="s">
        <v>6</v>
      </c>
      <c r="AG89" s="4" t="s">
        <v>480</v>
      </c>
    </row>
    <row r="90" spans="32:33">
      <c r="AF90" s="4" t="s">
        <v>6</v>
      </c>
      <c r="AG90" s="4" t="s">
        <v>481</v>
      </c>
    </row>
    <row r="91" spans="32:33">
      <c r="AF91" s="4" t="s">
        <v>6</v>
      </c>
      <c r="AG91" s="4" t="s">
        <v>482</v>
      </c>
    </row>
    <row r="92" spans="32:33">
      <c r="AF92" s="4" t="s">
        <v>6</v>
      </c>
      <c r="AG92" s="4" t="s">
        <v>483</v>
      </c>
    </row>
    <row r="93" spans="32:33">
      <c r="AF93" s="4" t="s">
        <v>6</v>
      </c>
      <c r="AG93" s="4" t="s">
        <v>484</v>
      </c>
    </row>
    <row r="94" spans="32:33">
      <c r="AF94" s="4" t="s">
        <v>6</v>
      </c>
      <c r="AG94" s="4" t="s">
        <v>431</v>
      </c>
    </row>
    <row r="95" spans="32:33">
      <c r="AF95" s="4" t="s">
        <v>6</v>
      </c>
      <c r="AG95" s="4" t="s">
        <v>432</v>
      </c>
    </row>
    <row r="96" spans="32:33">
      <c r="AF96" s="4" t="s">
        <v>6</v>
      </c>
      <c r="AG96" s="4" t="s">
        <v>485</v>
      </c>
    </row>
    <row r="97" spans="32:33">
      <c r="AF97" s="4" t="s">
        <v>6</v>
      </c>
      <c r="AG97" s="4" t="s">
        <v>486</v>
      </c>
    </row>
  </sheetData>
  <sheetProtection sheet="1" objects="1" scenarios="1" formatCells="0" formatColumns="0"/>
  <phoneticPr fontId="13" type="noConversion"/>
  <dataValidations count="1">
    <dataValidation type="list" allowBlank="1" showInputMessage="1" showErrorMessage="1" sqref="B2:B74">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C21" sqref="C21"/>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349</v>
      </c>
      <c r="C16" t="str">
        <f t="shared" si="0"/>
        <v xml:space="preserve">И/О старшей мед.сетры: А.А. Нефёдова </v>
      </c>
    </row>
    <row r="17" spans="1:3">
      <c r="A17" t="s">
        <v>123</v>
      </c>
      <c r="B17" t="s">
        <v>348</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352</v>
      </c>
    </row>
    <row r="33" spans="1:2">
      <c r="A33" t="s">
        <v>170</v>
      </c>
      <c r="B33" t="s">
        <v>263</v>
      </c>
    </row>
    <row r="34" spans="1:2">
      <c r="A34" t="s">
        <v>170</v>
      </c>
      <c r="B34" t="s">
        <v>249</v>
      </c>
    </row>
    <row r="35" spans="1:2">
      <c r="A35" t="s">
        <v>170</v>
      </c>
      <c r="B35" t="s">
        <v>253</v>
      </c>
    </row>
    <row r="36" spans="1:2">
      <c r="A36" t="s">
        <v>170</v>
      </c>
      <c r="B36" t="s">
        <v>248</v>
      </c>
    </row>
    <row r="37" spans="1:2">
      <c r="A37" t="s">
        <v>170</v>
      </c>
      <c r="B37" t="s">
        <v>365</v>
      </c>
    </row>
    <row r="38" spans="1:2">
      <c r="A38" t="s">
        <v>170</v>
      </c>
      <c r="B38" t="s">
        <v>508</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506</v>
      </c>
    </row>
    <row r="52" spans="1:2">
      <c r="A52" t="s">
        <v>303</v>
      </c>
      <c r="B52" t="s">
        <v>259</v>
      </c>
    </row>
    <row r="53" spans="1:2">
      <c r="A53" t="s">
        <v>303</v>
      </c>
      <c r="B53" t="s">
        <v>370</v>
      </c>
    </row>
    <row r="54" spans="1:2">
      <c r="A54" t="s">
        <v>303</v>
      </c>
      <c r="B54" t="s">
        <v>366</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341</v>
      </c>
    </row>
    <row r="70" spans="1:2">
      <c r="A70" t="s">
        <v>172</v>
      </c>
      <c r="B70" t="s">
        <v>143</v>
      </c>
    </row>
    <row r="71" spans="1:2">
      <c r="A71" t="s">
        <v>172</v>
      </c>
      <c r="B71" t="s">
        <v>368</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3"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2" t="s">
        <v>384</v>
      </c>
    </row>
    <row r="2" spans="1:1">
      <c r="A2" t="s">
        <v>381</v>
      </c>
    </row>
    <row r="3" spans="1:1">
      <c r="A3" t="s">
        <v>385</v>
      </c>
    </row>
    <row r="4" spans="1:1">
      <c r="A4" t="s">
        <v>386</v>
      </c>
    </row>
    <row r="5" spans="1:1">
      <c r="A5" t="s">
        <v>382</v>
      </c>
    </row>
    <row r="6" spans="1:1">
      <c r="A6" t="s">
        <v>383</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2023-12-30T19:50:29Z</cp:lastPrinted>
  <dcterms:created xsi:type="dcterms:W3CDTF">2015-06-05T18:19:34Z</dcterms:created>
  <dcterms:modified xsi:type="dcterms:W3CDTF">2023-12-30T19:50:35Z</dcterms:modified>
</cp:coreProperties>
</file>