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4\02\"/>
    </mc:Choice>
  </mc:AlternateContent>
  <bookViews>
    <workbookView xWindow="-120" yWindow="-120" windowWidth="29040" windowHeight="1584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 name="Лист1" sheetId="11" r:id="rId8"/>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9" l="1"/>
  <c r="H20" i="9" l="1"/>
  <c r="A1" i="11" l="1"/>
  <c r="A17" i="3" l="1"/>
  <c r="A18" i="3"/>
  <c r="E73" i="1" l="1"/>
  <c r="E74" i="1"/>
  <c r="F73" i="1"/>
  <c r="F74" i="1"/>
  <c r="G73" i="1"/>
  <c r="G74" i="1"/>
  <c r="H73" i="1"/>
  <c r="H74" i="1"/>
  <c r="I73" i="1"/>
  <c r="I74" i="1"/>
  <c r="V73" i="1" s="1"/>
  <c r="J73" i="1"/>
  <c r="J74" i="1"/>
  <c r="K73" i="1"/>
  <c r="K74" i="1"/>
  <c r="L73" i="1"/>
  <c r="L74" i="1"/>
  <c r="M73" i="1"/>
  <c r="M74" i="1"/>
  <c r="Z73" i="1" s="1"/>
  <c r="N73" i="1"/>
  <c r="N74" i="1"/>
  <c r="AA73" i="1" s="1"/>
  <c r="O73" i="1"/>
  <c r="O74" i="1"/>
  <c r="AB73" i="1" s="1"/>
  <c r="P73" i="1"/>
  <c r="P74" i="1"/>
  <c r="AC73" i="1" s="1"/>
  <c r="Q73" i="1"/>
  <c r="Q74" i="1"/>
  <c r="AD73" i="1" s="1"/>
  <c r="V74" i="1"/>
  <c r="Z74" i="1"/>
  <c r="AA74" i="1"/>
  <c r="AB74" i="1"/>
  <c r="AC74" i="1"/>
  <c r="AD74" i="1"/>
  <c r="E66" i="1" l="1"/>
  <c r="E67" i="1"/>
  <c r="E71" i="1"/>
  <c r="E72" i="1"/>
  <c r="F71" i="1"/>
  <c r="F72" i="1"/>
  <c r="G71" i="1"/>
  <c r="G72" i="1"/>
  <c r="H71" i="1"/>
  <c r="H72" i="1"/>
  <c r="I71" i="1"/>
  <c r="I72" i="1"/>
  <c r="J71" i="1"/>
  <c r="J72" i="1"/>
  <c r="K71" i="1"/>
  <c r="K72" i="1"/>
  <c r="L71" i="1"/>
  <c r="L72" i="1"/>
  <c r="M71" i="1"/>
  <c r="M72" i="1"/>
  <c r="N71" i="1"/>
  <c r="N72" i="1"/>
  <c r="O71" i="1"/>
  <c r="O72" i="1"/>
  <c r="P71" i="1"/>
  <c r="P72" i="1"/>
  <c r="Q71" i="1"/>
  <c r="Q72" i="1"/>
  <c r="A16" i="3"/>
  <c r="E68" i="1"/>
  <c r="E69" i="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1" i="9"/>
  <c r="C4" i="5" l="1"/>
  <c r="C17" i="5" l="1"/>
  <c r="C2"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H22" i="9" s="1"/>
  <c r="D37" i="6"/>
  <c r="G51" i="6"/>
  <c r="A8" i="9"/>
  <c r="D10" i="3"/>
  <c r="B2" i="3" s="1"/>
  <c r="D9" i="3"/>
  <c r="D8" i="3"/>
  <c r="D7" i="3"/>
  <c r="D5" i="3"/>
  <c r="D4" i="3"/>
  <c r="AK7" i="1"/>
  <c r="AK8" i="1"/>
  <c r="AK3" i="1"/>
  <c r="AK4" i="1"/>
  <c r="AK5" i="1"/>
  <c r="AK6" i="1"/>
  <c r="AK2" i="1"/>
  <c r="B13" i="6"/>
  <c r="B18" i="9" s="1"/>
  <c r="A7" i="6"/>
  <c r="A25" i="3"/>
  <c r="A26" i="3"/>
  <c r="A27" i="3"/>
  <c r="A13" i="3"/>
  <c r="A14" i="3"/>
  <c r="A15" i="3"/>
  <c r="A21" i="3"/>
  <c r="A19" i="3"/>
  <c r="A20"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P9" i="1" s="1"/>
  <c r="P10" i="1" s="1"/>
  <c r="O8" i="1"/>
  <c r="O9" i="1" s="1"/>
  <c r="O10" i="1" s="1"/>
  <c r="E8" i="1"/>
  <c r="Q7" i="1"/>
  <c r="J7" i="1"/>
  <c r="G8" i="1"/>
  <c r="N9" i="1"/>
  <c r="I7" i="1"/>
  <c r="F7" i="1"/>
  <c r="M7" i="1"/>
  <c r="H8" i="1"/>
  <c r="L9" i="1"/>
  <c r="K8" i="1"/>
  <c r="P11" i="1" l="1"/>
  <c r="P12" i="1"/>
  <c r="P13" i="1" s="1"/>
  <c r="P14" i="1" s="1"/>
  <c r="E9" i="1"/>
  <c r="E10" i="1" s="1"/>
  <c r="O11" i="1"/>
  <c r="O12" i="1" s="1"/>
  <c r="O13" i="1" s="1"/>
  <c r="Q8" i="1"/>
  <c r="Q9" i="1" s="1"/>
  <c r="J8" i="1"/>
  <c r="E11" i="1"/>
  <c r="E12" i="1" s="1"/>
  <c r="E13" i="1" s="1"/>
  <c r="E14" i="1" s="1"/>
  <c r="E15" i="1" s="1"/>
  <c r="M8" i="1"/>
  <c r="N10" i="1"/>
  <c r="I8" i="1"/>
  <c r="G9" i="1"/>
  <c r="H9" i="1"/>
  <c r="F8" i="1"/>
  <c r="K9" i="1"/>
  <c r="L10" i="1"/>
  <c r="P15" i="1" l="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56" i="1" l="1"/>
  <c r="P57" i="1" s="1"/>
  <c r="O16" i="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F10" i="1"/>
  <c r="F11" i="1" s="1"/>
  <c r="F12" i="1" s="1"/>
  <c r="J10" i="1"/>
  <c r="J11" i="1" s="1"/>
  <c r="N12" i="1"/>
  <c r="N13" i="1" s="1"/>
  <c r="I13" i="1"/>
  <c r="I14" i="1" s="1"/>
  <c r="G12" i="1"/>
  <c r="G13" i="1" s="1"/>
  <c r="H14" i="1"/>
  <c r="H15" i="1" s="1"/>
  <c r="L13" i="1"/>
  <c r="L14" i="1" s="1"/>
  <c r="L15" i="1" s="1"/>
  <c r="K12" i="1"/>
  <c r="P58" i="1" l="1"/>
  <c r="AC58" i="1" s="1"/>
  <c r="E60" i="1"/>
  <c r="E61" i="1" s="1"/>
  <c r="E62" i="1" s="1"/>
  <c r="F13" i="1"/>
  <c r="F14" i="1" s="1"/>
  <c r="F15" i="1" s="1"/>
  <c r="O56" i="1"/>
  <c r="O57" i="1" s="1"/>
  <c r="M15" i="1"/>
  <c r="M16" i="1" s="1"/>
  <c r="M17" i="1" s="1"/>
  <c r="J12" i="1"/>
  <c r="J13" i="1" s="1"/>
  <c r="J14" i="1" s="1"/>
  <c r="J15" i="1" s="1"/>
  <c r="J16" i="1" s="1"/>
  <c r="Q58" i="1"/>
  <c r="N14" i="1"/>
  <c r="N15" i="1" s="1"/>
  <c r="I15" i="1"/>
  <c r="I16" i="1" s="1"/>
  <c r="I17" i="1" s="1"/>
  <c r="H16" i="1"/>
  <c r="H17" i="1" s="1"/>
  <c r="K13" i="1"/>
  <c r="K14" i="1" s="1"/>
  <c r="L16" i="1"/>
  <c r="G14" i="1"/>
  <c r="P59" i="1" l="1"/>
  <c r="P60" i="1" s="1"/>
  <c r="P61" i="1" s="1"/>
  <c r="P62" i="1" s="1"/>
  <c r="P63" i="1" s="1"/>
  <c r="P64" i="1" s="1"/>
  <c r="P65" i="1" s="1"/>
  <c r="E63" i="1"/>
  <c r="E64" i="1"/>
  <c r="E65" i="1" s="1"/>
  <c r="F16" i="1"/>
  <c r="F17" i="1" s="1"/>
  <c r="N16" i="1"/>
  <c r="N17" i="1" s="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R72" i="1" l="1"/>
  <c r="R74" i="1"/>
  <c r="R73" i="1"/>
  <c r="AC60" i="1"/>
  <c r="R70" i="1"/>
  <c r="R71" i="1"/>
  <c r="AC61" i="1"/>
  <c r="AC63" i="1"/>
  <c r="AC64" i="1"/>
  <c r="P66" i="1"/>
  <c r="P67" i="1" s="1"/>
  <c r="AC62" i="1"/>
  <c r="AC59" i="1"/>
  <c r="AC65" i="1"/>
  <c r="AC57" i="1"/>
  <c r="R68" i="1"/>
  <c r="R69" i="1"/>
  <c r="AC66" i="1"/>
  <c r="R57" i="1"/>
  <c r="R64" i="1"/>
  <c r="R61" i="1"/>
  <c r="R56" i="1"/>
  <c r="R62" i="1"/>
  <c r="R63" i="1"/>
  <c r="R60" i="1"/>
  <c r="R58" i="1"/>
  <c r="R59" i="1"/>
  <c r="R65" i="1"/>
  <c r="R67" i="1"/>
  <c r="R66" i="1"/>
  <c r="N18" i="1"/>
  <c r="J19" i="1"/>
  <c r="J20" i="1" s="1"/>
  <c r="J21" i="1" s="1"/>
  <c r="AD56" i="1"/>
  <c r="Q61" i="1"/>
  <c r="AD61" i="1" s="1"/>
  <c r="AD60"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N21" i="1" s="1"/>
  <c r="N22" i="1" s="1"/>
  <c r="K25" i="1"/>
  <c r="K26" i="1" s="1"/>
  <c r="K27" i="1" s="1"/>
  <c r="H24" i="1"/>
  <c r="AD18" i="1"/>
  <c r="G18" i="1"/>
  <c r="G19" i="1" s="1"/>
  <c r="G20" i="1" s="1"/>
  <c r="I27" i="1"/>
  <c r="M22" i="1"/>
  <c r="L19" i="1"/>
  <c r="L20" i="1" s="1"/>
  <c r="F21" i="1"/>
  <c r="AD62" i="1" l="1"/>
  <c r="Q63" i="1"/>
  <c r="Q64" i="1" s="1"/>
  <c r="Q65" i="1" s="1"/>
  <c r="O61" i="1"/>
  <c r="K28" i="1"/>
  <c r="K29" i="1" s="1"/>
  <c r="AD26" i="1"/>
  <c r="G21" i="1"/>
  <c r="G22" i="1" s="1"/>
  <c r="G23" i="1" s="1"/>
  <c r="H25" i="1"/>
  <c r="I28" i="1"/>
  <c r="M23" i="1"/>
  <c r="J25" i="1"/>
  <c r="N23" i="1"/>
  <c r="L21" i="1"/>
  <c r="F22" i="1"/>
  <c r="AD57" i="1" l="1"/>
  <c r="Q66" i="1"/>
  <c r="AD21" i="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Q67" i="1" l="1"/>
  <c r="Q68" i="1" s="1"/>
  <c r="Q69" i="1" s="1"/>
  <c r="Q70" i="1" s="1"/>
  <c r="AD66" i="1"/>
  <c r="O63" i="1"/>
  <c r="O64" i="1" s="1"/>
  <c r="O65"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D68" i="1" l="1"/>
  <c r="AD67" i="1"/>
  <c r="AD69" i="1"/>
  <c r="AD71" i="1"/>
  <c r="AD72" i="1"/>
  <c r="AD70" i="1"/>
  <c r="O66" i="1"/>
  <c r="AB65" i="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O67" i="1" l="1"/>
  <c r="O68" i="1" s="1"/>
  <c r="O69" i="1" s="1"/>
  <c r="O70" i="1" s="1"/>
  <c r="AB66" i="1"/>
  <c r="J50" i="1"/>
  <c r="J51" i="1" s="1"/>
  <c r="H47" i="1"/>
  <c r="H48" i="1" s="1"/>
  <c r="I47" i="1"/>
  <c r="I48" i="1" s="1"/>
  <c r="I49" i="1" s="1"/>
  <c r="I50" i="1" s="1"/>
  <c r="K43" i="1"/>
  <c r="N27" i="1"/>
  <c r="M28" i="1"/>
  <c r="M29" i="1" s="1"/>
  <c r="L30" i="1"/>
  <c r="G29" i="1"/>
  <c r="F28" i="1"/>
  <c r="AB68" i="1" l="1"/>
  <c r="AB67" i="1"/>
  <c r="AB69" i="1"/>
  <c r="AB71" i="1"/>
  <c r="AB72" i="1"/>
  <c r="AB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J67" i="1" l="1"/>
  <c r="H65" i="1"/>
  <c r="H66" i="1" s="1"/>
  <c r="U2" i="1"/>
  <c r="W2" i="1"/>
  <c r="I54" i="1"/>
  <c r="I55" i="1" s="1"/>
  <c r="I56" i="1" s="1"/>
  <c r="I57" i="1" s="1"/>
  <c r="I58" i="1" s="1"/>
  <c r="I59" i="1" s="1"/>
  <c r="I60" i="1" s="1"/>
  <c r="I61" i="1" s="1"/>
  <c r="I62" i="1" s="1"/>
  <c r="F51" i="1"/>
  <c r="G47" i="1"/>
  <c r="K47" i="1"/>
  <c r="L35" i="1"/>
  <c r="M34" i="1"/>
  <c r="AB31" i="1"/>
  <c r="N32" i="1"/>
  <c r="N33" i="1" s="1"/>
  <c r="AC31" i="1"/>
  <c r="AB29" i="1"/>
  <c r="AC29" i="1"/>
  <c r="J68" i="1" l="1"/>
  <c r="H67" i="1"/>
  <c r="I63" i="1"/>
  <c r="I64" i="1" s="1"/>
  <c r="I65" i="1" s="1"/>
  <c r="I66" i="1" s="1"/>
  <c r="F52" i="1"/>
  <c r="AD36" i="1"/>
  <c r="G48" i="1"/>
  <c r="K48" i="1"/>
  <c r="L36" i="1"/>
  <c r="M35" i="1"/>
  <c r="AC17" i="1"/>
  <c r="N34" i="1"/>
  <c r="N35" i="1" s="1"/>
  <c r="N36" i="1" s="1"/>
  <c r="N37" i="1" s="1"/>
  <c r="N38" i="1" s="1"/>
  <c r="N39" i="1" s="1"/>
  <c r="N40" i="1" s="1"/>
  <c r="N41" i="1" s="1"/>
  <c r="N42" i="1" s="1"/>
  <c r="AB17" i="1"/>
  <c r="J69" i="1" l="1"/>
  <c r="H68" i="1"/>
  <c r="I67" i="1"/>
  <c r="I68" i="1" s="1"/>
  <c r="I69" i="1" s="1"/>
  <c r="I70" i="1" s="1"/>
  <c r="V66" i="1"/>
  <c r="V67" i="1"/>
  <c r="V51" i="1"/>
  <c r="V65" i="1"/>
  <c r="V64" i="1"/>
  <c r="V2" i="1"/>
  <c r="V43" i="1"/>
  <c r="V50" i="1"/>
  <c r="V60" i="1"/>
  <c r="V41" i="1"/>
  <c r="V48"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V55" i="1" l="1"/>
  <c r="V44" i="1"/>
  <c r="J70" i="1"/>
  <c r="W59" i="1" s="1"/>
  <c r="V68" i="1"/>
  <c r="V69" i="1"/>
  <c r="H69" i="1"/>
  <c r="V71" i="1"/>
  <c r="V72" i="1"/>
  <c r="V70" i="1"/>
  <c r="F63" i="1"/>
  <c r="F64" i="1" s="1"/>
  <c r="AB38" i="1"/>
  <c r="AB41" i="1"/>
  <c r="AB39" i="1"/>
  <c r="AB42" i="1"/>
  <c r="K51" i="1"/>
  <c r="G50" i="1"/>
  <c r="AD38" i="1"/>
  <c r="AC43" i="1"/>
  <c r="N44" i="1"/>
  <c r="AB43" i="1"/>
  <c r="L38" i="1"/>
  <c r="L39" i="1" s="1"/>
  <c r="AC33" i="1"/>
  <c r="AB33" i="1"/>
  <c r="M37" i="1"/>
  <c r="W41" i="1" l="1"/>
  <c r="W70" i="1"/>
  <c r="W54" i="1"/>
  <c r="W65" i="1"/>
  <c r="W56" i="1"/>
  <c r="W71" i="1"/>
  <c r="W74" i="1"/>
  <c r="W73" i="1"/>
  <c r="W67" i="1"/>
  <c r="W48" i="1"/>
  <c r="W49" i="1"/>
  <c r="W58" i="1"/>
  <c r="W40" i="1"/>
  <c r="W53" i="1"/>
  <c r="W60" i="1"/>
  <c r="W43" i="1"/>
  <c r="W46" i="1"/>
  <c r="W51" i="1"/>
  <c r="W66" i="1"/>
  <c r="W68" i="1"/>
  <c r="W62" i="1"/>
  <c r="W61" i="1"/>
  <c r="W47" i="1"/>
  <c r="W39" i="1"/>
  <c r="W52" i="1"/>
  <c r="W57" i="1"/>
  <c r="W63" i="1"/>
  <c r="W42" i="1"/>
  <c r="W69" i="1"/>
  <c r="W50" i="1"/>
  <c r="W45" i="1"/>
  <c r="W64" i="1"/>
  <c r="W44" i="1"/>
  <c r="W55" i="1"/>
  <c r="H70" i="1"/>
  <c r="U63" i="1" s="1"/>
  <c r="W72" i="1"/>
  <c r="F65" i="1"/>
  <c r="F66" i="1" s="1"/>
  <c r="K52" i="1"/>
  <c r="K53" i="1" s="1"/>
  <c r="G51" i="1"/>
  <c r="AD39" i="1"/>
  <c r="AC35" i="1"/>
  <c r="AC23" i="1"/>
  <c r="AB46" i="1"/>
  <c r="N45" i="1"/>
  <c r="L40" i="1"/>
  <c r="M38" i="1"/>
  <c r="M39" i="1" s="1"/>
  <c r="M40" i="1" s="1"/>
  <c r="U54" i="1" l="1"/>
  <c r="U50" i="1"/>
  <c r="U52" i="1"/>
  <c r="U62" i="1"/>
  <c r="U70" i="1"/>
  <c r="U53" i="1"/>
  <c r="U57" i="1"/>
  <c r="U59" i="1"/>
  <c r="U46" i="1"/>
  <c r="U42" i="1"/>
  <c r="U73" i="1"/>
  <c r="U74" i="1"/>
  <c r="U69" i="1"/>
  <c r="U41" i="1"/>
  <c r="U48" i="1"/>
  <c r="U39" i="1"/>
  <c r="U40" i="1"/>
  <c r="U60" i="1"/>
  <c r="U66" i="1"/>
  <c r="U65" i="1"/>
  <c r="U45" i="1"/>
  <c r="U68" i="1"/>
  <c r="U47" i="1"/>
  <c r="U49" i="1"/>
  <c r="U58" i="1"/>
  <c r="U56" i="1"/>
  <c r="U64" i="1"/>
  <c r="U51" i="1"/>
  <c r="U67" i="1"/>
  <c r="U61" i="1"/>
  <c r="U43" i="1"/>
  <c r="U72" i="1"/>
  <c r="U44" i="1"/>
  <c r="U55" i="1"/>
  <c r="U71" i="1"/>
  <c r="F67" i="1"/>
  <c r="N46" i="1"/>
  <c r="N47" i="1" s="1"/>
  <c r="N48" i="1" s="1"/>
  <c r="G52" i="1"/>
  <c r="K54" i="1"/>
  <c r="K55" i="1" s="1"/>
  <c r="K56" i="1" s="1"/>
  <c r="K57" i="1" s="1"/>
  <c r="K58" i="1" s="1"/>
  <c r="K59" i="1" s="1"/>
  <c r="K60" i="1" s="1"/>
  <c r="K61" i="1" s="1"/>
  <c r="K62" i="1" s="1"/>
  <c r="K63" i="1" s="1"/>
  <c r="K64" i="1" s="1"/>
  <c r="K65" i="1" s="1"/>
  <c r="K66" i="1" s="1"/>
  <c r="AC47" i="1"/>
  <c r="AB23" i="1"/>
  <c r="AC46" i="1"/>
  <c r="AB47" i="1"/>
  <c r="M41" i="1"/>
  <c r="L41" i="1"/>
  <c r="F68" i="1" l="1"/>
  <c r="K67" i="1"/>
  <c r="X2" i="1"/>
  <c r="G53" i="1"/>
  <c r="AC45" i="1"/>
  <c r="N49" i="1"/>
  <c r="N50" i="1" s="1"/>
  <c r="AB35" i="1"/>
  <c r="AC28" i="1"/>
  <c r="AD22" i="1"/>
  <c r="AB44" i="1"/>
  <c r="AC48" i="1"/>
  <c r="AC50" i="1"/>
  <c r="AC49" i="1"/>
  <c r="AB48" i="1"/>
  <c r="M42" i="1"/>
  <c r="L42" i="1"/>
  <c r="F69" i="1" l="1"/>
  <c r="K68" i="1"/>
  <c r="K69" i="1" s="1"/>
  <c r="G54" i="1"/>
  <c r="R2" i="1"/>
  <c r="N51" i="1"/>
  <c r="N52" i="1" s="1"/>
  <c r="N53" i="1" s="1"/>
  <c r="N54" i="1" s="1"/>
  <c r="N55" i="1" s="1"/>
  <c r="AB45" i="1"/>
  <c r="AC11" i="1"/>
  <c r="AC27" i="1"/>
  <c r="AC10" i="1"/>
  <c r="AC8" i="1"/>
  <c r="AC24" i="1"/>
  <c r="AC9" i="1"/>
  <c r="AC12" i="1"/>
  <c r="M43" i="1"/>
  <c r="L43" i="1"/>
  <c r="S2" i="1" l="1"/>
  <c r="F70" i="1"/>
  <c r="S3" i="1" s="1"/>
  <c r="K70" i="1"/>
  <c r="X69" i="1" s="1"/>
  <c r="N56" i="1"/>
  <c r="N57" i="1" s="1"/>
  <c r="N58" i="1" s="1"/>
  <c r="G55" i="1"/>
  <c r="AC3" i="1"/>
  <c r="AC20" i="1"/>
  <c r="AC14" i="1"/>
  <c r="AC53" i="1"/>
  <c r="AC51"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S57" i="1" l="1"/>
  <c r="S8" i="1"/>
  <c r="S9" i="1"/>
  <c r="S46" i="1"/>
  <c r="S74" i="1"/>
  <c r="S37" i="1"/>
  <c r="S44" i="1"/>
  <c r="S35" i="1"/>
  <c r="S43" i="1"/>
  <c r="S70" i="1"/>
  <c r="S33" i="1"/>
  <c r="S63" i="1"/>
  <c r="S23" i="1"/>
  <c r="S10" i="1"/>
  <c r="S12" i="1"/>
  <c r="S50" i="1"/>
  <c r="S48" i="1"/>
  <c r="S65" i="1"/>
  <c r="S32" i="1"/>
  <c r="S72" i="1"/>
  <c r="S22" i="1"/>
  <c r="S24" i="1"/>
  <c r="S14" i="1"/>
  <c r="S69" i="1"/>
  <c r="S56" i="1"/>
  <c r="S28" i="1"/>
  <c r="S18" i="1"/>
  <c r="S16" i="1"/>
  <c r="S7" i="1"/>
  <c r="S19" i="1"/>
  <c r="S42" i="1"/>
  <c r="S40" i="1"/>
  <c r="S20" i="1"/>
  <c r="S15" i="1"/>
  <c r="S13" i="1"/>
  <c r="S36" i="1"/>
  <c r="S25" i="1"/>
  <c r="S21" i="1"/>
  <c r="S6" i="1"/>
  <c r="S66" i="1"/>
  <c r="S59" i="1"/>
  <c r="S62" i="1"/>
  <c r="S49" i="1"/>
  <c r="S51" i="1"/>
  <c r="S61" i="1"/>
  <c r="S47" i="1"/>
  <c r="S64" i="1"/>
  <c r="S45" i="1"/>
  <c r="S60" i="1"/>
  <c r="S52" i="1"/>
  <c r="S71" i="1"/>
  <c r="S73" i="1"/>
  <c r="S17" i="1"/>
  <c r="S34" i="1"/>
  <c r="S58" i="1"/>
  <c r="S30" i="1"/>
  <c r="S38" i="1"/>
  <c r="S5" i="1"/>
  <c r="S53" i="1"/>
  <c r="S29" i="1"/>
  <c r="S31" i="1"/>
  <c r="S11" i="1"/>
  <c r="S4" i="1"/>
  <c r="S39" i="1"/>
  <c r="S54" i="1"/>
  <c r="S67" i="1"/>
  <c r="S41" i="1"/>
  <c r="S55" i="1"/>
  <c r="S68" i="1"/>
  <c r="S26" i="1"/>
  <c r="S27" i="1"/>
  <c r="X70" i="1"/>
  <c r="X66" i="1"/>
  <c r="X47" i="1"/>
  <c r="X61" i="1"/>
  <c r="X45" i="1"/>
  <c r="X72" i="1"/>
  <c r="X46" i="1"/>
  <c r="X49" i="1"/>
  <c r="X67" i="1"/>
  <c r="X40" i="1"/>
  <c r="X41" i="1"/>
  <c r="X44" i="1"/>
  <c r="X62" i="1"/>
  <c r="X68" i="1"/>
  <c r="X71" i="1"/>
  <c r="X51" i="1"/>
  <c r="X59" i="1"/>
  <c r="X52" i="1"/>
  <c r="X54" i="1"/>
  <c r="X56" i="1"/>
  <c r="X55" i="1"/>
  <c r="X57" i="1"/>
  <c r="X43" i="1"/>
  <c r="X50" i="1"/>
  <c r="X63" i="1"/>
  <c r="X64" i="1"/>
  <c r="X73" i="1"/>
  <c r="X74" i="1"/>
  <c r="X42" i="1"/>
  <c r="X48" i="1"/>
  <c r="X58" i="1"/>
  <c r="X65" i="1"/>
  <c r="X39" i="1"/>
  <c r="X53" i="1"/>
  <c r="X60" i="1"/>
  <c r="N59" i="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6" i="1" l="1"/>
  <c r="AA64" i="1"/>
  <c r="AA65" i="1"/>
  <c r="G61" i="1"/>
  <c r="AA62" i="1"/>
  <c r="AA61" i="1"/>
  <c r="AA60" i="1"/>
  <c r="AA59" i="1"/>
  <c r="AA58" i="1"/>
  <c r="AA63" i="1"/>
  <c r="AA57" i="1"/>
  <c r="AA56" i="1"/>
  <c r="AA29" i="1"/>
  <c r="AA53" i="1"/>
  <c r="AA47" i="1"/>
  <c r="AA11" i="1"/>
  <c r="AA22" i="1"/>
  <c r="AA18" i="1"/>
  <c r="AA27" i="1"/>
  <c r="AA14" i="1"/>
  <c r="AA3" i="1"/>
  <c r="AA34" i="1"/>
  <c r="AA31" i="1"/>
  <c r="AA26" i="1"/>
  <c r="AA16" i="1"/>
  <c r="AA12" i="1"/>
  <c r="AA37" i="1"/>
  <c r="AA39" i="1"/>
  <c r="AA42" i="1"/>
  <c r="AA30" i="1"/>
  <c r="AA5" i="1"/>
  <c r="AA4" i="1"/>
  <c r="AA49" i="1"/>
  <c r="AA46" i="1"/>
  <c r="AA23" i="1"/>
  <c r="AA8" i="1"/>
  <c r="AA24" i="1"/>
  <c r="AA43" i="1"/>
  <c r="AA21" i="1"/>
  <c r="AA40" i="1"/>
  <c r="AA15" i="1"/>
  <c r="AA36" i="1"/>
  <c r="AA52" i="1"/>
  <c r="AA20" i="1"/>
  <c r="AA50"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AA66" i="1" l="1"/>
  <c r="N67" i="1"/>
  <c r="G62" i="1"/>
  <c r="M51" i="1"/>
  <c r="M52" i="1" s="1"/>
  <c r="M53" i="1" s="1"/>
  <c r="L50" i="1"/>
  <c r="AA68" i="1" l="1"/>
  <c r="N68" i="1"/>
  <c r="N69" i="1" s="1"/>
  <c r="G63" i="1"/>
  <c r="G64" i="1" s="1"/>
  <c r="AA67" i="1"/>
  <c r="M54" i="1"/>
  <c r="M55" i="1" s="1"/>
  <c r="L51" i="1"/>
  <c r="L52" i="1" s="1"/>
  <c r="L53" i="1" s="1"/>
  <c r="AA70" i="1" l="1"/>
  <c r="AA69" i="1"/>
  <c r="N70" i="1"/>
  <c r="AA54" i="1"/>
  <c r="G65" i="1"/>
  <c r="M56" i="1"/>
  <c r="M57" i="1" s="1"/>
  <c r="L54" i="1"/>
  <c r="AA71" i="1" l="1"/>
  <c r="AA55" i="1"/>
  <c r="AA44" i="1"/>
  <c r="AA72" i="1"/>
  <c r="G66" i="1"/>
  <c r="M58" i="1"/>
  <c r="M59" i="1" s="1"/>
  <c r="M60" i="1" s="1"/>
  <c r="Z2" i="1"/>
  <c r="L55" i="1"/>
  <c r="L56" i="1" s="1"/>
  <c r="L57" i="1" s="1"/>
  <c r="L58" i="1" s="1"/>
  <c r="L59" i="1" s="1"/>
  <c r="L60" i="1" s="1"/>
  <c r="L61" i="1" s="1"/>
  <c r="L62" i="1" s="1"/>
  <c r="L63" i="1" s="1"/>
  <c r="L64" i="1" s="1"/>
  <c r="L65" i="1" s="1"/>
  <c r="L66" i="1" s="1"/>
  <c r="L67" i="1" l="1"/>
  <c r="L68" i="1" s="1"/>
  <c r="L69" i="1" s="1"/>
  <c r="L70" i="1" s="1"/>
  <c r="G67" i="1"/>
  <c r="M61" i="1"/>
  <c r="Y56" i="1" l="1"/>
  <c r="Y68" i="1"/>
  <c r="Y62" i="1"/>
  <c r="Y59" i="1"/>
  <c r="Y58" i="1"/>
  <c r="Y64" i="1"/>
  <c r="Y73" i="1"/>
  <c r="Y74" i="1"/>
  <c r="Y20" i="1"/>
  <c r="Y60" i="1"/>
  <c r="Y63" i="1"/>
  <c r="Y57" i="1"/>
  <c r="Y61" i="1"/>
  <c r="Y65" i="1"/>
  <c r="Y66" i="1"/>
  <c r="G68" i="1"/>
  <c r="G69" i="1" s="1"/>
  <c r="Y72" i="1"/>
  <c r="Y71" i="1"/>
  <c r="Y67" i="1"/>
  <c r="Y69" i="1"/>
  <c r="Y70" i="1"/>
  <c r="M62" i="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G70" i="1" l="1"/>
  <c r="T65" i="1" s="1"/>
  <c r="T2" i="1"/>
  <c r="T42" i="1"/>
  <c r="M63" i="1"/>
  <c r="M64" i="1" s="1"/>
  <c r="M65" i="1" s="1"/>
  <c r="T7" i="1" l="1"/>
  <c r="T19" i="1"/>
  <c r="T30" i="1"/>
  <c r="T29" i="1"/>
  <c r="T4" i="1"/>
  <c r="T23" i="1"/>
  <c r="T52" i="1"/>
  <c r="T46" i="1"/>
  <c r="T49" i="1"/>
  <c r="T62" i="1"/>
  <c r="T24" i="1"/>
  <c r="T53" i="1"/>
  <c r="T60" i="1"/>
  <c r="T9" i="1"/>
  <c r="T64" i="1"/>
  <c r="T3" i="1"/>
  <c r="T16" i="1"/>
  <c r="T40" i="1"/>
  <c r="T33" i="1"/>
  <c r="T68" i="1"/>
  <c r="T11" i="1"/>
  <c r="T54" i="1"/>
  <c r="T39" i="1"/>
  <c r="T51" i="1"/>
  <c r="T58" i="1"/>
  <c r="T26" i="1"/>
  <c r="T56" i="1"/>
  <c r="T17" i="1"/>
  <c r="T59" i="1"/>
  <c r="T50" i="1"/>
  <c r="T14" i="1"/>
  <c r="T47" i="1"/>
  <c r="T73" i="1"/>
  <c r="T74" i="1"/>
  <c r="T55" i="1"/>
  <c r="T44" i="1"/>
  <c r="T35" i="1"/>
  <c r="T10" i="1"/>
  <c r="T34" i="1"/>
  <c r="T31" i="1"/>
  <c r="T57" i="1"/>
  <c r="T43" i="1"/>
  <c r="T25" i="1"/>
  <c r="T38" i="1"/>
  <c r="T41" i="1"/>
  <c r="T36" i="1"/>
  <c r="T6" i="1"/>
  <c r="T8" i="1"/>
  <c r="T32" i="1"/>
  <c r="T71" i="1"/>
  <c r="T67" i="1"/>
  <c r="T22" i="1"/>
  <c r="T63" i="1"/>
  <c r="T28" i="1"/>
  <c r="T21" i="1"/>
  <c r="T27" i="1"/>
  <c r="T13" i="1"/>
  <c r="T66" i="1"/>
  <c r="T12" i="1"/>
  <c r="T61" i="1"/>
  <c r="T18" i="1"/>
  <c r="T45" i="1"/>
  <c r="T72" i="1"/>
  <c r="T69" i="1"/>
  <c r="T70" i="1"/>
  <c r="T5" i="1"/>
  <c r="T37" i="1"/>
  <c r="T20" i="1"/>
  <c r="T15" i="1"/>
  <c r="T48" i="1"/>
  <c r="M66" i="1"/>
  <c r="M67" i="1" l="1"/>
  <c r="Z58" i="1"/>
  <c r="Z7" i="1"/>
  <c r="Z17" i="1"/>
  <c r="Z25" i="1"/>
  <c r="Z5" i="1"/>
  <c r="Z9" i="1"/>
  <c r="Z3" i="1"/>
  <c r="Z37" i="1"/>
  <c r="Z57" i="1"/>
  <c r="Z50" i="1"/>
  <c r="Z51" i="1"/>
  <c r="Z39" i="1"/>
  <c r="Z59" i="1"/>
  <c r="Z38" i="1"/>
  <c r="Z49" i="1"/>
  <c r="Z53" i="1"/>
  <c r="Z67" i="1"/>
  <c r="Z31" i="1"/>
  <c r="Z21" i="1"/>
  <c r="Z33" i="1"/>
  <c r="Z47" i="1"/>
  <c r="Z26" i="1"/>
  <c r="Z24" i="1"/>
  <c r="Z12" i="1"/>
  <c r="Z23" i="1"/>
  <c r="Z56" i="1"/>
  <c r="Z32" i="1"/>
  <c r="Z11" i="1"/>
  <c r="Z62" i="1"/>
  <c r="Z52" i="1"/>
  <c r="Z45" i="1"/>
  <c r="Z61" i="1"/>
  <c r="Z43" i="1"/>
  <c r="Z42" i="1"/>
  <c r="Z10" i="1"/>
  <c r="Z18" i="1"/>
  <c r="Z34" i="1"/>
  <c r="Z8" i="1"/>
  <c r="Z28" i="1"/>
  <c r="Z20" i="1"/>
  <c r="Z14" i="1"/>
  <c r="Z19" i="1"/>
  <c r="Z63" i="1"/>
  <c r="Z65" i="1"/>
  <c r="Z22" i="1"/>
  <c r="Z29" i="1"/>
  <c r="Z13" i="1"/>
  <c r="Z46" i="1"/>
  <c r="Z48" i="1"/>
  <c r="Z36" i="1"/>
  <c r="Z41" i="1"/>
  <c r="Z6" i="1"/>
  <c r="Z66" i="1"/>
  <c r="M68" i="1" l="1"/>
  <c r="Z40" i="1"/>
  <c r="Z30" i="1"/>
  <c r="Z15" i="1"/>
  <c r="Z27" i="1"/>
  <c r="Z35" i="1"/>
  <c r="Z16" i="1"/>
  <c r="Z4" i="1"/>
  <c r="Z64" i="1"/>
  <c r="Z60" i="1"/>
  <c r="AC67" i="1"/>
  <c r="P68" i="1"/>
  <c r="M69" i="1" l="1"/>
  <c r="M70" i="1" s="1"/>
  <c r="Z44" i="1" s="1"/>
  <c r="Z54" i="1"/>
  <c r="Z70" i="1"/>
  <c r="Z68" i="1"/>
  <c r="AC68" i="1"/>
  <c r="P69" i="1"/>
  <c r="P70" i="1" s="1"/>
  <c r="Z72" i="1"/>
  <c r="Z71" i="1"/>
  <c r="Z69" i="1"/>
  <c r="AC70" i="1"/>
  <c r="AC69" i="1"/>
  <c r="Z55" i="1" l="1"/>
  <c r="AC55" i="1"/>
  <c r="AC44" i="1"/>
  <c r="AC71" i="1"/>
  <c r="AC72" i="1"/>
  <c r="AC54"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<sst xmlns="http://schemas.openxmlformats.org/spreadsheetml/2006/main" count="872" uniqueCount="532">
  <si>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</si>
  <si>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</si>
  <si>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</si>
  <si>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</si>
  <si>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</si>
  <si>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</si>
  <si>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</si>
  <si>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</si>
  <si>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</si>
  <si>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</si>
  <si>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</si>
  <si>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</si>
  <si>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</si>
  <si>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</si>
  <si>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</si>
  <si>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</si>
  <si>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</si>
  <si>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</si>
  <si>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</si>
  <si>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</si>
  <si>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</si>
  <si>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</si>
  <si>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</si>
  <si>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</si>
  <si>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</si>
  <si>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</si>
  <si>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</si>
  <si>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</si>
  <si>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</si>
  <si>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</si>
  <si>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</si>
  <si>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</si>
  <si>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</si>
  <si>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</si>
  <si>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</si>
  <si>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</si>
  <si>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</si>
  <si>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</si>
  <si>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</si>
  <si>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</si>
  <si>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</si>
  <si>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</si>
  <si>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</si>
  <si>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</si>
  <si>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</si>
  <si>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</si>
  <si>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</si>
  <si>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</si>
  <si>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</si>
  <si>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</si>
  <si>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</si>
  <si>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</si>
  <si>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</si>
  <si>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</si>
  <si>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</si>
  <si>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</si>
  <si>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</si>
  <si>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</si>
  <si>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</si>
  <si>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</si>
  <si>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</si>
  <si>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</si>
  <si>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</si>
  <si>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</si>
  <si>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</si>
  <si>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</si>
  <si>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</si>
  <si>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</si>
  <si>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</si>
  <si>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</si>
  <si>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</si>
  <si>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</si>
  <si>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</si>
  <si>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</si>
  <si>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</si>
  <si>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</si>
  <si>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</si>
  <si>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</si>
  <si>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</si>
  <si>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</si>
  <si>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</si>
  <si>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</si>
  <si>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</si>
  <si>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</si>
  <si>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</si>
  <si>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</si>
  <si>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</si>
  <si>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</si>
  <si>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</si>
  <si>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</si>
  <si>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</si>
  <si>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</si>
  <si>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</si>
  <si>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</si>
  <si>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</si>
  <si>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</si>
  <si>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</si>
  <si>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</si>
  <si>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</si>
  <si>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</si>
  <si>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</si>
  <si>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</si>
  <si>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</si>
  <si>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</si>
  <si>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</si>
  <si>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</si>
  <si>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</si>
  <si>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</si>
  <si>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</si>
  <si>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</si>
  <si>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</si>
  <si>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</si>
  <si>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</si>
  <si>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</si>
  <si>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</si>
  <si>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</si>
  <si>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</si>
  <si>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</si>
  <si>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</si>
  <si>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</si>
  <si>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</si>
  <si>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</si>
  <si>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</si>
  <si>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</si>
  <si>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</si>
  <si>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</si>
  <si>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</si>
  <si>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</si>
  <si>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</si>
  <si>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</si>
  <si>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</si>
  <si>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</si>
  <si>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</si>
  <si>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</si>
  <si>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</si>
  <si>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</si>
  <si>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</si>
  <si>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</si>
  <si>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</si>
  <si>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</si>
  <si>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</si>
  <si>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</si>
  <si>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</si>
  <si>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</si>
  <si>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</si>
  <si>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</si>
  <si>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</si>
  <si>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</si>
  <si>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</si>
  <si>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</si>
  <si>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</si>
  <si>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</si>
  <si>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</si>
  <si>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</si>
  <si>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</si>
  <si>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</si>
  <si>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</si>
  <si>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</si>
  <si>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</si>
  <si>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</si>
  <si>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</si>
  <si>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</si>
  <si>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</si>
  <si>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</si>
  <si>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</si>
  <si>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</si>
  <si>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</si>
  <si>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</si>
  <si>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</si>
  <si>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</si>
  <si>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</si>
  <si>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</si>
  <si>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</si>
  <si>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</si>
  <si>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</si>
  <si>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</si>
  <si>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</si>
  <si>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</si>
  <si>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</si>
  <si>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</si>
  <si>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</si>
  <si>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</si>
  <si>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</si>
  <si>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</si>
  <si>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</si>
  <si>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</si>
  <si>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</si>
  <si>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</si>
  <si>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</si>
  <si>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</si>
  <si>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</si>
  <si>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</si>
  <si>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</si>
  <si>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</si>
  <si>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</si>
  <si>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</si>
  <si>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</si>
  <si>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</si>
  <si>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</si>
  <si>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</si>
  <si>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</si>
  <si>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</si>
  <si>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</si>
  <si>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</si>
  <si>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</si>
  <si>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</si>
  <si>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</si>
  <si>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</si>
  <si>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</si>
  <si>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</si>
  <si>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</si>
  <si>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</si>
  <si>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</si>
  <si>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</si>
  <si>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</si>
  <si>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</si>
  <si>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</si>
  <si>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</si>
  <si>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</si>
  <si>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</si>
  <si>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</si>
  <si>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</si>
  <si>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</si>
  <si>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</si>
  <si>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</si>
  <si>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</si>
  <si>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</si>
  <si>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</si>
  <si>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</si>
  <si>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</si>
  <si>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</si>
  <si>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</si>
  <si>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</si>
  <si>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</si>
  <si>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</si>
  <si>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</si>
  <si>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</si>
  <si>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</si>
  <si>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</si>
  <si>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</si>
  <si>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</si>
  <si>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</si>
  <si>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</si>
  <si>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</si>
  <si>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</si>
  <si>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</si>
  <si>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</si>
  <si>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</si>
  <si>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</si>
  <si>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</si>
  <si>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</si>
  <si>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</si>
  <si>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</si>
  <si>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</si>
  <si>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</si>
  <si>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</si>
  <si>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</si>
  <si>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</si>
  <si>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</si>
  <si>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</si>
  <si>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</si>
  <si>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</si>
  <si>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</si>
  <si>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</si>
  <si>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</si>
  <si>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</si>
  <si>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</si>
  <si>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</si>
  <si>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</si>
  <si>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</si>
  <si>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</si>
  <si>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</si>
  <si>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</si>
  <si>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</si>
  <si>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</si>
  <si>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</si>
  <si>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</si>
  <si>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</si>
  <si>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</si>
  <si>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</si>
  <si>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</si>
  <si>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</si>
  <si>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</si>
  <si>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</si>
  <si>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</si>
  <si>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</si>
  <si>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</si>
  <si>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</si>
  <si>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</si>
  <si>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</si>
  <si>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</si>
  <si>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</si>
  <si>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</si>
  <si>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</si>
  <si>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</si>
  <si>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</si>
  <si>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</si>
  <si>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</si>
  <si>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</si>
  <si>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</si>
  <si>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</si>
  <si>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</si>
  <si>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</si>
  <si>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</si>
  <si>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</si>
  <si>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</si>
  <si>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</si>
  <si>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</si>
  <si>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</si>
  <si>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</si>
  <si>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</si>
  <si>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</si>
  <si>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</si>
  <si>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</si>
  <si>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</si>
  <si>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</si>
  <si>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</si>
  <si>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</si>
  <si>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</si>
  <si>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</si>
  <si>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</si>
  <si>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</si>
  <si>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</si>
  <si>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</si>
  <si>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</si>
  <si>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</si>
  <si>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</si>
  <si>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</si>
  <si>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</si>
  <si>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</si>
  <si>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</si>
  <si>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</si>
  <si>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</si>
  <si>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</si>
  <si>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</si>
  <si>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</si>
  <si>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</si>
  <si>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</si>
  <si>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</si>
  <si>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</si>
  <si>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</si>
  <si>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</si>
  <si>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</si>
  <si>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</si>
  <si>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</si>
  <si>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</si>
  <si>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</si>
  <si>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</si>
  <si>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</si>
  <si>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</si>
  <si>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</si>
  <si>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</si>
  <si>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</si>
  <si>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</si>
  <si>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</si>
  <si>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</si>
  <si>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</si>
  <si>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</si>
  <si>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</si>
  <si>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</si>
  <si>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</si>
  <si>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</si>
  <si>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</si>
  <si>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</si>
  <si>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</si>
  <si>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</si>
  <si>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</si>
  <si>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</si>
  <si>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</si>
  <si>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</si>
  <si>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</si>
  <si>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</si>
  <si>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</si>
  <si>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</si>
  <si>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</si>
  <si>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</si>
  <si>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</si>
  <si>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</si>
  <si>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</si>
  <si>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</si>
  <si>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</si>
  <si>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</si>
  <si>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</si>
  <si>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</si>
  <si>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</si>
  <si>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</si>
  <si>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</si>
  <si>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</si>
  <si>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</si>
  <si>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</si>
  <si>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</si>
  <si>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</si>
  <si>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</si>
  <si>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</si>
  <si>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</si>
  <si>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</si>
  <si>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</si>
  <si>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</si>
  <si>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</si>
  <si>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</si>
  <si>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</si>
  <si>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</si>
  <si>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</si>
  <si>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</si>
  <si>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</si>
  <si>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</si>
  <si>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</si>
  <si>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</si>
  <si>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</si>
  <si>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</si>
  <si>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</si>
  <si>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</si>
  <si>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</si>
  <si>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</si>
  <si>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</si>
  <si>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</si>
  <si>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</si>
  <si>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</si>
  <si>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</si>
  <si>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</si>
  <si>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</si>
  <si>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</si>
  <si>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</si>
  <si>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</si>
  <si>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</si>
  <si>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</si>
  <si>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</si>
  <si>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</si>
  <si>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</si>
  <si>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</si>
  <si>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</si>
  <si>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</si>
  <si>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</si>
  <si>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</si>
  <si>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</si>
  <si>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</si>
  <si>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</si>
  <si>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</si>
  <si>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</si>
  <si>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</si>
  <si>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</si>
  <si>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</si>
  <si>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</si>
  <si>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</si>
  <si>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</si>
  <si>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</si>
  <si>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</si>
  <si>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</si>
  <si>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</si>
  <si>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</si>
  <si>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</si>
  <si>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</si>
  <si>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</si>
  <si>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</si>
  <si>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</si>
  <si>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</si>
  <si>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</si>
  <si>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</si>
  <si>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</si>
  <si>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</si>
  <si>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</si>
  <si>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</si>
  <si>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</si>
  <si>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</si>
  <si>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</si>
  <si>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</si>
  <si>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</si>
  <si>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</si>
  <si>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</si>
  <si>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</si>
  <si>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</si>
  <si>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</si>
  <si>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</si>
  <si>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</si>
  <si>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</si>
  <si>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</si>
  <si>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</si>
  <si>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</si>
  <si>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</si>
  <si>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</si>
  <si>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</si>
  <si>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</si>
  <si>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</si>
  <si>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</si>
  <si>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</si>
  <si>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</si>
  <si>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</si>
  <si>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</si>
  <si>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</si>
  <si>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</si>
  <si>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</si>
  <si>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</si>
  <si>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</si>
  <si>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</si>
  <si>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</si>
  <si>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</si>
  <si>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</si>
  <si>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</si>
  <si>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</si>
  <si>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</si>
  <si>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</si>
  <si>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</si>
  <si>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</si>
  <si>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</si>
  <si>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</si>
  <si>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</si>
  <si>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</si>
  <si>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</si>
  <si>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</si>
  <si>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</si>
  <si>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SCW Индефлятор </t>
  </si>
  <si>
    <t>Launcher 6F AL 3</t>
  </si>
  <si>
    <t xml:space="preserve">Заведующий отделения: Д.В. Карчевский </t>
  </si>
  <si>
    <t>Lepu Medical Balancium</t>
  </si>
  <si>
    <t>DES, Metafor</t>
  </si>
  <si>
    <t>Проводник коронарный  0,8g, Angioline</t>
  </si>
  <si>
    <t>100 ml</t>
  </si>
  <si>
    <t>30 ml</t>
  </si>
  <si>
    <t>лучевой</t>
  </si>
  <si>
    <t>Извлечён</t>
  </si>
  <si>
    <t xml:space="preserve">1) Строгий контроль места пункции! </t>
  </si>
  <si>
    <t>50 ml</t>
  </si>
  <si>
    <t>Правый</t>
  </si>
  <si>
    <t xml:space="preserve">Совместно с д/кардиологом: с учетом клинических данных, ЭКГ и КАГ рекомендована ЧТКА ПНА. </t>
  </si>
  <si>
    <t>Галкина И.Н.</t>
  </si>
  <si>
    <t>09:24</t>
  </si>
  <si>
    <t>проходим, неровности контуров</t>
  </si>
  <si>
    <r>
      <rPr>
        <b/>
        <i/>
        <sz val="11"/>
        <color theme="1"/>
        <rFont val="Arial"/>
        <family val="2"/>
        <charset val="204"/>
      </rPr>
      <t>стентирование среднего сегмента ПНА от 25.10.23 (1DES Res/Int 3.5-38)</t>
    </r>
    <r>
      <rPr>
        <sz val="11"/>
        <color theme="1"/>
        <rFont val="Arial"/>
        <family val="2"/>
        <charset val="204"/>
      </rPr>
      <t>. На настоящей каг определяется субокклюзирующий нестабильный стеноз проксимального сегмента 90%, TTG1, антеградный кровоток по ПНА  TIMI II. Рестеноз in stent до 30%, стенозы дистального сегмента до 50%. Стеноз устья и проксимальной трети ДВ до 70%.</t>
    </r>
  </si>
  <si>
    <t>стеноз проксимального сегмента до 40%.   Антеградный кровоток  TIMI III.</t>
  </si>
  <si>
    <t xml:space="preserve">стеноз проксимального сегмента 30%, стеноз проксимальной трети ЗБВ 70%. Антеградный кровоток  TIMI III. </t>
  </si>
  <si>
    <t>Устье ствола ЛКА катетеризировано проводниковым катетером Launcher EBU3/5 6Fr. Коронарный проводник balancium (1 шт) проведен  в дистальный сегмент ПНА. В зону проксимального сегмента с оверлаппингом на предыдущий стент  и полным покрытием значимого стеноза проксимального сегмента имплантирован DES Resolute Integrity  3,5-26 мм, давлением 16 атм. Постдилатация и оптимизация стентов среднего и пркосимального сегментов БК NC Accuforce 3.25-8, давлением от 14 до 24 атм. На контрольных съемках стент раскрыт удовлетворительно, признаков краевых диссекций, тромбоза, экстравазации контрастного вещества не выявлено. Антеградный кровоток ПНА восстановлен до TIMI III. Ангиографический результат удовлетворительный. Пациентка в стабильном состоянии транспортируется в ПРИТ для дальнейшего наблюдения и лечения.</t>
  </si>
  <si>
    <t>3,25 - 8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</si>
</sst>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quot;&quot;&quot;&quot;"/>
  </numFmts>
  <fonts count="7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Times New Roman"/>
      <family val="1"/>
      <charset val="204"/>
    </font>
    <font>
      <sz val="10.5"/>
      <color theme="1"/>
      <name val="Calibri"/>
      <family val="2"/>
      <scheme val="minor"/>
    </font>
    <font>
      <u/>
      <sz val="11"/>
      <color theme="1"/>
      <name val="Calibri Light"/>
      <family val="2"/>
      <charset val="204"/>
      <scheme val="major"/>
    </font>
    <font>
      <sz val="12"/>
      <color theme="1"/>
      <name val="Aharoni"/>
      <charset val="177"/>
    </font>
    <font>
      <b/>
      <sz val="12"/>
      <color theme="1"/>
      <name val="Aharoni"/>
      <charset val="177"/>
    </font>
    <font>
      <sz val="11"/>
      <color theme="1"/>
      <name val="Arial"/>
      <family val="2"/>
      <charset val="204"/>
    </font>
    <font>
      <sz val="10"/>
      <color theme="1"/>
      <name val="Arial"/>
      <family val="2"/>
      <charset val="204"/>
    </font>
    <font>
      <b/>
      <i/>
      <sz val="11"/>
      <color theme="1"/>
      <name val="Arial"/>
      <family val="2"/>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2"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6" fillId="9" borderId="21" applyNumberFormat="0" applyAlignment="0" applyProtection="0"/>
  </cellStyleXfs>
  <cellXfs count="248">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0" fillId="0" borderId="0" xfId="0" applyAlignment="1">
      <alignment horizontal="left" vertical="center"/>
    </xf>
    <xf numFmtId="0" fontId="11" fillId="2" borderId="1" xfId="0" applyFont="1" applyFill="1" applyBorder="1" applyAlignment="1">
      <alignment horizontal="center" vertical="center"/>
    </xf>
    <xf numFmtId="0" fontId="0" fillId="0" borderId="0" xfId="0" applyAlignment="1">
      <alignment horizontal="fill" vertical="center"/>
    </xf>
    <xf numFmtId="0" fontId="20" fillId="0" borderId="0" xfId="0" applyFont="1" applyAlignment="1">
      <alignment horizontal="left"/>
    </xf>
    <xf numFmtId="0" fontId="0" fillId="0" borderId="0" xfId="0" applyAlignment="1">
      <alignment vertical="center"/>
    </xf>
    <xf numFmtId="0" fontId="0" fillId="0" borderId="2" xfId="0" applyBorder="1"/>
    <xf numFmtId="0" fontId="21" fillId="7" borderId="6" xfId="5" applyFont="1" applyBorder="1" applyAlignment="1">
      <alignment vertical="center"/>
    </xf>
    <xf numFmtId="0" fontId="27" fillId="0" borderId="6" xfId="0" applyFont="1" applyBorder="1" applyAlignment="1">
      <alignment vertical="center"/>
    </xf>
    <xf numFmtId="0" fontId="21"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4" fillId="0" borderId="7" xfId="0" applyFont="1" applyBorder="1" applyAlignment="1" applyProtection="1">
      <alignment horizontal="left" vertical="center"/>
      <protection locked="0"/>
    </xf>
    <xf numFmtId="14" fontId="30" fillId="6" borderId="7" xfId="4" applyNumberFormat="1" applyFont="1" applyBorder="1" applyAlignment="1" applyProtection="1">
      <alignment horizontal="left" vertical="center"/>
      <protection locked="0"/>
    </xf>
    <xf numFmtId="0" fontId="10" fillId="7" borderId="8" xfId="5" applyFont="1" applyBorder="1" applyAlignment="1">
      <alignment horizontal="left" vertical="center"/>
    </xf>
    <xf numFmtId="166" fontId="10" fillId="6" borderId="9" xfId="4" applyNumberFormat="1" applyFont="1" applyBorder="1" applyAlignment="1" applyProtection="1">
      <alignment horizontal="left" vertical="center"/>
      <protection locked="0"/>
    </xf>
    <xf numFmtId="0" fontId="14" fillId="0" borderId="3" xfId="0" applyFont="1" applyBorder="1" applyAlignment="1" applyProtection="1">
      <alignment vertical="center"/>
      <protection locked="0"/>
    </xf>
    <xf numFmtId="0" fontId="14" fillId="0" borderId="4" xfId="0" applyFont="1" applyBorder="1" applyAlignment="1" applyProtection="1">
      <alignment vertical="center"/>
      <protection locked="0"/>
    </xf>
    <xf numFmtId="0" fontId="14" fillId="0" borderId="9" xfId="0" applyFont="1" applyBorder="1" applyAlignment="1" applyProtection="1">
      <alignment vertical="center"/>
      <protection locked="0"/>
    </xf>
    <xf numFmtId="0" fontId="14" fillId="0" borderId="7" xfId="0" applyFont="1" applyBorder="1" applyAlignment="1" applyProtection="1">
      <alignment vertical="center"/>
      <protection locked="0"/>
    </xf>
    <xf numFmtId="0" fontId="0" fillId="0" borderId="10" xfId="0" applyBorder="1"/>
    <xf numFmtId="0" fontId="31" fillId="0" borderId="0" xfId="0" applyFont="1" applyAlignment="1">
      <alignment vertical="top" wrapText="1"/>
    </xf>
    <xf numFmtId="0" fontId="21" fillId="7" borderId="5" xfId="5" applyFont="1" applyBorder="1" applyAlignment="1">
      <alignment horizontal="centerContinuous" vertical="center"/>
    </xf>
    <xf numFmtId="0" fontId="28" fillId="0" borderId="7" xfId="0" applyFont="1" applyBorder="1" applyAlignment="1">
      <alignment horizontal="left" vertical="center"/>
    </xf>
    <xf numFmtId="0" fontId="0" fillId="0" borderId="3" xfId="0" applyBorder="1"/>
    <xf numFmtId="0" fontId="31" fillId="0" borderId="12" xfId="0" applyFont="1" applyBorder="1" applyAlignment="1">
      <alignment vertical="top" wrapText="1"/>
    </xf>
    <xf numFmtId="0" fontId="31" fillId="0" borderId="8" xfId="0" applyFont="1" applyBorder="1" applyAlignment="1">
      <alignment vertical="top" wrapText="1"/>
    </xf>
    <xf numFmtId="0" fontId="31" fillId="0" borderId="3" xfId="0" applyFont="1" applyBorder="1" applyAlignment="1">
      <alignment vertical="top" wrapText="1"/>
    </xf>
    <xf numFmtId="0" fontId="0" fillId="0" borderId="12" xfId="0" applyBorder="1" applyAlignment="1">
      <alignment vertical="top" wrapText="1"/>
    </xf>
    <xf numFmtId="0" fontId="32" fillId="0" borderId="0" xfId="0" applyFont="1" applyAlignment="1" applyProtection="1">
      <alignment vertical="center"/>
      <protection locked="0"/>
    </xf>
    <xf numFmtId="0" fontId="14"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39" fillId="0" borderId="0" xfId="0" applyFont="1" applyAlignment="1">
      <alignment horizontal="centerContinuous" vertical="center" wrapText="1"/>
    </xf>
    <xf numFmtId="0" fontId="26" fillId="0" borderId="10" xfId="0" applyFont="1" applyBorder="1" applyAlignment="1">
      <alignment horizontal="centerContinuous" vertical="top" wrapText="1"/>
    </xf>
    <xf numFmtId="0" fontId="21" fillId="0" borderId="5" xfId="0" applyFont="1" applyBorder="1" applyAlignment="1">
      <alignment horizontal="centerContinuous" vertical="distributed" wrapText="1"/>
    </xf>
    <xf numFmtId="0" fontId="21" fillId="0" borderId="11" xfId="0" applyFont="1" applyBorder="1" applyAlignment="1">
      <alignment horizontal="centerContinuous" vertical="distributed" wrapText="1"/>
    </xf>
    <xf numFmtId="0" fontId="21" fillId="0" borderId="12" xfId="0" applyFont="1" applyBorder="1" applyAlignment="1">
      <alignment horizontal="centerContinuous" vertical="distributed" wrapText="1"/>
    </xf>
    <xf numFmtId="0" fontId="21" fillId="0" borderId="0" xfId="0" applyFont="1" applyAlignment="1">
      <alignment horizontal="centerContinuous" vertical="distributed" wrapText="1"/>
    </xf>
    <xf numFmtId="0" fontId="21" fillId="0" borderId="13" xfId="0" applyFont="1" applyBorder="1" applyAlignment="1">
      <alignment horizontal="centerContinuous" vertical="distributed" wrapText="1"/>
    </xf>
    <xf numFmtId="0" fontId="24" fillId="0" borderId="12" xfId="0" applyFont="1" applyBorder="1" applyAlignment="1">
      <alignment horizontal="centerContinuous" vertical="distributed" wrapText="1"/>
    </xf>
    <xf numFmtId="0" fontId="25" fillId="0" borderId="0" xfId="0" applyFont="1" applyAlignment="1">
      <alignment horizontal="centerContinuous" vertical="distributed" wrapText="1"/>
    </xf>
    <xf numFmtId="0" fontId="25" fillId="0" borderId="13" xfId="0" applyFont="1" applyBorder="1" applyAlignment="1">
      <alignment horizontal="centerContinuous" vertical="distributed" wrapText="1"/>
    </xf>
    <xf numFmtId="0" fontId="36"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4" fillId="0" borderId="13" xfId="0" applyFont="1" applyBorder="1" applyAlignment="1" applyProtection="1">
      <alignment vertical="center"/>
      <protection locked="0"/>
    </xf>
    <xf numFmtId="0" fontId="37" fillId="0" borderId="12" xfId="0" applyFont="1" applyBorder="1" applyAlignment="1">
      <alignment horizontal="left" vertical="center"/>
    </xf>
    <xf numFmtId="0" fontId="29" fillId="0" borderId="8" xfId="0" applyFont="1" applyBorder="1" applyAlignment="1">
      <alignment vertical="top" wrapText="1"/>
    </xf>
    <xf numFmtId="0" fontId="37" fillId="0" borderId="10" xfId="0" applyFont="1" applyBorder="1" applyAlignment="1">
      <alignment horizontal="left" vertical="top" wrapText="1"/>
    </xf>
    <xf numFmtId="0" fontId="29" fillId="0" borderId="12" xfId="0" applyFont="1" applyBorder="1" applyAlignment="1">
      <alignment vertical="top" wrapText="1"/>
    </xf>
    <xf numFmtId="0" fontId="39"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3" fillId="0" borderId="12" xfId="0" applyFont="1" applyBorder="1"/>
    <xf numFmtId="0" fontId="0" fillId="0" borderId="0" xfId="0" applyProtection="1">
      <protection locked="0"/>
    </xf>
    <xf numFmtId="165" fontId="14" fillId="0" borderId="7" xfId="0" applyNumberFormat="1" applyFont="1" applyBorder="1" applyAlignment="1">
      <alignment horizontal="left" vertical="center"/>
    </xf>
    <xf numFmtId="0" fontId="14" fillId="0" borderId="7" xfId="0" applyFont="1" applyBorder="1" applyAlignment="1">
      <alignment horizontal="left" vertical="center"/>
    </xf>
    <xf numFmtId="0" fontId="26" fillId="0" borderId="0" xfId="0" applyFont="1" applyAlignment="1">
      <alignment horizontal="centerContinuous" vertical="top" wrapText="1"/>
    </xf>
    <xf numFmtId="0" fontId="14" fillId="0" borderId="0" xfId="0" applyFont="1" applyAlignment="1" applyProtection="1">
      <alignment vertical="top" wrapText="1"/>
      <protection locked="0"/>
    </xf>
    <xf numFmtId="0" fontId="14" fillId="0" borderId="0" xfId="0" applyFont="1" applyAlignment="1" applyProtection="1">
      <alignment horizontal="centerContinuous" vertical="top" wrapText="1"/>
      <protection locked="0"/>
    </xf>
    <xf numFmtId="0" fontId="31" fillId="0" borderId="0" xfId="0" applyFont="1" applyAlignment="1">
      <alignment vertical="top"/>
    </xf>
    <xf numFmtId="0" fontId="31" fillId="0" borderId="13" xfId="0" applyFont="1" applyBorder="1" applyAlignment="1">
      <alignment vertical="top"/>
    </xf>
    <xf numFmtId="0" fontId="21" fillId="0" borderId="0" xfId="0" applyFont="1"/>
    <xf numFmtId="0" fontId="21" fillId="7" borderId="6" xfId="5" applyFont="1" applyBorder="1" applyAlignment="1" applyProtection="1">
      <alignment vertical="center"/>
    </xf>
    <xf numFmtId="0" fontId="10" fillId="7" borderId="8" xfId="5" applyFont="1" applyBorder="1" applyAlignment="1" applyProtection="1">
      <alignment horizontal="left" vertical="center"/>
    </xf>
    <xf numFmtId="0" fontId="34" fillId="0" borderId="0" xfId="0" applyFont="1" applyAlignment="1" applyProtection="1">
      <alignment horizontal="left"/>
      <protection locked="0"/>
    </xf>
    <xf numFmtId="0" fontId="43" fillId="0" borderId="0" xfId="0" applyFont="1" applyAlignment="1">
      <alignment horizontal="left" vertical="center"/>
    </xf>
    <xf numFmtId="0" fontId="14" fillId="0" borderId="3" xfId="0" applyFont="1" applyBorder="1" applyAlignment="1">
      <alignment vertical="center"/>
    </xf>
    <xf numFmtId="0" fontId="14" fillId="0" borderId="4" xfId="0" applyFont="1" applyBorder="1" applyAlignment="1">
      <alignment vertical="center"/>
    </xf>
    <xf numFmtId="0" fontId="27" fillId="0" borderId="8" xfId="0" applyFont="1" applyBorder="1" applyAlignment="1">
      <alignment vertical="center"/>
    </xf>
    <xf numFmtId="165" fontId="14" fillId="0" borderId="9" xfId="0" applyNumberFormat="1" applyFont="1" applyBorder="1" applyAlignment="1" applyProtection="1">
      <alignment horizontal="left" vertical="center"/>
      <protection locked="0"/>
    </xf>
    <xf numFmtId="0" fontId="10" fillId="7" borderId="15" xfId="5" applyFont="1" applyBorder="1" applyAlignment="1">
      <alignment horizontal="left" vertical="center"/>
    </xf>
    <xf numFmtId="166" fontId="10" fillId="6" borderId="16" xfId="4" applyNumberFormat="1" applyFont="1" applyBorder="1" applyAlignment="1" applyProtection="1">
      <alignment horizontal="left" vertical="center"/>
      <protection locked="0"/>
    </xf>
    <xf numFmtId="0" fontId="37" fillId="0" borderId="0" xfId="0" applyFont="1" applyAlignment="1">
      <alignment horizontal="left" vertical="center"/>
    </xf>
    <xf numFmtId="0" fontId="34" fillId="0" borderId="13" xfId="0" applyFont="1" applyBorder="1" applyAlignment="1" applyProtection="1">
      <alignment horizontal="left"/>
      <protection locked="0"/>
    </xf>
    <xf numFmtId="0" fontId="34" fillId="0" borderId="0" xfId="0" applyFont="1" applyAlignment="1" applyProtection="1">
      <alignment vertical="center"/>
      <protection locked="0"/>
    </xf>
    <xf numFmtId="0" fontId="0" fillId="0" borderId="3" xfId="0" applyBorder="1" applyAlignment="1">
      <alignment vertical="top" wrapText="1"/>
    </xf>
    <xf numFmtId="0" fontId="14" fillId="8" borderId="17" xfId="6" applyFont="1" applyBorder="1" applyAlignment="1">
      <alignment horizontal="left" vertical="center"/>
    </xf>
    <xf numFmtId="0" fontId="14" fillId="0" borderId="9" xfId="0" applyFont="1" applyBorder="1" applyAlignment="1">
      <alignment vertical="center"/>
    </xf>
    <xf numFmtId="0" fontId="14" fillId="0" borderId="7" xfId="0" applyFont="1" applyBorder="1" applyAlignment="1">
      <alignment vertical="center"/>
    </xf>
    <xf numFmtId="0" fontId="27" fillId="0" borderId="3" xfId="0" applyFont="1" applyBorder="1" applyAlignment="1" applyProtection="1">
      <alignment vertical="center"/>
      <protection locked="0"/>
    </xf>
    <xf numFmtId="0" fontId="27" fillId="0" borderId="4" xfId="0" applyFont="1" applyBorder="1" applyAlignment="1" applyProtection="1">
      <alignment vertical="center"/>
      <protection locked="0"/>
    </xf>
    <xf numFmtId="0" fontId="27" fillId="0" borderId="8" xfId="0" applyFont="1" applyBorder="1" applyAlignment="1" applyProtection="1">
      <alignment vertical="center"/>
      <protection locked="0"/>
    </xf>
    <xf numFmtId="0" fontId="27" fillId="0" borderId="6" xfId="0" applyFont="1" applyBorder="1" applyAlignment="1" applyProtection="1">
      <alignment vertical="center"/>
      <protection locked="0"/>
    </xf>
    <xf numFmtId="0" fontId="16" fillId="0" borderId="10" xfId="0" applyFont="1" applyBorder="1" applyAlignment="1">
      <alignment horizontal="right"/>
    </xf>
    <xf numFmtId="165" fontId="16" fillId="0" borderId="5" xfId="0" applyNumberFormat="1" applyFont="1" applyBorder="1" applyAlignment="1">
      <alignment horizontal="center"/>
    </xf>
    <xf numFmtId="0" fontId="18" fillId="0" borderId="11" xfId="0" applyFont="1" applyBorder="1" applyAlignment="1">
      <alignment horizontal="right" vertical="top"/>
    </xf>
    <xf numFmtId="0" fontId="17" fillId="0" borderId="12" xfId="0" applyFont="1" applyBorder="1" applyAlignment="1">
      <alignment horizontal="centerContinuous" vertical="top"/>
    </xf>
    <xf numFmtId="0" fontId="15" fillId="0" borderId="0" xfId="0" applyFont="1" applyAlignment="1">
      <alignment horizontal="centerContinuous"/>
    </xf>
    <xf numFmtId="0" fontId="48" fillId="9" borderId="21" xfId="7" applyFont="1" applyAlignment="1">
      <alignment horizontal="left" vertical="center"/>
    </xf>
    <xf numFmtId="14" fontId="47" fillId="9" borderId="22" xfId="7" applyNumberFormat="1" applyFont="1" applyBorder="1" applyAlignment="1" applyProtection="1">
      <alignment horizontal="right" vertical="center"/>
    </xf>
    <xf numFmtId="0" fontId="47" fillId="9" borderId="22" xfId="7" applyFont="1" applyBorder="1" applyAlignment="1" applyProtection="1">
      <alignment horizontal="right" vertical="center"/>
    </xf>
    <xf numFmtId="0" fontId="15" fillId="0" borderId="0" xfId="0" applyFont="1" applyAlignment="1">
      <alignment horizontal="center"/>
    </xf>
    <xf numFmtId="0" fontId="48" fillId="9" borderId="21" xfId="7" applyFont="1" applyAlignment="1" applyProtection="1">
      <alignment horizontal="left" vertical="center"/>
    </xf>
    <xf numFmtId="0" fontId="22" fillId="0" borderId="12" xfId="0" applyFont="1" applyBorder="1" applyAlignment="1">
      <alignment horizontal="justify" vertical="center" wrapText="1"/>
    </xf>
    <xf numFmtId="0" fontId="23" fillId="0" borderId="13" xfId="0" applyFont="1" applyBorder="1" applyAlignment="1" applyProtection="1">
      <alignment horizontal="center" vertical="center"/>
      <protection locked="0"/>
    </xf>
    <xf numFmtId="0" fontId="23" fillId="0" borderId="0" xfId="0" applyFont="1" applyAlignment="1" applyProtection="1">
      <alignment horizontal="justify" vertical="center" wrapText="1"/>
      <protection locked="0"/>
    </xf>
    <xf numFmtId="0" fontId="23" fillId="0" borderId="0" xfId="0" applyFont="1" applyAlignment="1" applyProtection="1">
      <alignment vertical="center"/>
      <protection locked="0"/>
    </xf>
    <xf numFmtId="0" fontId="21" fillId="0" borderId="0" xfId="0" applyFont="1" applyAlignment="1" applyProtection="1">
      <alignment horizontal="left" vertical="top" wrapText="1"/>
      <protection locked="0"/>
    </xf>
    <xf numFmtId="0" fontId="21" fillId="0" borderId="0" xfId="0" applyFont="1" applyAlignment="1" applyProtection="1">
      <alignment horizontal="left" wrapText="1"/>
      <protection locked="0"/>
    </xf>
    <xf numFmtId="0" fontId="0" fillId="0" borderId="5" xfId="0" applyBorder="1"/>
    <xf numFmtId="0" fontId="0" fillId="0" borderId="11" xfId="0" applyBorder="1"/>
    <xf numFmtId="0" fontId="20"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1" fillId="0" borderId="0" xfId="0" applyFont="1" applyAlignment="1">
      <alignment horizontal="left" vertical="center" wrapText="1"/>
    </xf>
    <xf numFmtId="20" fontId="15" fillId="0" borderId="0" xfId="0" applyNumberFormat="1" applyFont="1" applyAlignment="1" applyProtection="1">
      <alignment vertical="center"/>
      <protection locked="0"/>
    </xf>
    <xf numFmtId="0" fontId="0" fillId="0" borderId="0" xfId="0" applyAlignment="1">
      <alignment vertical="top" wrapText="1"/>
    </xf>
    <xf numFmtId="0" fontId="40" fillId="0" borderId="0" xfId="0" applyFont="1" applyAlignment="1" applyProtection="1">
      <alignment vertical="top" wrapText="1"/>
      <protection locked="0"/>
    </xf>
    <xf numFmtId="0" fontId="52" fillId="0" borderId="0" xfId="0" applyFont="1" applyAlignment="1">
      <alignment vertical="top"/>
    </xf>
    <xf numFmtId="0" fontId="53"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7" fillId="0" borderId="0" xfId="0" applyFont="1" applyAlignment="1">
      <alignment horizontal="centerContinuous" vertical="center"/>
    </xf>
    <xf numFmtId="0" fontId="49" fillId="0" borderId="0" xfId="0" applyFont="1" applyAlignment="1" applyProtection="1">
      <alignment vertical="top" wrapText="1"/>
      <protection locked="0"/>
    </xf>
    <xf numFmtId="0" fontId="49" fillId="0" borderId="3" xfId="0" applyFont="1" applyBorder="1" applyAlignment="1" applyProtection="1">
      <alignment vertical="top" wrapText="1"/>
      <protection locked="0"/>
    </xf>
    <xf numFmtId="0" fontId="53"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8" fillId="9" borderId="23" xfId="7" applyFont="1" applyBorder="1" applyAlignment="1">
      <alignment horizontal="left" vertical="center"/>
    </xf>
    <xf numFmtId="0" fontId="46" fillId="9" borderId="12" xfId="7" applyBorder="1" applyAlignment="1" applyProtection="1">
      <alignment horizontal="left" vertical="center"/>
    </xf>
    <xf numFmtId="0" fontId="46" fillId="9" borderId="24" xfId="7" applyBorder="1" applyAlignment="1" applyProtection="1">
      <alignment horizontal="justify" vertical="justify" wrapText="1"/>
    </xf>
    <xf numFmtId="0" fontId="46" fillId="9" borderId="24" xfId="7" applyBorder="1" applyAlignment="1" applyProtection="1">
      <alignment horizontal="justify" vertical="top" wrapText="1"/>
    </xf>
    <xf numFmtId="0" fontId="55" fillId="0" borderId="25" xfId="0" applyFont="1" applyBorder="1" applyAlignment="1" applyProtection="1">
      <alignment horizontal="center" vertical="center"/>
      <protection locked="0"/>
    </xf>
    <xf numFmtId="0" fontId="56" fillId="4" borderId="28" xfId="0" applyFont="1" applyFill="1" applyBorder="1" applyAlignment="1">
      <alignment horizontal="center" vertical="center"/>
    </xf>
    <xf numFmtId="0" fontId="56" fillId="4" borderId="29" xfId="0" applyFont="1" applyFill="1" applyBorder="1" applyAlignment="1">
      <alignment horizontal="center" vertical="center"/>
    </xf>
    <xf numFmtId="0" fontId="56" fillId="4" borderId="27" xfId="0" applyFont="1" applyFill="1" applyBorder="1" applyAlignment="1">
      <alignment horizontal="center" vertical="center"/>
    </xf>
    <xf numFmtId="0" fontId="10" fillId="0" borderId="30" xfId="0" applyFont="1" applyBorder="1" applyAlignment="1">
      <alignment horizontal="justify" vertical="center" wrapText="1"/>
    </xf>
    <xf numFmtId="0" fontId="55" fillId="0" borderId="31" xfId="0" applyFont="1" applyBorder="1" applyAlignment="1" applyProtection="1">
      <alignment horizontal="center" vertical="center"/>
      <protection locked="0"/>
    </xf>
    <xf numFmtId="0" fontId="10" fillId="0" borderId="32" xfId="0" applyFont="1" applyBorder="1" applyAlignment="1">
      <alignment horizontal="justify" vertical="center" wrapText="1"/>
    </xf>
    <xf numFmtId="0" fontId="55" fillId="0" borderId="33" xfId="0" applyFont="1" applyBorder="1" applyAlignment="1" applyProtection="1">
      <alignment horizontal="center" vertical="center"/>
      <protection locked="0"/>
    </xf>
    <xf numFmtId="0" fontId="22" fillId="0" borderId="32" xfId="0" applyFont="1" applyBorder="1" applyAlignment="1">
      <alignment horizontal="justify" vertical="center" wrapText="1"/>
    </xf>
    <xf numFmtId="0" fontId="22" fillId="0" borderId="34" xfId="0" applyFont="1" applyBorder="1" applyAlignment="1">
      <alignment horizontal="justify" vertical="center" wrapText="1"/>
    </xf>
    <xf numFmtId="0" fontId="55" fillId="0" borderId="35" xfId="0" applyFont="1" applyBorder="1" applyAlignment="1" applyProtection="1">
      <alignment horizontal="center" vertical="center"/>
      <protection locked="0"/>
    </xf>
    <xf numFmtId="0" fontId="55" fillId="0" borderId="36" xfId="0" applyFont="1" applyBorder="1" applyAlignment="1" applyProtection="1">
      <alignment horizontal="center" vertical="center"/>
      <protection locked="0"/>
    </xf>
    <xf numFmtId="0" fontId="19" fillId="5" borderId="10" xfId="0" applyFont="1" applyFill="1" applyBorder="1" applyAlignment="1">
      <alignment horizontal="left" vertical="center"/>
    </xf>
    <xf numFmtId="0" fontId="19" fillId="5" borderId="34" xfId="0" applyFont="1" applyFill="1" applyBorder="1" applyAlignment="1">
      <alignment horizontal="left" vertical="center"/>
    </xf>
    <xf numFmtId="0" fontId="14" fillId="8" borderId="37" xfId="6" applyFont="1" applyBorder="1" applyAlignment="1">
      <alignment horizontal="left" vertical="center"/>
    </xf>
    <xf numFmtId="14" fontId="54" fillId="9" borderId="38" xfId="7" applyNumberFormat="1" applyFont="1" applyBorder="1" applyAlignment="1">
      <alignment horizontal="left" vertical="center"/>
    </xf>
    <xf numFmtId="14" fontId="47" fillId="9" borderId="39" xfId="7" applyNumberFormat="1" applyFont="1" applyBorder="1" applyAlignment="1" applyProtection="1">
      <alignment horizontal="right" vertical="center"/>
    </xf>
    <xf numFmtId="0" fontId="17" fillId="0" borderId="5" xfId="0" applyFont="1" applyBorder="1" applyAlignment="1">
      <alignment horizontal="center"/>
    </xf>
    <xf numFmtId="0" fontId="55" fillId="0" borderId="26" xfId="0" applyFont="1" applyBorder="1" applyAlignment="1" applyProtection="1">
      <alignment horizontal="justify" vertical="center" wrapText="1"/>
      <protection locked="0"/>
    </xf>
    <xf numFmtId="0" fontId="55" fillId="0" borderId="25" xfId="0" applyFont="1" applyBorder="1" applyAlignment="1" applyProtection="1">
      <alignment horizontal="justify" vertical="center" wrapText="1"/>
      <protection locked="0"/>
    </xf>
    <xf numFmtId="16" fontId="55" fillId="0" borderId="25" xfId="0" applyNumberFormat="1" applyFont="1" applyBorder="1" applyAlignment="1" applyProtection="1">
      <alignment horizontal="justify" vertical="center" wrapText="1"/>
      <protection locked="0"/>
    </xf>
    <xf numFmtId="0" fontId="55" fillId="0" borderId="35" xfId="0" applyFont="1" applyBorder="1" applyAlignment="1" applyProtection="1">
      <alignment horizontal="justify" vertical="center" wrapText="1"/>
      <protection locked="0"/>
    </xf>
    <xf numFmtId="0" fontId="3" fillId="0" borderId="0" xfId="0" applyFont="1"/>
    <xf numFmtId="0" fontId="57" fillId="0" borderId="40" xfId="0" applyFont="1" applyBorder="1" applyProtection="1">
      <protection locked="0"/>
    </xf>
    <xf numFmtId="0" fontId="0" fillId="0" borderId="0" xfId="0" applyAlignment="1">
      <alignment horizontal="center" vertical="top"/>
    </xf>
    <xf numFmtId="0" fontId="15" fillId="0" borderId="0" xfId="0" applyFont="1"/>
    <xf numFmtId="0" fontId="2" fillId="0" borderId="0" xfId="0" applyFont="1"/>
    <xf numFmtId="0" fontId="14" fillId="0" borderId="0" xfId="0" applyFont="1" applyAlignment="1" applyProtection="1">
      <alignment horizontal="justify" vertical="top"/>
      <protection locked="0"/>
    </xf>
    <xf numFmtId="0" fontId="24" fillId="7" borderId="15" xfId="5" applyFont="1" applyBorder="1" applyAlignment="1" applyProtection="1">
      <alignment horizontal="left" vertical="center"/>
    </xf>
    <xf numFmtId="0" fontId="45" fillId="0" borderId="20" xfId="0" applyFont="1" applyBorder="1" applyAlignment="1" applyProtection="1">
      <alignment horizontal="left" vertical="center" wrapText="1"/>
      <protection locked="0"/>
    </xf>
    <xf numFmtId="0" fontId="44" fillId="0" borderId="19" xfId="0" applyFont="1" applyBorder="1" applyAlignment="1">
      <alignment horizontal="left" vertical="center"/>
    </xf>
    <xf numFmtId="0" fontId="15" fillId="0" borderId="19" xfId="0" applyFont="1" applyBorder="1" applyAlignment="1">
      <alignment horizontal="left"/>
    </xf>
    <xf numFmtId="0" fontId="62"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5" fillId="0" borderId="20" xfId="0" applyNumberFormat="1" applyFont="1" applyBorder="1" applyAlignment="1" applyProtection="1">
      <alignment horizontal="left" vertical="center" wrapText="1"/>
      <protection locked="0"/>
    </xf>
    <xf numFmtId="0" fontId="63" fillId="0" borderId="0" xfId="0" applyFont="1" applyAlignment="1">
      <alignment horizontal="centerContinuous" vertical="top" wrapText="1"/>
    </xf>
    <xf numFmtId="0" fontId="63" fillId="0" borderId="13" xfId="0" applyFont="1" applyBorder="1" applyAlignment="1">
      <alignment horizontal="centerContinuous" vertical="top" wrapText="1"/>
    </xf>
    <xf numFmtId="0" fontId="28" fillId="0" borderId="0" xfId="0" applyFont="1" applyAlignment="1" applyProtection="1">
      <alignment horizontal="left"/>
      <protection locked="0"/>
    </xf>
    <xf numFmtId="0" fontId="64" fillId="0" borderId="12" xfId="0" applyFont="1" applyBorder="1" applyAlignment="1" applyProtection="1">
      <alignment vertical="top" wrapText="1"/>
      <protection locked="0"/>
    </xf>
    <xf numFmtId="0" fontId="65" fillId="0" borderId="12" xfId="0" applyFont="1" applyBorder="1" applyAlignment="1">
      <alignment vertical="top" wrapText="1"/>
    </xf>
    <xf numFmtId="0" fontId="0" fillId="0" borderId="0" xfId="0" applyAlignment="1">
      <alignment horizontal="fill"/>
    </xf>
    <xf numFmtId="0" fontId="14" fillId="0" borderId="0" xfId="0" applyFont="1" applyAlignment="1" applyProtection="1">
      <alignment horizontal="fill" vertical="top" wrapText="1"/>
      <protection locked="0"/>
    </xf>
    <xf numFmtId="0" fontId="64" fillId="0" borderId="12" xfId="0" applyFont="1" applyBorder="1" applyAlignment="1">
      <alignment horizontal="fill" vertical="top" wrapText="1"/>
    </xf>
    <xf numFmtId="0" fontId="10" fillId="0" borderId="0" xfId="0" applyFont="1" applyAlignment="1" applyProtection="1">
      <alignment vertical="top" wrapText="1"/>
      <protection locked="0"/>
    </xf>
    <xf numFmtId="0" fontId="66" fillId="0" borderId="0" xfId="0" applyFont="1" applyAlignment="1" applyProtection="1">
      <alignment vertical="top" wrapText="1"/>
      <protection locked="0"/>
    </xf>
    <xf numFmtId="49" fontId="45" fillId="0" borderId="20" xfId="0" applyNumberFormat="1" applyFont="1" applyBorder="1" applyAlignment="1">
      <alignment horizontal="left" vertical="center" wrapText="1"/>
    </xf>
    <xf numFmtId="0" fontId="45" fillId="0" borderId="20" xfId="0" applyFont="1" applyBorder="1" applyAlignment="1">
      <alignment horizontal="left" vertical="center" wrapText="1"/>
    </xf>
    <xf numFmtId="14" fontId="55" fillId="0" borderId="25" xfId="0" applyNumberFormat="1" applyFont="1" applyBorder="1" applyAlignment="1" applyProtection="1">
      <alignment horizontal="center" vertical="center"/>
      <protection locked="0"/>
    </xf>
    <xf numFmtId="0" fontId="63" fillId="0" borderId="12" xfId="0" applyFont="1" applyBorder="1" applyAlignment="1">
      <alignment horizontal="centerContinuous"/>
    </xf>
    <xf numFmtId="0" fontId="17" fillId="0" borderId="0" xfId="0" applyFont="1" applyAlignment="1">
      <alignment horizontal="left"/>
    </xf>
    <xf numFmtId="20" fontId="28" fillId="0" borderId="13" xfId="0" applyNumberFormat="1" applyFont="1" applyBorder="1" applyAlignment="1">
      <alignment horizontal="left" wrapText="1"/>
    </xf>
    <xf numFmtId="0" fontId="14" fillId="0" borderId="13" xfId="0" applyFont="1" applyBorder="1" applyAlignment="1" applyProtection="1">
      <alignment horizontal="fill" vertical="center"/>
      <protection hidden="1"/>
    </xf>
    <xf numFmtId="14" fontId="55" fillId="0" borderId="26" xfId="0" applyNumberFormat="1" applyFont="1" applyBorder="1" applyAlignment="1" applyProtection="1">
      <alignment horizontal="center" vertical="center"/>
      <protection locked="0"/>
    </xf>
    <xf numFmtId="166" fontId="21" fillId="6" borderId="9" xfId="4" applyNumberFormat="1" applyFont="1" applyBorder="1" applyAlignment="1" applyProtection="1">
      <alignment horizontal="left" vertical="center"/>
    </xf>
    <xf numFmtId="0" fontId="0" fillId="0" borderId="0" xfId="0" applyAlignment="1">
      <alignment horizontal="left"/>
    </xf>
    <xf numFmtId="0" fontId="15"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6" fillId="0" borderId="8" xfId="0" applyFont="1" applyBorder="1" applyAlignment="1">
      <alignment horizontal="left" vertical="center"/>
    </xf>
    <xf numFmtId="167" fontId="0" fillId="0" borderId="0" xfId="0" applyNumberFormat="1" applyAlignment="1">
      <alignment horizontal="left"/>
    </xf>
    <xf numFmtId="0" fontId="15" fillId="0" borderId="4" xfId="0" applyFont="1" applyBorder="1" applyAlignment="1" applyProtection="1">
      <alignment horizontal="center" vertical="center"/>
      <protection locked="0"/>
    </xf>
    <xf numFmtId="0" fontId="10" fillId="0" borderId="12" xfId="0" applyFont="1" applyBorder="1" applyAlignment="1">
      <alignment horizontal="left"/>
    </xf>
    <xf numFmtId="0" fontId="1" fillId="0" borderId="8" xfId="0" applyFont="1" applyBorder="1"/>
    <xf numFmtId="0" fontId="36"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1" fillId="8" borderId="18" xfId="6" applyFont="1" applyBorder="1" applyAlignment="1" applyProtection="1">
      <alignment horizontal="left" vertical="center"/>
      <protection locked="0"/>
    </xf>
    <xf numFmtId="0" fontId="44" fillId="8" borderId="16" xfId="6" applyFont="1" applyBorder="1" applyAlignment="1" applyProtection="1">
      <alignment horizontal="left" vertical="center"/>
      <protection locked="0"/>
    </xf>
    <xf numFmtId="0" fontId="21" fillId="8" borderId="18" xfId="6" applyFont="1" applyBorder="1" applyAlignment="1" applyProtection="1">
      <alignment horizontal="left" vertical="center"/>
    </xf>
    <xf numFmtId="0" fontId="58" fillId="0" borderId="0" xfId="0" applyFont="1" applyAlignment="1" applyProtection="1">
      <alignment horizontal="justify" vertical="top" wrapText="1"/>
      <protection locked="0"/>
    </xf>
    <xf numFmtId="0" fontId="5" fillId="0" borderId="0" xfId="0" applyFont="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7"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1" fillId="0" borderId="0" xfId="0" applyFont="1" applyAlignment="1" applyProtection="1">
      <alignment horizontal="justify" vertical="top" wrapText="1"/>
      <protection locked="0"/>
    </xf>
    <xf numFmtId="0" fontId="51" fillId="0" borderId="13" xfId="0" applyFont="1" applyBorder="1" applyAlignment="1" applyProtection="1">
      <alignment horizontal="justify" vertical="top" wrapText="1"/>
      <protection locked="0"/>
    </xf>
    <xf numFmtId="0" fontId="38" fillId="0" borderId="12" xfId="0" applyFont="1" applyBorder="1" applyAlignment="1" applyProtection="1">
      <alignment horizontal="center" vertical="center" wrapText="1"/>
      <protection locked="0"/>
    </xf>
    <xf numFmtId="0" fontId="38" fillId="0" borderId="0" xfId="0" applyFont="1" applyAlignment="1" applyProtection="1">
      <alignment horizontal="center" vertical="center" wrapText="1"/>
      <protection locked="0"/>
    </xf>
    <xf numFmtId="0" fontId="38" fillId="0" borderId="13" xfId="0" applyFont="1" applyBorder="1" applyAlignment="1" applyProtection="1">
      <alignment horizontal="center" vertical="center" wrapText="1"/>
      <protection locked="0"/>
    </xf>
    <xf numFmtId="0" fontId="70" fillId="0" borderId="0" xfId="0" applyFont="1" applyAlignment="1" applyProtection="1">
      <alignment horizontal="justify" vertical="top" wrapText="1"/>
      <protection locked="0"/>
    </xf>
    <xf numFmtId="0" fontId="71" fillId="0" borderId="0" xfId="0" applyFont="1" applyAlignment="1" applyProtection="1">
      <alignment horizontal="justify" vertical="top" wrapText="1"/>
      <protection locked="0"/>
    </xf>
    <xf numFmtId="0" fontId="71" fillId="0" borderId="13" xfId="0" applyFont="1" applyBorder="1" applyAlignment="1" applyProtection="1">
      <alignment horizontal="justify" vertical="top" wrapText="1"/>
      <protection locked="0"/>
    </xf>
    <xf numFmtId="0" fontId="71" fillId="0" borderId="3" xfId="0" applyFont="1" applyBorder="1" applyAlignment="1" applyProtection="1">
      <alignment horizontal="justify" vertical="top" wrapText="1"/>
      <protection locked="0"/>
    </xf>
    <xf numFmtId="0" fontId="71" fillId="0" borderId="9" xfId="0" applyFont="1" applyBorder="1" applyAlignment="1" applyProtection="1">
      <alignment horizontal="justify" vertical="top" wrapText="1"/>
      <protection locked="0"/>
    </xf>
    <xf numFmtId="0" fontId="72" fillId="0" borderId="5" xfId="0" applyFont="1" applyBorder="1" applyAlignment="1" applyProtection="1">
      <alignment horizontal="justify" vertical="top" wrapText="1"/>
      <protection locked="0"/>
    </xf>
    <xf numFmtId="0" fontId="73" fillId="0" borderId="5" xfId="0" applyFont="1" applyBorder="1" applyAlignment="1" applyProtection="1">
      <alignment horizontal="justify" vertical="top" wrapText="1"/>
      <protection locked="0"/>
    </xf>
    <xf numFmtId="0" fontId="73" fillId="0" borderId="11" xfId="0" applyFont="1" applyBorder="1" applyAlignment="1" applyProtection="1">
      <alignment horizontal="justify" vertical="top" wrapText="1"/>
      <protection locked="0"/>
    </xf>
    <xf numFmtId="0" fontId="73" fillId="0" borderId="0" xfId="0" applyFont="1" applyAlignment="1" applyProtection="1">
      <alignment horizontal="justify" vertical="top" wrapText="1"/>
      <protection locked="0"/>
    </xf>
    <xf numFmtId="0" fontId="73" fillId="0" borderId="13" xfId="0" applyFont="1" applyBorder="1" applyAlignment="1" applyProtection="1">
      <alignment horizontal="justify" vertical="top" wrapText="1"/>
      <protection locked="0"/>
    </xf>
    <xf numFmtId="0" fontId="73" fillId="0" borderId="3" xfId="0" applyFont="1" applyBorder="1" applyAlignment="1" applyProtection="1">
      <alignment horizontal="justify" vertical="top" wrapText="1"/>
      <protection locked="0"/>
    </xf>
    <xf numFmtId="0" fontId="73"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0" fillId="0" borderId="3" xfId="0" applyFont="1" applyBorder="1" applyAlignment="1" applyProtection="1">
      <alignment horizontal="left" vertical="center"/>
      <protection locked="0"/>
    </xf>
    <xf numFmtId="0" fontId="35" fillId="0" borderId="12" xfId="0" applyFont="1" applyBorder="1" applyAlignment="1" applyProtection="1">
      <alignment horizontal="center" vertical="distributed" wrapText="1"/>
      <protection locked="0"/>
    </xf>
    <xf numFmtId="0" fontId="35" fillId="0" borderId="0" xfId="0" applyFont="1" applyAlignment="1" applyProtection="1">
      <alignment horizontal="center" vertical="distributed" wrapText="1"/>
      <protection locked="0"/>
    </xf>
    <xf numFmtId="0" fontId="35" fillId="0" borderId="13" xfId="0" applyFont="1" applyBorder="1" applyAlignment="1" applyProtection="1">
      <alignment horizontal="center" vertical="distributed" wrapText="1"/>
      <protection locked="0"/>
    </xf>
    <xf numFmtId="0" fontId="50" fillId="0" borderId="4" xfId="0" applyFont="1" applyBorder="1" applyAlignment="1" applyProtection="1">
      <alignment horizontal="left" vertical="center"/>
      <protection locked="0"/>
    </xf>
    <xf numFmtId="0" fontId="69" fillId="0" borderId="0" xfId="0" applyFont="1" applyAlignment="1" applyProtection="1">
      <alignment horizontal="justify" vertical="top" wrapText="1"/>
      <protection locked="0"/>
    </xf>
    <xf numFmtId="0" fontId="40" fillId="0" borderId="0" xfId="0" applyFont="1" applyAlignment="1" applyProtection="1">
      <alignment horizontal="justify" vertical="top" wrapText="1"/>
      <protection locked="0"/>
    </xf>
    <xf numFmtId="0" fontId="40" fillId="0" borderId="13" xfId="0" applyFont="1" applyBorder="1" applyAlignment="1" applyProtection="1">
      <alignment horizontal="justify" vertical="top" wrapText="1"/>
      <protection locked="0"/>
    </xf>
    <xf numFmtId="0" fontId="67" fillId="0" borderId="12" xfId="0" applyFont="1" applyBorder="1" applyAlignment="1" applyProtection="1">
      <alignment horizontal="justify" vertical="top" wrapText="1"/>
      <protection locked="0"/>
    </xf>
    <xf numFmtId="0" fontId="68" fillId="0" borderId="0" xfId="0" applyFont="1" applyAlignment="1">
      <alignment horizontal="justify" vertical="top" wrapText="1"/>
    </xf>
    <xf numFmtId="0" fontId="68" fillId="0" borderId="13" xfId="0" applyFont="1" applyBorder="1" applyAlignment="1">
      <alignment horizontal="justify" vertical="top" wrapText="1"/>
    </xf>
    <xf numFmtId="0" fontId="68" fillId="0" borderId="12" xfId="0" applyFont="1" applyBorder="1" applyAlignment="1">
      <alignment horizontal="justify" vertical="top" wrapText="1"/>
    </xf>
    <xf numFmtId="167" fontId="0" fillId="0" borderId="0" xfId="0" applyNumberFormat="1"/>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174220</xdr:colOff>
      <xdr:row>40</xdr:row>
      <xdr:rowOff>28575</xdr:rowOff>
    </xdr:from>
    <xdr:to>
      <xdr:col>1</xdr:col>
      <xdr:colOff>1086717</xdr:colOff>
      <xdr:row>49</xdr:row>
      <xdr:rowOff>12623</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220" y="7735166"/>
          <a:ext cx="2168065" cy="1620616"/>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4" totalsRowShown="0">
  <sortState ref="A2:C68">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4"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учёта'!$B$21,Расходка[[#This Row],[Наименование расходного материала]])),MAX($I$1:I1)+1,0)</calculatedColumnFormula>
    </tableColumn>
    <tableColumn id="6" name="Индекс6" dataDxfId="23">
      <calculatedColumnFormula>IF(ISNUMBER(SEARCH('Карта учёта'!$B$19,Расходка[[#This Row],[Наименование расходного материала]])),MAX($J$1:J1)+1,0)</calculatedColumnFormula>
    </tableColumn>
    <tableColumn id="7" name="Индекс7" dataDxfId="22">
      <calculatedColumnFormula>IF(ISNUMBER(SEARCH('Карта учёта'!$B$17,Расходка[[#This Row],[Наименование расходного материала]])),MAX($K$1:K1)+1,0)</calculatedColumnFormula>
    </tableColumn>
    <tableColumn id="8" name="Индекс8" dataDxfId="21">
      <calculatedColumnFormula>IF(ISNUMBER(SEARCH('Карта учёта'!$B$18,Расходка[[#This Row],[Наименование расходного материала]])),MAX($L$1:L1)+1,0)</calculatedColumnFormula>
    </tableColumn>
    <tableColumn id="9" name="Индекс9" dataDxfId="20">
      <calculatedColumnFormula>IF(ISNUMBER(SEARCH('Карта учёта'!$B$20,Расходка[[#This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0:B89" totalsRowShown="0">
  <autoFilter ref="A20:B89"/>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tabSelected="1" showWhiteSpace="0" view="pageBreakPreview" zoomScaleNormal="100" zoomScaleSheetLayoutView="100" zoomScalePageLayoutView="90" workbookViewId="0">
      <selection activeCell="M30" sqref="M30"/>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1" t="s">
        <v>213</v>
      </c>
      <c r="B6" s="212"/>
      <c r="C6" s="212"/>
      <c r="D6" s="212"/>
      <c r="E6" s="212"/>
      <c r="F6" s="212"/>
      <c r="G6" s="212"/>
      <c r="H6" s="213"/>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45334</v>
      </c>
      <c r="C8" s="54"/>
      <c r="D8" s="16" t="s">
        <v>186</v>
      </c>
      <c r="E8" s="29"/>
      <c r="F8" s="29"/>
      <c r="G8" s="17"/>
      <c r="H8" s="18"/>
    </row>
    <row r="9" spans="1:8" ht="15.6" customHeight="1">
      <c r="A9" s="21" t="s">
        <v>193</v>
      </c>
      <c r="B9" s="22">
        <v>0.82986111111111116</v>
      </c>
      <c r="C9" s="54"/>
      <c r="D9" s="94" t="s">
        <v>172</v>
      </c>
      <c r="E9" s="92"/>
      <c r="F9" s="92"/>
      <c r="G9" s="23" t="s">
        <v>163</v>
      </c>
      <c r="H9" s="25"/>
    </row>
    <row r="10" spans="1:8" ht="15.6" customHeight="1" thickBot="1">
      <c r="A10" s="83" t="s">
        <v>194</v>
      </c>
      <c r="B10" s="84">
        <v>0.8354166666666667</v>
      </c>
      <c r="C10" s="55"/>
      <c r="D10" s="95" t="s">
        <v>173</v>
      </c>
      <c r="E10" s="93"/>
      <c r="F10" s="93"/>
      <c r="G10" s="24" t="s">
        <v>166</v>
      </c>
      <c r="H10" s="26"/>
    </row>
    <row r="11" spans="1:8" ht="17.25" thickTop="1" thickBot="1">
      <c r="A11" s="89" t="s">
        <v>192</v>
      </c>
      <c r="B11" s="201" t="s">
        <v>524</v>
      </c>
      <c r="C11" s="8"/>
      <c r="D11" s="95" t="s">
        <v>170</v>
      </c>
      <c r="E11" s="93"/>
      <c r="F11" s="93"/>
      <c r="G11" s="24" t="s">
        <v>249</v>
      </c>
      <c r="H11" s="26"/>
    </row>
    <row r="12" spans="1:8" ht="16.5" thickTop="1">
      <c r="A12" s="81" t="s">
        <v>8</v>
      </c>
      <c r="B12" s="82">
        <v>23473</v>
      </c>
      <c r="C12" s="12"/>
      <c r="D12" s="95" t="s">
        <v>303</v>
      </c>
      <c r="E12" s="93"/>
      <c r="F12" s="93"/>
      <c r="G12" s="24" t="s">
        <v>177</v>
      </c>
      <c r="H12" s="26"/>
    </row>
    <row r="13" spans="1:8" ht="15.75">
      <c r="A13" s="15" t="s">
        <v>10</v>
      </c>
      <c r="B13" s="30">
        <f>DATEDIF(B12,B8,"y")</f>
        <v>59</v>
      </c>
      <c r="C13" s="12"/>
      <c r="D13" s="95"/>
      <c r="E13" s="93"/>
      <c r="F13" s="93"/>
      <c r="G13" s="24"/>
      <c r="H13" s="26"/>
    </row>
    <row r="14" spans="1:8" ht="15.75">
      <c r="A14" s="15" t="s">
        <v>12</v>
      </c>
      <c r="B14" s="19">
        <v>4159</v>
      </c>
      <c r="C14" s="12"/>
      <c r="D14" s="36"/>
      <c r="E14" s="36"/>
      <c r="F14" s="36"/>
      <c r="G14" s="37"/>
      <c r="H14" s="56"/>
    </row>
    <row r="15" spans="1:8" ht="15.75">
      <c r="A15" s="15" t="s">
        <v>133</v>
      </c>
      <c r="B15" s="19">
        <v>35</v>
      </c>
      <c r="D15" s="36"/>
      <c r="E15" s="36"/>
      <c r="F15" s="36"/>
      <c r="G15" s="166" t="s">
        <v>401</v>
      </c>
      <c r="H15" s="170" t="s">
        <v>525</v>
      </c>
    </row>
    <row r="16" spans="1:8" ht="15.6" customHeight="1">
      <c r="A16" s="15" t="s">
        <v>106</v>
      </c>
      <c r="B16" s="19" t="s">
        <v>311</v>
      </c>
      <c r="D16" s="36"/>
      <c r="E16" s="36"/>
      <c r="F16" s="36"/>
      <c r="G16" s="167" t="s">
        <v>403</v>
      </c>
      <c r="H16" s="165">
        <v>3190</v>
      </c>
    </row>
    <row r="17" spans="1:8" ht="14.45" customHeight="1">
      <c r="A17" s="40"/>
      <c r="B17" s="31"/>
      <c r="C17" s="31"/>
      <c r="D17" s="88"/>
      <c r="E17" s="88"/>
      <c r="F17" s="88"/>
      <c r="G17" s="168" t="s">
        <v>390</v>
      </c>
      <c r="H17" s="169">
        <f>H16*0.0019</f>
        <v>6.0609999999999999</v>
      </c>
    </row>
    <row r="18" spans="1:8" ht="14.45" customHeight="1">
      <c r="A18" s="57" t="s">
        <v>188</v>
      </c>
      <c r="B18" s="87" t="s">
        <v>522</v>
      </c>
      <c r="D18" s="28" t="s">
        <v>210</v>
      </c>
      <c r="E18" s="28"/>
      <c r="F18" s="28"/>
      <c r="G18" s="85" t="s">
        <v>189</v>
      </c>
      <c r="H18" s="86" t="s">
        <v>518</v>
      </c>
    </row>
    <row r="19" spans="1:8" ht="14.45" customHeight="1">
      <c r="A19" s="40"/>
      <c r="B19" s="31"/>
      <c r="C19" s="31"/>
      <c r="D19" s="34"/>
      <c r="E19" s="34"/>
      <c r="F19" s="34"/>
      <c r="G19" s="31"/>
      <c r="H19" s="41"/>
    </row>
    <row r="20" spans="1:8" ht="14.45" customHeight="1">
      <c r="A20" s="57" t="s">
        <v>212</v>
      </c>
      <c r="B20" s="214" t="s">
        <v>526</v>
      </c>
      <c r="C20" s="215"/>
      <c r="D20" s="215"/>
      <c r="E20" s="215"/>
      <c r="F20" s="215"/>
      <c r="G20" s="215"/>
      <c r="H20" s="216"/>
    </row>
    <row r="21" spans="1:8">
      <c r="A21" s="58"/>
      <c r="B21" s="217"/>
      <c r="C21" s="217"/>
      <c r="D21" s="217"/>
      <c r="E21" s="217"/>
      <c r="F21" s="217"/>
      <c r="G21" s="217"/>
      <c r="H21" s="218"/>
    </row>
    <row r="22" spans="1:8" ht="15.6" customHeight="1">
      <c r="A22" s="59" t="s">
        <v>271</v>
      </c>
      <c r="B22" s="219" t="s">
        <v>527</v>
      </c>
      <c r="C22" s="220"/>
      <c r="D22" s="220"/>
      <c r="E22" s="220"/>
      <c r="F22" s="220"/>
      <c r="G22" s="220"/>
      <c r="H22" s="221"/>
    </row>
    <row r="23" spans="1:8" ht="14.45" customHeight="1">
      <c r="A23" s="38"/>
      <c r="B23" s="222"/>
      <c r="C23" s="222"/>
      <c r="D23" s="222"/>
      <c r="E23" s="222"/>
      <c r="F23" s="222"/>
      <c r="G23" s="222"/>
      <c r="H23" s="223"/>
    </row>
    <row r="24" spans="1:8" ht="14.45" customHeight="1">
      <c r="A24" s="60"/>
      <c r="B24" s="222"/>
      <c r="C24" s="222"/>
      <c r="D24" s="222"/>
      <c r="E24" s="222"/>
      <c r="F24" s="222"/>
      <c r="G24" s="222"/>
      <c r="H24" s="223"/>
    </row>
    <row r="25" spans="1:8" ht="14.45" customHeight="1">
      <c r="A25" s="38"/>
      <c r="B25" s="222"/>
      <c r="C25" s="222"/>
      <c r="D25" s="222"/>
      <c r="E25" s="222"/>
      <c r="F25" s="222"/>
      <c r="G25" s="222"/>
      <c r="H25" s="223"/>
    </row>
    <row r="26" spans="1:8" ht="14.45" customHeight="1">
      <c r="A26" s="40"/>
      <c r="B26" s="224"/>
      <c r="C26" s="224"/>
      <c r="D26" s="224"/>
      <c r="E26" s="224"/>
      <c r="F26" s="224"/>
      <c r="G26" s="224"/>
      <c r="H26" s="225"/>
    </row>
    <row r="27" spans="1:8" ht="14.45" customHeight="1">
      <c r="A27" s="59" t="s">
        <v>272</v>
      </c>
      <c r="B27" s="219" t="s">
        <v>528</v>
      </c>
      <c r="C27" s="220"/>
      <c r="D27" s="220"/>
      <c r="E27" s="220"/>
      <c r="F27" s="220"/>
      <c r="G27" s="220"/>
      <c r="H27" s="221"/>
    </row>
    <row r="28" spans="1:8" ht="15.6" customHeight="1">
      <c r="A28" s="38"/>
      <c r="B28" s="222"/>
      <c r="C28" s="222"/>
      <c r="D28" s="222"/>
      <c r="E28" s="222"/>
      <c r="F28" s="222"/>
      <c r="G28" s="222"/>
      <c r="H28" s="223"/>
    </row>
    <row r="29" spans="1:8" ht="14.45" customHeight="1">
      <c r="A29" s="38"/>
      <c r="B29" s="222"/>
      <c r="C29" s="222"/>
      <c r="D29" s="222"/>
      <c r="E29" s="222"/>
      <c r="F29" s="222"/>
      <c r="G29" s="222"/>
      <c r="H29" s="223"/>
    </row>
    <row r="30" spans="1:8" ht="14.45" customHeight="1">
      <c r="A30" s="32"/>
      <c r="B30" s="222"/>
      <c r="C30" s="222"/>
      <c r="D30" s="222"/>
      <c r="E30" s="222"/>
      <c r="F30" s="222"/>
      <c r="G30" s="222"/>
      <c r="H30" s="223"/>
    </row>
    <row r="31" spans="1:8" ht="14.45" customHeight="1">
      <c r="A31" s="33"/>
      <c r="B31" s="224"/>
      <c r="C31" s="224"/>
      <c r="D31" s="224"/>
      <c r="E31" s="224"/>
      <c r="F31" s="224"/>
      <c r="G31" s="224"/>
      <c r="H31" s="225"/>
    </row>
    <row r="32" spans="1:8" ht="14.45" customHeight="1">
      <c r="A32" s="59" t="s">
        <v>273</v>
      </c>
      <c r="B32" s="219" t="s">
        <v>529</v>
      </c>
      <c r="C32" s="220"/>
      <c r="D32" s="220"/>
      <c r="E32" s="220"/>
      <c r="F32" s="220"/>
      <c r="G32" s="220"/>
      <c r="H32" s="221"/>
    </row>
    <row r="33" spans="1:8" ht="14.45" customHeight="1">
      <c r="A33" s="38"/>
      <c r="B33" s="222"/>
      <c r="C33" s="222"/>
      <c r="D33" s="222"/>
      <c r="E33" s="222"/>
      <c r="F33" s="222"/>
      <c r="G33" s="222"/>
      <c r="H33" s="223"/>
    </row>
    <row r="34" spans="1:8" ht="15.6" customHeight="1">
      <c r="A34" s="38"/>
      <c r="B34" s="222"/>
      <c r="C34" s="222"/>
      <c r="D34" s="222"/>
      <c r="E34" s="222"/>
      <c r="F34" s="222"/>
      <c r="G34" s="222"/>
      <c r="H34" s="223"/>
    </row>
    <row r="35" spans="1:8" ht="14.45" customHeight="1">
      <c r="A35" s="38"/>
      <c r="B35" s="222"/>
      <c r="C35" s="222"/>
      <c r="D35" s="222"/>
      <c r="E35" s="222"/>
      <c r="F35" s="222"/>
      <c r="G35" s="222"/>
      <c r="H35" s="223"/>
    </row>
    <row r="36" spans="1:8" ht="15.6" customHeight="1">
      <c r="A36" s="38"/>
      <c r="B36" s="224"/>
      <c r="C36" s="224"/>
      <c r="D36" s="224"/>
      <c r="E36" s="224"/>
      <c r="F36" s="224"/>
      <c r="G36" s="224"/>
      <c r="H36" s="225"/>
    </row>
    <row r="37" spans="1:8" ht="14.45" customHeight="1">
      <c r="A37" s="38"/>
      <c r="D37" s="207" t="str">
        <f>IF($A$6=Вмешательства!$D$3,Вмешательства!$F$18,"")</f>
        <v/>
      </c>
      <c r="E37" s="207"/>
      <c r="F37" s="119"/>
      <c r="G37" s="119"/>
      <c r="H37" s="123"/>
    </row>
    <row r="38" spans="1:8" ht="14.45" customHeight="1">
      <c r="A38" s="38"/>
      <c r="C38" s="124"/>
      <c r="D38" s="208"/>
      <c r="E38" s="209"/>
      <c r="F38" s="209"/>
      <c r="G38" s="209"/>
      <c r="H38" s="210"/>
    </row>
    <row r="39" spans="1:8" ht="14.45" customHeight="1">
      <c r="A39" s="35"/>
      <c r="B39" s="119"/>
      <c r="C39" s="124"/>
      <c r="D39" s="209"/>
      <c r="E39" s="209"/>
      <c r="F39" s="209"/>
      <c r="G39" s="209"/>
      <c r="H39" s="210"/>
    </row>
    <row r="40" spans="1:8" ht="14.45" customHeight="1">
      <c r="A40" s="35"/>
      <c r="B40" s="119"/>
      <c r="C40" s="124"/>
      <c r="D40" s="209"/>
      <c r="E40" s="209"/>
      <c r="F40" s="209"/>
      <c r="G40" s="209"/>
      <c r="H40" s="210"/>
    </row>
    <row r="41" spans="1:8" ht="14.45" customHeight="1">
      <c r="A41" s="35"/>
      <c r="B41" s="119"/>
      <c r="C41" s="124"/>
      <c r="D41" s="209"/>
      <c r="E41" s="209"/>
      <c r="F41" s="209"/>
      <c r="G41" s="209"/>
      <c r="H41" s="210"/>
    </row>
    <row r="42" spans="1:8" ht="14.45" customHeight="1">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19"/>
      <c r="C43" s="126"/>
      <c r="D43" s="204" t="s">
        <v>523</v>
      </c>
      <c r="E43" s="205"/>
      <c r="F43" s="205"/>
      <c r="G43" s="205"/>
      <c r="H43" s="206"/>
    </row>
    <row r="44" spans="1:8" ht="14.45" customHeight="1">
      <c r="A44" s="35"/>
      <c r="B44" s="119"/>
      <c r="C44" s="126"/>
      <c r="D44" s="205"/>
      <c r="E44" s="205"/>
      <c r="F44" s="205"/>
      <c r="G44" s="205"/>
      <c r="H44" s="206"/>
    </row>
    <row r="45" spans="1:8" ht="14.45" customHeight="1">
      <c r="A45" s="35"/>
      <c r="B45" s="119"/>
      <c r="C45" s="126"/>
      <c r="D45" s="205"/>
      <c r="E45" s="205"/>
      <c r="F45" s="205"/>
      <c r="G45" s="205"/>
      <c r="H45" s="206"/>
    </row>
    <row r="46" spans="1:8">
      <c r="A46" s="35"/>
      <c r="B46" s="119"/>
      <c r="C46" s="126"/>
      <c r="D46" s="205"/>
      <c r="E46" s="205"/>
      <c r="F46" s="205"/>
      <c r="G46" s="205"/>
      <c r="H46" s="206"/>
    </row>
    <row r="47" spans="1:8">
      <c r="A47" s="38"/>
      <c r="C47" s="126"/>
      <c r="D47" s="205"/>
      <c r="E47" s="205"/>
      <c r="F47" s="205"/>
      <c r="G47" s="205"/>
      <c r="H47" s="206"/>
    </row>
    <row r="48" spans="1:8">
      <c r="A48" s="38"/>
      <c r="C48" s="126"/>
      <c r="D48" s="205"/>
      <c r="E48" s="205"/>
      <c r="F48" s="205"/>
      <c r="G48" s="205"/>
      <c r="H48" s="206"/>
    </row>
    <row r="49" spans="1:13">
      <c r="A49" s="40"/>
      <c r="B49" s="31"/>
      <c r="C49" s="127"/>
      <c r="D49" s="205"/>
      <c r="E49" s="205"/>
      <c r="F49" s="205"/>
      <c r="G49" s="205"/>
      <c r="H49" s="206"/>
    </row>
    <row r="50" spans="1:13">
      <c r="A50" s="38"/>
      <c r="D50" s="205"/>
      <c r="E50" s="205"/>
      <c r="F50" s="205"/>
      <c r="G50" s="205"/>
      <c r="H50" s="206"/>
      <c r="M50" t="s">
        <v>211</v>
      </c>
    </row>
    <row r="51" spans="1:13">
      <c r="A51" s="62" t="s">
        <v>199</v>
      </c>
      <c r="B51" s="63" t="s">
        <v>521</v>
      </c>
      <c r="G51" s="74" t="str">
        <f>$G$9</f>
        <v>Щербаков А.С.</v>
      </c>
      <c r="H51" s="64"/>
    </row>
    <row r="52" spans="1:13">
      <c r="A52" s="38"/>
      <c r="H52" s="39"/>
    </row>
    <row r="53" spans="1:13">
      <c r="A53" s="65" t="s">
        <v>206</v>
      </c>
      <c r="B53" s="66" t="s">
        <v>519</v>
      </c>
      <c r="G53" s="74" t="str">
        <f>IF(ISBLANK(H9),"",H9)</f>
        <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showWhiteSpace="0" view="pageBreakPreview" topLeftCell="A7" zoomScale="110" zoomScaleNormal="100" zoomScaleSheetLayoutView="110" zoomScalePageLayoutView="90" workbookViewId="0">
      <selection activeCell="L26" sqref="L26"/>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36" t="s">
        <v>208</v>
      </c>
      <c r="B6" s="237"/>
      <c r="C6" s="237"/>
      <c r="D6" s="237"/>
      <c r="E6" s="237"/>
      <c r="F6" s="237"/>
      <c r="G6" s="237"/>
      <c r="H6" s="238"/>
    </row>
    <row r="7" spans="1:8" ht="21.6" customHeight="1">
      <c r="A7" s="236"/>
      <c r="B7" s="237"/>
      <c r="C7" s="237"/>
      <c r="D7" s="237"/>
      <c r="E7" s="237"/>
      <c r="F7" s="237"/>
      <c r="G7" s="237"/>
      <c r="H7" s="238"/>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5" t="s">
        <v>221</v>
      </c>
      <c r="D8" s="235"/>
      <c r="E8" s="235"/>
      <c r="F8" s="191">
        <v>1</v>
      </c>
      <c r="G8" s="118" t="s">
        <v>309</v>
      </c>
      <c r="H8" s="159"/>
    </row>
    <row r="9" spans="1:8" ht="15.75" thickTop="1">
      <c r="A9" s="52" t="str">
        <f>"Код модели:"&amp;" "&amp;IFERROR(IF(ISBLANK(H8),IF(A6=Вмешательства!D4,INDEX(Код.Модели[#All],MATCH(ЧКВ!B21,Код.Модели[[#All],[Диагноз]],0),MATCH(ЧКВ!C11,Вмешательства!F2:T2,0))," ")," "),"")</f>
        <v>Код модели: 21167</v>
      </c>
      <c r="C9" s="235"/>
      <c r="D9" s="235"/>
      <c r="E9" s="235"/>
      <c r="F9" s="191"/>
      <c r="G9" s="118"/>
      <c r="H9" s="39"/>
    </row>
    <row r="10" spans="1:8">
      <c r="A10" s="52" t="str">
        <f>"Код метода:"&amp;" "&amp;IFERROR(IF(ISBLANK(ЧКВ!H8),IF(A6=Вмешательства!D4,INDEX(Код.Метода[#All],MATCH(ЧКВ!B21,Код.Метода[[#All],[Диагноз]],0),MATCH(ЧКВ!C11,Вмешательства!F12:T12,0))," ")," "),"")</f>
        <v>Код метода: 47</v>
      </c>
      <c r="B10" s="190"/>
      <c r="C10" s="239"/>
      <c r="D10" s="239"/>
      <c r="E10" s="239"/>
      <c r="F10" s="195"/>
      <c r="G10" s="118"/>
      <c r="H10" s="39"/>
    </row>
    <row r="11" spans="1:8">
      <c r="A11" s="193"/>
      <c r="B11" s="198"/>
      <c r="C11" s="194">
        <f>SUM(F8:F10)</f>
        <v>1</v>
      </c>
      <c r="H11" s="39"/>
    </row>
    <row r="12" spans="1:8" ht="18.75">
      <c r="A12" s="75" t="s">
        <v>191</v>
      </c>
      <c r="B12" s="20">
        <f>КАГ!B8</f>
        <v>45334</v>
      </c>
      <c r="C12" s="12"/>
      <c r="D12" s="16" t="s">
        <v>186</v>
      </c>
      <c r="E12" s="29"/>
      <c r="F12" s="29"/>
      <c r="G12" s="17"/>
      <c r="H12" s="18"/>
    </row>
    <row r="13" spans="1:8" ht="15.75">
      <c r="A13" s="76" t="s">
        <v>193</v>
      </c>
      <c r="B13" s="22">
        <v>0.8354166666666667</v>
      </c>
      <c r="C13" s="12"/>
      <c r="D13" s="94" t="s">
        <v>172</v>
      </c>
      <c r="E13" s="92"/>
      <c r="F13" s="92"/>
      <c r="G13" s="79" t="str">
        <f>КАГ!G9</f>
        <v>Щербаков А.С.</v>
      </c>
      <c r="H13" s="90" t="str">
        <f>IF(ISBLANK(КАГ!H9),"",КАГ!H9)</f>
        <v/>
      </c>
    </row>
    <row r="14" spans="1:8" ht="15.75">
      <c r="A14" s="76" t="s">
        <v>194</v>
      </c>
      <c r="B14" s="22">
        <v>0.86805555555555547</v>
      </c>
      <c r="C14" s="12"/>
      <c r="D14" s="95" t="s">
        <v>173</v>
      </c>
      <c r="E14" s="93"/>
      <c r="F14" s="93"/>
      <c r="G14" s="80" t="str">
        <f>КАГ!G10</f>
        <v>Стрельникова И.В.</v>
      </c>
      <c r="H14" s="91" t="str">
        <f>IF(ISBLANK(КАГ!H10),"",КАГ!H10)</f>
        <v/>
      </c>
    </row>
    <row r="15" spans="1:8" ht="16.5" thickBot="1">
      <c r="A15" s="164" t="s">
        <v>389</v>
      </c>
      <c r="B15" s="189">
        <f>IF(B14&lt;B13,B14+1,B14)-B13</f>
        <v>3.2638888888888773E-2</v>
      </c>
      <c r="D15" s="95" t="s">
        <v>170</v>
      </c>
      <c r="E15" s="93"/>
      <c r="F15" s="93"/>
      <c r="G15" s="80" t="str">
        <f>КАГ!G11</f>
        <v>Равинская Я.А.</v>
      </c>
      <c r="H15" s="91" t="str">
        <f>IF(ISBLANK(КАГ!H11),"",КАГ!H11)</f>
        <v/>
      </c>
    </row>
    <row r="16" spans="1:8" ht="17.25" thickTop="1" thickBot="1">
      <c r="A16" s="89" t="s">
        <v>192</v>
      </c>
      <c r="B16" s="203" t="str">
        <f>КАГ!B11</f>
        <v>Галкина И.Н.</v>
      </c>
      <c r="C16" s="247">
        <f>LEN(КАГ!B11)</f>
        <v>12</v>
      </c>
      <c r="D16" s="95" t="s">
        <v>303</v>
      </c>
      <c r="E16" s="93"/>
      <c r="F16" s="93"/>
      <c r="G16" s="80" t="str">
        <f>КАГ!G12</f>
        <v>Мишина Е.А</v>
      </c>
      <c r="H16" s="91" t="str">
        <f>IF(ISBLANK(КАГ!H12),"",КАГ!H12)</f>
        <v/>
      </c>
    </row>
    <row r="17" spans="1:8" ht="16.5" thickTop="1">
      <c r="A17" s="15" t="s">
        <v>8</v>
      </c>
      <c r="B17" s="67">
        <f>КАГ!B12</f>
        <v>23473</v>
      </c>
      <c r="D17" s="95" t="s">
        <v>184</v>
      </c>
      <c r="E17" s="93"/>
      <c r="F17" s="93"/>
      <c r="G17" s="80" t="str">
        <f>IF(ISBLANK(КАГ!G13),"",КАГ!G13)</f>
        <v/>
      </c>
      <c r="H17" s="91" t="str">
        <f>IF(ISBLANK(КАГ!H13),"",КАГ!H13)</f>
        <v/>
      </c>
    </row>
    <row r="18" spans="1:8" ht="15.75">
      <c r="A18" s="15" t="s">
        <v>10</v>
      </c>
      <c r="B18" s="30">
        <f>КАГ!B13</f>
        <v>59</v>
      </c>
      <c r="H18" s="39"/>
    </row>
    <row r="19" spans="1:8" ht="14.45" customHeight="1">
      <c r="A19" s="15" t="s">
        <v>12</v>
      </c>
      <c r="B19" s="68">
        <f>КАГ!B14</f>
        <v>4159</v>
      </c>
      <c r="C19" s="69"/>
      <c r="D19" s="69"/>
      <c r="E19" s="69"/>
      <c r="F19" s="69"/>
      <c r="G19" s="166" t="s">
        <v>401</v>
      </c>
      <c r="H19" s="181" t="str">
        <f>КАГ!H15</f>
        <v>09:24</v>
      </c>
    </row>
    <row r="20" spans="1:8" ht="14.45" customHeight="1">
      <c r="A20" s="15" t="s">
        <v>133</v>
      </c>
      <c r="B20" s="68">
        <f>КАГ!B15</f>
        <v>35</v>
      </c>
      <c r="C20" s="70"/>
      <c r="D20" s="70"/>
      <c r="E20" s="70"/>
      <c r="F20" s="70"/>
      <c r="G20" s="167" t="s">
        <v>403</v>
      </c>
      <c r="H20" s="182">
        <f>КАГ!H16</f>
        <v>3190</v>
      </c>
    </row>
    <row r="21" spans="1:8" ht="14.45" customHeight="1">
      <c r="A21" s="15" t="s">
        <v>106</v>
      </c>
      <c r="B21" s="67" t="str">
        <f>КАГ!B16</f>
        <v>ОКС БПST</v>
      </c>
      <c r="C21" s="70"/>
      <c r="E21" s="71"/>
      <c r="F21" s="71"/>
      <c r="G21" s="168" t="s">
        <v>390</v>
      </c>
      <c r="H21" s="169">
        <f>КАГ!H17</f>
        <v>6.0609999999999999</v>
      </c>
    </row>
    <row r="22" spans="1:8" ht="14.45" customHeight="1">
      <c r="A22" s="57" t="str">
        <f>КАГ!G18</f>
        <v>Доступ:</v>
      </c>
      <c r="B22" s="77" t="str">
        <f>КАГ!H18</f>
        <v>лучевой</v>
      </c>
      <c r="C22" s="70"/>
      <c r="D22" s="70"/>
      <c r="E22" s="70"/>
      <c r="F22" s="70"/>
      <c r="G22" s="185" t="str">
        <f>IF(B21=Вмешательства!F3,Вмешательства!F19,"")</f>
        <v/>
      </c>
      <c r="H22" s="186" t="str">
        <f>IF($B$21=Вмешательства!F3,SUM(КАГ!B9+IF($C$16&lt;=10,0.00555555555555556,IF($C$16=11,0.00694444444444444,IF($C$16=12,0.00833333333333333,IF($C$16=13,0.00972222222222222,IF($C$16=14,0.0111111111111111,IF($C$16=15,0.0111111111111111,IF($C$16=16,0.0118055555555556,IF($C$16&gt;=17,0.0138888888888889))))))))),"")</f>
        <v/>
      </c>
    </row>
    <row r="23" spans="1:8" ht="14.45" customHeight="1">
      <c r="A23" s="65" t="s">
        <v>393</v>
      </c>
      <c r="B23" s="173" t="s">
        <v>392</v>
      </c>
      <c r="C23" s="163"/>
      <c r="D23" s="163"/>
      <c r="E23" s="163"/>
      <c r="F23" s="163"/>
      <c r="H23" s="39"/>
    </row>
    <row r="24" spans="1:8" ht="14.45" customHeight="1">
      <c r="A24" s="184" t="s">
        <v>391</v>
      </c>
      <c r="B24" s="171"/>
      <c r="C24" s="171"/>
      <c r="D24" s="171"/>
      <c r="E24" s="171"/>
      <c r="F24" s="171"/>
      <c r="G24" s="171"/>
      <c r="H24" s="172"/>
    </row>
    <row r="25" spans="1:8" ht="14.45" customHeight="1">
      <c r="A25" s="243" t="s">
        <v>530</v>
      </c>
      <c r="B25" s="244"/>
      <c r="C25" s="244"/>
      <c r="D25" s="244"/>
      <c r="E25" s="244"/>
      <c r="F25" s="244"/>
      <c r="G25" s="244"/>
      <c r="H25" s="245"/>
    </row>
    <row r="26" spans="1:8" ht="14.45" customHeight="1">
      <c r="A26" s="246"/>
      <c r="B26" s="244"/>
      <c r="C26" s="244"/>
      <c r="D26" s="244"/>
      <c r="E26" s="244"/>
      <c r="F26" s="244"/>
      <c r="G26" s="244"/>
      <c r="H26" s="245"/>
    </row>
    <row r="27" spans="1:8" ht="14.45" customHeight="1">
      <c r="A27" s="246"/>
      <c r="B27" s="244"/>
      <c r="C27" s="244"/>
      <c r="D27" s="244"/>
      <c r="E27" s="244"/>
      <c r="F27" s="244"/>
      <c r="G27" s="244"/>
      <c r="H27" s="245"/>
    </row>
    <row r="28" spans="1:8" ht="14.45" customHeight="1">
      <c r="A28" s="246"/>
      <c r="B28" s="244"/>
      <c r="C28" s="244"/>
      <c r="D28" s="244"/>
      <c r="E28" s="244"/>
      <c r="F28" s="244"/>
      <c r="G28" s="244"/>
      <c r="H28" s="245"/>
    </row>
    <row r="29" spans="1:8" ht="14.45" customHeight="1">
      <c r="A29" s="246"/>
      <c r="B29" s="244"/>
      <c r="C29" s="244"/>
      <c r="D29" s="244"/>
      <c r="E29" s="244"/>
      <c r="F29" s="244"/>
      <c r="G29" s="244"/>
      <c r="H29" s="245"/>
    </row>
    <row r="30" spans="1:8" ht="14.45" customHeight="1">
      <c r="A30" s="246"/>
      <c r="B30" s="244"/>
      <c r="C30" s="244"/>
      <c r="D30" s="244"/>
      <c r="E30" s="244"/>
      <c r="F30" s="244"/>
      <c r="G30" s="244"/>
      <c r="H30" s="245"/>
    </row>
    <row r="31" spans="1:8" ht="14.45" customHeight="1">
      <c r="A31" s="246"/>
      <c r="B31" s="244"/>
      <c r="C31" s="244"/>
      <c r="D31" s="244"/>
      <c r="E31" s="244"/>
      <c r="F31" s="244"/>
      <c r="G31" s="244"/>
      <c r="H31" s="245"/>
    </row>
    <row r="32" spans="1:8" ht="14.45" customHeight="1">
      <c r="A32" s="246"/>
      <c r="B32" s="244"/>
      <c r="C32" s="244"/>
      <c r="D32" s="244"/>
      <c r="E32" s="244"/>
      <c r="F32" s="244"/>
      <c r="G32" s="244"/>
      <c r="H32" s="245"/>
    </row>
    <row r="33" spans="1:12" ht="14.45" customHeight="1">
      <c r="A33" s="246"/>
      <c r="B33" s="244"/>
      <c r="C33" s="244"/>
      <c r="D33" s="244"/>
      <c r="E33" s="244"/>
      <c r="F33" s="244"/>
      <c r="G33" s="244"/>
      <c r="H33" s="245"/>
    </row>
    <row r="34" spans="1:12" ht="14.45" customHeight="1">
      <c r="A34" s="246"/>
      <c r="B34" s="244"/>
      <c r="C34" s="244"/>
      <c r="D34" s="244"/>
      <c r="E34" s="244"/>
      <c r="F34" s="244"/>
      <c r="G34" s="244"/>
      <c r="H34" s="245"/>
    </row>
    <row r="35" spans="1:12" ht="14.45" customHeight="1">
      <c r="A35" s="246"/>
      <c r="B35" s="244"/>
      <c r="C35" s="244"/>
      <c r="D35" s="244"/>
      <c r="E35" s="244"/>
      <c r="F35" s="244"/>
      <c r="G35" s="244"/>
      <c r="H35" s="245"/>
    </row>
    <row r="36" spans="1:12" ht="14.45" customHeight="1">
      <c r="A36" s="246"/>
      <c r="B36" s="244"/>
      <c r="C36" s="244"/>
      <c r="D36" s="244"/>
      <c r="E36" s="244"/>
      <c r="F36" s="244"/>
      <c r="G36" s="244"/>
      <c r="H36" s="245"/>
    </row>
    <row r="37" spans="1:12" ht="14.45" customHeight="1">
      <c r="A37" s="246"/>
      <c r="B37" s="244"/>
      <c r="C37" s="244"/>
      <c r="D37" s="244"/>
      <c r="E37" s="244"/>
      <c r="F37" s="244"/>
      <c r="G37" s="244"/>
      <c r="H37" s="245"/>
    </row>
    <row r="38" spans="1:12" ht="14.45" customHeight="1">
      <c r="A38" s="178" t="s">
        <v>397</v>
      </c>
      <c r="B38" s="176"/>
      <c r="C38" s="177"/>
      <c r="D38" s="177"/>
      <c r="E38" s="187" t="str">
        <f>IF(A6=Вмешательства!D4,Вмешательства!V16,IF(ЧКВ!A6=Вмешательства!D36,Вмешательства!V16,"-----"))</f>
        <v>СТЕНТ/Ы</v>
      </c>
      <c r="F38" s="177"/>
      <c r="G38" s="180"/>
    </row>
    <row r="39" spans="1:12" ht="15.75">
      <c r="A39" s="174" t="s">
        <v>394</v>
      </c>
      <c r="B39" s="70" t="s">
        <v>396</v>
      </c>
      <c r="C39" s="121"/>
      <c r="D39" s="122" t="s">
        <v>187</v>
      </c>
      <c r="E39" s="72"/>
      <c r="F39" s="72"/>
      <c r="G39" s="72"/>
      <c r="H39" s="73"/>
    </row>
    <row r="40" spans="1:12" ht="14.45" customHeight="1">
      <c r="A40" s="175" t="s">
        <v>395</v>
      </c>
      <c r="B40" s="179" t="s">
        <v>517</v>
      </c>
      <c r="C40" s="120"/>
      <c r="D40" s="240" t="s">
        <v>520</v>
      </c>
      <c r="E40" s="241"/>
      <c r="F40" s="241"/>
      <c r="G40" s="241"/>
      <c r="H40" s="242"/>
    </row>
    <row r="41" spans="1:12" ht="14.45" customHeight="1">
      <c r="A41" s="32"/>
      <c r="B41" s="28"/>
      <c r="C41" s="120"/>
      <c r="D41" s="241"/>
      <c r="E41" s="241"/>
      <c r="F41" s="241"/>
      <c r="G41" s="241"/>
      <c r="H41" s="242"/>
    </row>
    <row r="42" spans="1:12" ht="14.45" customHeight="1">
      <c r="A42" s="32"/>
      <c r="B42" s="28"/>
      <c r="C42" s="120"/>
      <c r="D42" s="241"/>
      <c r="E42" s="241"/>
      <c r="F42" s="241"/>
      <c r="G42" s="241"/>
      <c r="H42" s="242"/>
    </row>
    <row r="43" spans="1:12" ht="14.45" customHeight="1">
      <c r="A43" s="32"/>
      <c r="B43" s="28"/>
      <c r="C43" s="120"/>
      <c r="D43" s="241"/>
      <c r="E43" s="241"/>
      <c r="F43" s="241"/>
      <c r="G43" s="241"/>
      <c r="H43" s="242"/>
    </row>
    <row r="44" spans="1:12" ht="14.45" customHeight="1">
      <c r="A44" s="32"/>
      <c r="B44" s="28"/>
      <c r="C44" s="120"/>
      <c r="D44" s="241"/>
      <c r="E44" s="241"/>
      <c r="F44" s="241"/>
      <c r="G44" s="241"/>
      <c r="H44" s="242"/>
      <c r="L44" s="161"/>
    </row>
    <row r="45" spans="1:12" ht="14.45" customHeight="1">
      <c r="A45" s="32"/>
      <c r="B45" s="28"/>
      <c r="C45" s="120"/>
      <c r="D45" s="241"/>
      <c r="E45" s="241"/>
      <c r="F45" s="241"/>
      <c r="G45" s="241"/>
      <c r="H45" s="242"/>
    </row>
    <row r="46" spans="1:12" ht="14.45" customHeight="1">
      <c r="A46" s="32"/>
      <c r="B46" s="28"/>
      <c r="C46" s="120"/>
      <c r="D46" s="241"/>
      <c r="E46" s="241"/>
      <c r="F46" s="241"/>
      <c r="G46" s="241"/>
      <c r="H46" s="242"/>
    </row>
    <row r="47" spans="1:12" ht="14.45" customHeight="1">
      <c r="A47" s="38"/>
      <c r="C47" s="120"/>
      <c r="D47" s="241"/>
      <c r="E47" s="241"/>
      <c r="F47" s="241"/>
      <c r="G47" s="241"/>
      <c r="H47" s="242"/>
    </row>
    <row r="48" spans="1:12" ht="14.45" customHeight="1">
      <c r="A48" s="38"/>
      <c r="C48" s="120"/>
      <c r="D48" s="241"/>
      <c r="E48" s="241"/>
      <c r="F48" s="241"/>
      <c r="G48" s="241"/>
      <c r="H48" s="242"/>
    </row>
    <row r="49" spans="1:8" ht="14.45" customHeight="1">
      <c r="A49" s="38"/>
      <c r="C49" s="120"/>
      <c r="D49" s="241"/>
      <c r="E49" s="241"/>
      <c r="F49" s="241"/>
      <c r="G49" s="241"/>
      <c r="H49" s="242"/>
    </row>
    <row r="50" spans="1:8">
      <c r="A50" s="62" t="s">
        <v>199</v>
      </c>
      <c r="B50" s="63" t="s">
        <v>516</v>
      </c>
      <c r="H50" s="39"/>
    </row>
    <row r="51" spans="1:8">
      <c r="A51" s="65" t="s">
        <v>206</v>
      </c>
      <c r="B51" s="66" t="s">
        <v>519</v>
      </c>
      <c r="G51" s="74" t="str">
        <f>$G$13</f>
        <v>Щербаков А.С.</v>
      </c>
      <c r="H51" s="64"/>
    </row>
    <row r="52" spans="1:8">
      <c r="A52" s="226" t="s">
        <v>374</v>
      </c>
      <c r="B52" s="227"/>
      <c r="C52" s="227"/>
      <c r="D52" s="227"/>
      <c r="E52" s="227"/>
      <c r="F52" s="228"/>
      <c r="H52" s="39"/>
    </row>
    <row r="53" spans="1:8" ht="15" customHeight="1">
      <c r="A53" s="229"/>
      <c r="B53" s="230"/>
      <c r="C53" s="230"/>
      <c r="D53" s="230"/>
      <c r="E53" s="230"/>
      <c r="F53" s="231"/>
      <c r="G53" s="74" t="str">
        <f>IF(ISBLANK(H13),"",H13)</f>
        <v/>
      </c>
      <c r="H53" s="64"/>
    </row>
    <row r="54" spans="1:8">
      <c r="A54" s="232"/>
      <c r="B54" s="233"/>
      <c r="C54" s="233"/>
      <c r="D54" s="233"/>
      <c r="E54" s="233"/>
      <c r="F54" s="234"/>
      <c r="G54" s="31"/>
      <c r="H54" s="41"/>
    </row>
  </sheetData>
  <sheetProtection sheet="1" objects="1" scenarios="1" formatCells="0" formatColumns="0"/>
  <mergeCells count="7">
    <mergeCell ref="A52:F54"/>
    <mergeCell ref="C8:E8"/>
    <mergeCell ref="A6:H7"/>
    <mergeCell ref="C9:E9"/>
    <mergeCell ref="C10:E10"/>
    <mergeCell ref="D40:H49"/>
    <mergeCell ref="A25:H37"/>
  </mergeCells>
  <phoneticPr fontId="13" type="noConversion"/>
  <dataValidations count="10">
    <dataValidation type="list" allowBlank="1" showInputMessage="1" showErrorMessage="1" sqref="B40">
      <formula1>"50 ml,100 ml,150 ml,200 ml,250 ml,300 ml,350 ml,400 ml,30 ml,20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50">
      <formula1>"30 ml,100 ml,150 ml,200 ml,250 ml,300 ml,350 ml,400 ml,450 ml,500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G17" sqref="G17"/>
    </sheetView>
  </sheetViews>
  <sheetFormatPr defaultRowHeight="1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27"/>
      <c r="B1" s="112"/>
      <c r="C1" s="112"/>
      <c r="D1" s="113"/>
    </row>
    <row r="2" spans="1:4" ht="19.899999999999999" customHeight="1">
      <c r="A2" s="96" t="s">
        <v>98</v>
      </c>
      <c r="B2" s="97">
        <f>$D$10</f>
        <v>45334</v>
      </c>
      <c r="C2" s="153" t="str">
        <f>IF(ЧКВ!A6=Вмешательства!D4,Вмешательства!F20,IF(ЧКВ!A6=Вмешательства!D36,Вмешательства!F20,Вмешательства!F22))</f>
        <v>ВМП 1</v>
      </c>
      <c r="D2" s="98" t="s">
        <v>99</v>
      </c>
    </row>
    <row r="3" spans="1:4" ht="20.45" customHeight="1">
      <c r="A3" s="99" t="s">
        <v>97</v>
      </c>
      <c r="B3" s="100"/>
      <c r="D3" s="39"/>
    </row>
    <row r="4" spans="1:4" ht="16.5" thickBot="1">
      <c r="A4" s="148" t="s">
        <v>195</v>
      </c>
      <c r="B4" s="149" t="s">
        <v>105</v>
      </c>
      <c r="C4" s="150" t="s">
        <v>15</v>
      </c>
      <c r="D4" s="202" t="str">
        <f>КАГ!$B$11</f>
        <v>Галкина И.Н.</v>
      </c>
    </row>
    <row r="5" spans="1:4" ht="15.75" thickTop="1">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23473</v>
      </c>
    </row>
    <row r="6" spans="1:4" ht="30">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59</v>
      </c>
    </row>
    <row r="7" spans="1:4">
      <c r="A7" s="38"/>
      <c r="C7" s="101" t="s">
        <v>12</v>
      </c>
      <c r="D7" s="103">
        <f>КАГ!$B$14</f>
        <v>4159</v>
      </c>
    </row>
    <row r="8" spans="1:4">
      <c r="A8" s="196" t="str">
        <f>ЧКВ!$A$9</f>
        <v>Код модели: 21167</v>
      </c>
      <c r="B8" s="104"/>
      <c r="C8" s="101" t="s">
        <v>133</v>
      </c>
      <c r="D8" s="103">
        <f>КАГ!$B$15</f>
        <v>35</v>
      </c>
    </row>
    <row r="9" spans="1:4">
      <c r="A9" s="196" t="str">
        <f>ЧКВ!$A$10</f>
        <v>Код метода: 47</v>
      </c>
      <c r="C9" s="105" t="s">
        <v>106</v>
      </c>
      <c r="D9" s="103" t="str">
        <f>КАГ!$B$16</f>
        <v>ОКС БПST</v>
      </c>
    </row>
    <row r="10" spans="1:4">
      <c r="A10" s="197"/>
      <c r="B10" s="31"/>
      <c r="C10" s="151" t="s">
        <v>13</v>
      </c>
      <c r="D10" s="152">
        <f>КАГ!$B$8</f>
        <v>45334</v>
      </c>
    </row>
    <row r="11" spans="1:4">
      <c r="A11" s="27"/>
      <c r="B11" s="112"/>
      <c r="C11" s="112"/>
      <c r="D11" s="113"/>
    </row>
    <row r="12" spans="1:4" ht="18.75" customHeight="1">
      <c r="A12" s="137" t="s">
        <v>335</v>
      </c>
      <c r="B12" s="138" t="s">
        <v>0</v>
      </c>
      <c r="C12" s="138" t="s">
        <v>14</v>
      </c>
      <c r="D12" s="139" t="s">
        <v>100</v>
      </c>
    </row>
    <row r="13" spans="1:4" ht="27.75" customHeight="1">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510</v>
      </c>
      <c r="C13" s="188"/>
      <c r="D13" s="141">
        <v>1</v>
      </c>
    </row>
    <row r="14" spans="1:4" ht="27.75" customHeight="1">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6" t="s">
        <v>325</v>
      </c>
      <c r="C14" s="136"/>
      <c r="D14" s="141">
        <v>1</v>
      </c>
    </row>
    <row r="15" spans="1:4" ht="27.75" customHeight="1">
      <c r="A15"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5" t="s">
        <v>513</v>
      </c>
      <c r="C15" s="136"/>
      <c r="D15" s="141">
        <v>1</v>
      </c>
    </row>
    <row r="16" spans="1:4" ht="27.75" customHeight="1">
      <c r="A16"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55" t="s">
        <v>323</v>
      </c>
      <c r="C16" s="183" t="s">
        <v>470</v>
      </c>
      <c r="D16" s="141">
        <v>1</v>
      </c>
    </row>
    <row r="17" spans="1:4" ht="27.75" customHeight="1">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312</v>
      </c>
      <c r="C17" s="183" t="s">
        <v>531</v>
      </c>
      <c r="D17" s="141">
        <v>1</v>
      </c>
    </row>
    <row r="18" spans="1:4" ht="27.75" customHeight="1">
      <c r="A18" s="142" t="str">
        <f>IFERROR(INDEX(Расходка[[Тип расходного материала ]],MATCH(Карта_Учёта[[#This Row],[Наименование расходного материала]],Расходка[Наименование расходного материала],0)),"")</f>
        <v/>
      </c>
      <c r="B18" s="156"/>
      <c r="C18" s="136"/>
      <c r="D18" s="141"/>
    </row>
    <row r="19" spans="1:4" ht="27.75" customHeight="1">
      <c r="A19" s="142" t="str">
        <f>IFERROR(INDEX(Расходка[[Тип расходного материала ]],MATCH(Карта_Учёта[[#This Row],[Наименование расходного материала]],Расходка[Наименование расходного материала],0)),"")</f>
        <v/>
      </c>
      <c r="B19" s="155"/>
      <c r="C19" s="136"/>
      <c r="D19" s="141"/>
    </row>
    <row r="20" spans="1:4" ht="27.75" customHeight="1">
      <c r="A20" s="142" t="str">
        <f>IFERROR(INDEX(Расходка[[Тип расходного материала ]],MATCH(Карта_Учёта[[#This Row],[Наименование расходного материала]],Расходка[Наименование расходного материала],0)),"")</f>
        <v/>
      </c>
      <c r="B20" s="155"/>
      <c r="C20" s="136"/>
      <c r="D20" s="141"/>
    </row>
    <row r="21" spans="1:4" ht="27.75" customHeight="1">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0" t="s">
        <v>512</v>
      </c>
      <c r="C35" s="13"/>
      <c r="D35" s="39"/>
    </row>
    <row r="36" spans="1:4" ht="19.899999999999999" customHeight="1">
      <c r="A36" s="38"/>
      <c r="D36" s="39"/>
    </row>
    <row r="37" spans="1:4" ht="19.899999999999999" customHeight="1">
      <c r="A37" s="38"/>
      <c r="B37" s="117" t="str">
        <f>"Оператор:"&amp;" "&amp;ЧКВ!$G$13</f>
        <v>Оператор: Щербаков А.С.</v>
      </c>
      <c r="C37" s="13"/>
      <c r="D37" s="39"/>
    </row>
    <row r="38" spans="1:4" ht="19.899999999999999" customHeight="1">
      <c r="A38" s="38"/>
      <c r="D38" s="39"/>
    </row>
    <row r="39" spans="1:4" ht="19.899999999999999" customHeight="1">
      <c r="A39" s="38"/>
      <c r="B39" s="111" t="s">
        <v>371</v>
      </c>
      <c r="C39" s="114"/>
      <c r="D39" s="39"/>
    </row>
    <row r="40" spans="1:4" ht="19.899999999999999" customHeight="1">
      <c r="A40" s="40"/>
      <c r="B40" s="31"/>
      <c r="C40" s="31"/>
      <c r="D40" s="41"/>
    </row>
    <row r="41" spans="1:4" ht="14.45" customHeight="1">
      <c r="C41" s="11"/>
    </row>
  </sheetData>
  <sheetProtection sheet="1" formatCells="0" formatColumns="0" formatRows="0" sort="0" autoFilter="0"/>
  <phoneticPr fontId="13"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howErrorMessage="1" sqref="B39 B35">
      <formula1>INDIRECT("Сотрудники[Должность: ФИО]")</formula1>
    </dataValidation>
    <dataValidation type="list" allowBlank="1" showInputMessage="1" sqref="B21">
      <formula1>ВЫП.Список_Расходка_5</formula1>
    </dataValidation>
    <dataValidation type="list" allowBlank="1" showInputMessage="1" sqref="B19">
      <formula1>ВЫП.Список_Расходка_6</formula1>
    </dataValidation>
    <dataValidation type="list" allowBlank="1" showInputMessage="1" sqref="B17">
      <formula1>ВЫП.Список_Расходка_7</formula1>
    </dataValidation>
    <dataValidation type="list" allowBlank="1" showInputMessage="1" sqref="B18:B19">
      <formula1>ВЫП.Список_Расходка_8</formula1>
    </dataValidation>
    <dataValidation type="list" allowBlank="1" showInputMessage="1" sqref="B20">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 type="list" allowBlank="1" showInputMessage="1" sqref="B16:B20">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5" activePane="bottomLeft" state="frozen"/>
      <selection pane="bottomLeft" activeCell="V26" sqref="V26"/>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488</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487</v>
      </c>
      <c r="G3" s="3" t="s">
        <v>488</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311</v>
      </c>
      <c r="G4" s="3" t="s">
        <v>488</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402</v>
      </c>
      <c r="F5" t="s">
        <v>131</v>
      </c>
      <c r="G5" s="3" t="s">
        <v>488</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488</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488</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488</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488</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489</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487</v>
      </c>
      <c r="G13" s="3" t="s">
        <v>489</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311</v>
      </c>
      <c r="G14" s="3" t="s">
        <v>489</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489</v>
      </c>
      <c r="H15" s="3">
        <v>2633</v>
      </c>
      <c r="I15" s="3">
        <v>46</v>
      </c>
      <c r="J15" s="3">
        <v>45</v>
      </c>
      <c r="K15" s="3">
        <v>45</v>
      </c>
      <c r="L15" s="3">
        <v>45</v>
      </c>
      <c r="M15" s="3">
        <v>45</v>
      </c>
      <c r="N15" s="3">
        <v>45</v>
      </c>
      <c r="O15" s="3">
        <v>45</v>
      </c>
      <c r="P15" s="3">
        <v>45</v>
      </c>
      <c r="Q15" s="3">
        <v>45</v>
      </c>
      <c r="R15" s="3">
        <v>45</v>
      </c>
      <c r="S15" s="3">
        <v>45</v>
      </c>
      <c r="T15" s="3">
        <v>45</v>
      </c>
      <c r="V15" t="s">
        <v>397</v>
      </c>
      <c r="W15" s="12"/>
    </row>
    <row r="16" spans="1:23">
      <c r="A16" s="8">
        <v>15</v>
      </c>
      <c r="B16" s="2" t="s">
        <v>31</v>
      </c>
      <c r="C16" s="8" t="s">
        <v>237</v>
      </c>
      <c r="D16" s="5" t="s">
        <v>32</v>
      </c>
      <c r="V16" t="s">
        <v>398</v>
      </c>
    </row>
    <row r="17" spans="1:23">
      <c r="A17" s="8">
        <v>16</v>
      </c>
      <c r="B17" s="2" t="s">
        <v>33</v>
      </c>
      <c r="C17" s="8" t="s">
        <v>238</v>
      </c>
      <c r="D17" s="5" t="s">
        <v>34</v>
      </c>
      <c r="F17" t="s">
        <v>490</v>
      </c>
      <c r="V17" t="s">
        <v>399</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336</v>
      </c>
      <c r="J21" s="12"/>
    </row>
    <row r="22" spans="1:23" ht="30">
      <c r="A22" s="8">
        <v>21</v>
      </c>
      <c r="B22" s="2" t="s">
        <v>52</v>
      </c>
      <c r="C22" s="8" t="s">
        <v>53</v>
      </c>
      <c r="D22" s="5" t="s">
        <v>54</v>
      </c>
      <c r="F22" t="s">
        <v>337</v>
      </c>
      <c r="J22" s="12"/>
      <c r="U22" s="2"/>
    </row>
    <row r="23" spans="1:23">
      <c r="A23" s="8">
        <v>22</v>
      </c>
      <c r="B23" s="2" t="s">
        <v>55</v>
      </c>
      <c r="C23" s="8" t="s">
        <v>56</v>
      </c>
      <c r="D23" s="5" t="s">
        <v>57</v>
      </c>
      <c r="F23" t="s">
        <v>347</v>
      </c>
      <c r="J23" s="12"/>
      <c r="U23" s="2"/>
    </row>
    <row r="24" spans="1:23">
      <c r="A24" s="8">
        <v>23</v>
      </c>
      <c r="B24" s="2" t="s">
        <v>58</v>
      </c>
      <c r="C24" s="8" t="s">
        <v>59</v>
      </c>
      <c r="D24" s="5" t="s">
        <v>60</v>
      </c>
      <c r="F24" t="s">
        <v>505</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3"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40" zoomScaleNormal="100" workbookViewId="0">
      <selection activeCell="AI41" sqref="AI41"/>
    </sheetView>
  </sheetViews>
  <sheetFormatPr defaultRowHeight="15" outlineLevelCol="1"/>
  <cols>
    <col min="1" max="1" width="3.140625" bestFit="1" customWidth="1"/>
    <col min="2" max="2" width="34.42578125" bestFit="1" customWidth="1"/>
    <col min="3" max="3" width="38"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502</v>
      </c>
      <c r="AN1" s="2" t="s">
        <v>496</v>
      </c>
      <c r="AO1" t="s">
        <v>356</v>
      </c>
      <c r="AP1" s="160"/>
    </row>
    <row r="2" spans="1:42">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учёта'!$B$21,Расходка[[#This Row],[Наименование расходного материала]])),MAX($I$1:I1)+1,0)</f>
        <v>1</v>
      </c>
      <c r="J2" s="116">
        <f>IF(ISNUMBER(SEARCH('Карта учёта'!$B$19,Расходка[[#This Row],[Наименование расходного материала]])),MAX($J$1:J1)+1,0)</f>
        <v>1</v>
      </c>
      <c r="K2" s="116">
        <f>IF(ISNUMBER(SEARCH('Карта учёта'!$B$17,Расходка[[#This Row],[Наименование расходного материала]])),MAX($K$1:K1)+1,0)</f>
        <v>0</v>
      </c>
      <c r="L2" s="116">
        <f>IF(ISNUMBER(SEARCH('Карта учёта'!$B$18,Расходка[[#This Row],[Наименование расходного материала]])),MAX($L$1:L1)+1,0)</f>
        <v>1</v>
      </c>
      <c r="M2" s="116">
        <f>IF(ISNUMBER(SEARCH('Карта учёта'!$B$20,Расходка[[#This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 xml:space="preserve">SCW Индефлятор </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Lepu Medical Balancium</v>
      </c>
      <c r="U2" s="115" t="str">
        <f>IFERROR(INDEX(Расходка[Наименование расходного материала],MATCH(Расходка[[#This Row],[№]],Поиск_расходки[Индекс4],0)),"")</f>
        <v>DES, Resolute Integtity</v>
      </c>
      <c r="V2" s="115" t="str">
        <f>IFERROR(INDEX(Расходка[Наименование расходного материала],MATCH(Расходка[[#This Row],[№]],Поиск_расходки[Индекс5],0)),"")</f>
        <v>Hunter® 6F</v>
      </c>
      <c r="W2" s="115" t="str">
        <f>IFERROR(INDEX(Расходка[Наименование расходного материала],MATCH(Расходка[[#This Row],[№]],Поиск_расходки[Индекс6],0)),"")</f>
        <v>Hunter® 6F</v>
      </c>
      <c r="X2" s="115" t="str">
        <f>IFERROR(INDEX(Расходка[Наименование расходного материала],MATCH(Расходка[[#This Row],[№]],Поиск_расходки[Индекс7],0)),"")</f>
        <v>NC Accuforce</v>
      </c>
      <c r="Y2" s="115" t="str">
        <f>IFERROR(INDEX(Расходка[Наименование расходного материала],MATCH(Расходка[[#This Row],[№]],Поиск_расходки[Индекс8],0)),"")</f>
        <v>Hunter® 6F</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404</v>
      </c>
      <c r="AI2" t="s">
        <v>190</v>
      </c>
      <c r="AJ2" t="s">
        <v>199</v>
      </c>
      <c r="AK2" t="str">
        <f>CONCATENATE(AI2,AJ2)</f>
        <v xml:space="preserve">Контраст: Ультравист 370 </v>
      </c>
      <c r="AM2" s="190">
        <v>155800</v>
      </c>
      <c r="AN2" s="2" t="s">
        <v>309</v>
      </c>
      <c r="AO2" t="s">
        <v>498</v>
      </c>
      <c r="AP2" s="129"/>
    </row>
    <row r="3" spans="1:42">
      <c r="A3">
        <v>2</v>
      </c>
      <c r="B3" t="s">
        <v>94</v>
      </c>
      <c r="C3" t="s">
        <v>373</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учёта'!$B$21,Расходка[[#This Row],[Наименование расходного материала]])),MAX($I$1:I2)+1,0)</f>
        <v>2</v>
      </c>
      <c r="J3" s="116">
        <f>IF(ISNUMBER(SEARCH('Карта учёта'!$B$19,Расходка[[#This Row],[Наименование расходного материала]])),MAX($J$1:J2)+1,0)</f>
        <v>2</v>
      </c>
      <c r="K3" s="116">
        <f>IF(ISNUMBER(SEARCH('Карта учёта'!$B$17,Расходка[[#This Row],[Наименование расходного материала]])),MAX($K$1:K2)+1,0)</f>
        <v>0</v>
      </c>
      <c r="L3" s="116">
        <f>IF(ISNUMBER(SEARCH('Карта учёта'!$B$18,Расходка[[#This Row],[Наименование расходного материала]])),MAX($L$1:L2)+1,0)</f>
        <v>2</v>
      </c>
      <c r="M3" s="116">
        <f>IF(ISNUMBER(SEARCH('Карта учёта'!$B$20,Расходка[[#This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c>
      <c r="U3" s="115" t="str">
        <f>IFERROR(INDEX(Расходка[Наименование расходного материала],MATCH(Расходка[[#This Row],[№]],Поиск_расходки[Индекс4],0)),"")</f>
        <v/>
      </c>
      <c r="V3" s="115" t="str">
        <f>IFERROR(INDEX(Расходка[Наименование расходного материала],MATCH(Расходка[[#This Row],[№]],Поиск_расходки[Индекс5],0)),"")</f>
        <v xml:space="preserve">Medtronic Export Advance </v>
      </c>
      <c r="W3" s="115" t="str">
        <f>IFERROR(INDEX(Расходка[Наименование расходного материала],MATCH(Расходка[[#This Row],[№]],Поиск_расходки[Индекс6],0)),"")</f>
        <v xml:space="preserve">Medtronic Export Advance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xml:space="preserve">Medtronic Export Advance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405</v>
      </c>
      <c r="AI3" t="s">
        <v>190</v>
      </c>
      <c r="AJ3" t="s">
        <v>200</v>
      </c>
      <c r="AK3" t="str">
        <f t="shared" ref="AK3:AK6" si="0">CONCATENATE(AI3,AJ3)</f>
        <v>Контраст: Омнипак 350</v>
      </c>
      <c r="AM3" s="190">
        <v>218190</v>
      </c>
      <c r="AN3" s="2" t="s">
        <v>491</v>
      </c>
      <c r="AO3" t="s">
        <v>499</v>
      </c>
      <c r="AP3" s="130"/>
    </row>
    <row r="4" spans="1:42">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учёта'!$B$21,Расходка[[#This Row],[Наименование расходного материала]])),MAX($I$1:I3)+1,0)</f>
        <v>3</v>
      </c>
      <c r="J4" s="116">
        <f>IF(ISNUMBER(SEARCH('Карта учёта'!$B$19,Расходка[[#This Row],[Наименование расходного материала]])),MAX($J$1:J3)+1,0)</f>
        <v>3</v>
      </c>
      <c r="K4" s="116">
        <f>IF(ISNUMBER(SEARCH('Карта учёта'!$B$17,Расходка[[#This Row],[Наименование расходного материала]])),MAX($K$1:K3)+1,0)</f>
        <v>0</v>
      </c>
      <c r="L4" s="116">
        <f>IF(ISNUMBER(SEARCH('Карта учёта'!$B$18,Расходка[[#This Row],[Наименование расходного материала]])),MAX($L$1:L3)+1,0)</f>
        <v>3</v>
      </c>
      <c r="M4" s="116">
        <f>IF(ISNUMBER(SEARCH('Карта учёта'!$B$20,Расходка[[#This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Euphora</v>
      </c>
      <c r="W4" s="115" t="str">
        <f>IFERROR(INDEX(Расходка[Наименование расходного материала],MATCH(Расходка[[#This Row],[№]],Поиск_расходки[Индекс6],0)),"")</f>
        <v>Euphora</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Euphora</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406</v>
      </c>
      <c r="AI4" t="s">
        <v>190</v>
      </c>
      <c r="AJ4" t="s">
        <v>201</v>
      </c>
      <c r="AK4" t="str">
        <f t="shared" si="0"/>
        <v>Контраст: Оптирей 350</v>
      </c>
      <c r="AM4" s="190">
        <v>337440</v>
      </c>
      <c r="AN4" s="2" t="s">
        <v>504</v>
      </c>
      <c r="AO4" t="s">
        <v>501</v>
      </c>
      <c r="AP4" s="130"/>
    </row>
    <row r="5" spans="1:42">
      <c r="A5">
        <v>4</v>
      </c>
      <c r="B5" t="s">
        <v>5</v>
      </c>
      <c r="C5" t="s">
        <v>312</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учёта'!$B$21,Расходка[[#This Row],[Наименование расходного материала]])),MAX($I$1:I4)+1,0)</f>
        <v>4</v>
      </c>
      <c r="J5" s="116">
        <f>IF(ISNUMBER(SEARCH('Карта учёта'!$B$19,Расходка[[#This Row],[Наименование расходного материала]])),MAX($J$1:J4)+1,0)</f>
        <v>4</v>
      </c>
      <c r="K5" s="116">
        <f>IF(ISNUMBER(SEARCH('Карта учёта'!$B$17,Расходка[[#This Row],[Наименование расходного материала]])),MAX($K$1:K4)+1,0)</f>
        <v>1</v>
      </c>
      <c r="L5" s="116">
        <f>IF(ISNUMBER(SEARCH('Карта учёта'!$B$18,Расходка[[#This Row],[Наименование расходного материала]])),MAX($L$1:L4)+1,0)</f>
        <v>4</v>
      </c>
      <c r="M5" s="116">
        <f>IF(ISNUMBER(SEARCH('Карта учёта'!$B$20,Расходка[[#This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NC Accuforce</v>
      </c>
      <c r="W5" s="115" t="str">
        <f>IFERROR(INDEX(Расходка[Наименование расходного материала],MATCH(Расходка[[#This Row],[№]],Поиск_расходки[Индекс6],0)),"")</f>
        <v>NC Accuforce</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NC Accuforce</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407</v>
      </c>
      <c r="AI5" t="s">
        <v>190</v>
      </c>
      <c r="AJ5" t="s">
        <v>202</v>
      </c>
      <c r="AK5" t="str">
        <f t="shared" si="0"/>
        <v>Контраст: Юнигексол 350</v>
      </c>
      <c r="AM5" s="190">
        <v>136170</v>
      </c>
      <c r="AN5" s="2"/>
      <c r="AO5" t="s">
        <v>500</v>
      </c>
    </row>
    <row r="6" spans="1:42">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учёта'!$B$21,Расходка[[#This Row],[Наименование расходного материала]])),MAX($I$1:I5)+1,0)</f>
        <v>5</v>
      </c>
      <c r="J6" s="116">
        <f>IF(ISNUMBER(SEARCH('Карта учёта'!$B$19,Расходка[[#This Row],[Наименование расходного материала]])),MAX($J$1:J5)+1,0)</f>
        <v>5</v>
      </c>
      <c r="K6" s="116">
        <f>IF(ISNUMBER(SEARCH('Карта учёта'!$B$17,Расходка[[#This Row],[Наименование расходного материала]])),MAX($K$1:K5)+1,0)</f>
        <v>0</v>
      </c>
      <c r="L6" s="116">
        <f>IF(ISNUMBER(SEARCH('Карта учёта'!$B$18,Расходка[[#This Row],[Наименование расходного материала]])),MAX($L$1:L5)+1,0)</f>
        <v>5</v>
      </c>
      <c r="M6" s="116">
        <f>IF(ISNUMBER(SEARCH('Карта учёта'!$B$20,Расходка[[#This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NC Euphora</v>
      </c>
      <c r="W6" s="115" t="str">
        <f>IFERROR(INDEX(Расходка[Наименование расходного материала],MATCH(Расходка[[#This Row],[№]],Поиск_расходки[Индекс6],0)),"")</f>
        <v>NC Euphora</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NC Euphora</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408</v>
      </c>
      <c r="AI6" t="s">
        <v>190</v>
      </c>
      <c r="AJ6" t="s">
        <v>203</v>
      </c>
      <c r="AK6" t="str">
        <f t="shared" si="0"/>
        <v>Контраст: Сканлюкс 370</v>
      </c>
      <c r="AM6" s="190">
        <v>135820</v>
      </c>
      <c r="AN6" s="2"/>
      <c r="AO6" t="s">
        <v>503</v>
      </c>
    </row>
    <row r="7" spans="1:42">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учёта'!$B$21,Расходка[[#This Row],[Наименование расходного материала]])),MAX($I$1:I6)+1,0)</f>
        <v>6</v>
      </c>
      <c r="J7" s="116">
        <f>IF(ISNUMBER(SEARCH('Карта учёта'!$B$19,Расходка[[#This Row],[Наименование расходного материала]])),MAX($J$1:J6)+1,0)</f>
        <v>6</v>
      </c>
      <c r="K7" s="116">
        <f>IF(ISNUMBER(SEARCH('Карта учёта'!$B$17,Расходка[[#This Row],[Наименование расходного материала]])),MAX($K$1:K6)+1,0)</f>
        <v>0</v>
      </c>
      <c r="L7" s="116">
        <f>IF(ISNUMBER(SEARCH('Карта учёта'!$B$18,Расходка[[#This Row],[Наименование расходного материала]])),MAX($L$1:L6)+1,0)</f>
        <v>6</v>
      </c>
      <c r="M7" s="116">
        <f>IF(ISNUMBER(SEARCH('Карта учёта'!$B$20,Расходка[[#This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Sapphire</v>
      </c>
      <c r="W7" s="115" t="str">
        <f>IFERROR(INDEX(Расходка[Наименование расходного материала],MATCH(Расходка[[#This Row],[№]],Поиск_расходки[Индекс6],0)),"")</f>
        <v>Sapphire</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Sapphire</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409</v>
      </c>
      <c r="AI7" t="s">
        <v>190</v>
      </c>
      <c r="AJ7" t="s">
        <v>204</v>
      </c>
      <c r="AK7" t="str">
        <f t="shared" ref="AK7:AK8" si="1">CONCATENATE(AI7,AJ7)</f>
        <v>Контраст: Йогексол 350</v>
      </c>
      <c r="AM7" s="190">
        <v>155760</v>
      </c>
      <c r="AN7" s="2"/>
      <c r="AO7" t="s">
        <v>497</v>
      </c>
    </row>
    <row r="8" spans="1:42">
      <c r="A8">
        <v>7</v>
      </c>
      <c r="B8" t="s">
        <v>5</v>
      </c>
      <c r="C8" t="s">
        <v>313</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учёта'!$B$21,Расходка[[#This Row],[Наименование расходного материала]])),MAX($I$1:I7)+1,0)</f>
        <v>7</v>
      </c>
      <c r="J8" s="116">
        <f>IF(ISNUMBER(SEARCH('Карта учёта'!$B$19,Расходка[[#This Row],[Наименование расходного материала]])),MAX($J$1:J7)+1,0)</f>
        <v>7</v>
      </c>
      <c r="K8" s="116">
        <f>IF(ISNUMBER(SEARCH('Карта учёта'!$B$17,Расходка[[#This Row],[Наименование расходного материала]])),MAX($K$1:K7)+1,0)</f>
        <v>0</v>
      </c>
      <c r="L8" s="116">
        <f>IF(ISNUMBER(SEARCH('Карта учёта'!$B$18,Расходка[[#This Row],[Наименование расходного материала]])),MAX($L$1:L7)+1,0)</f>
        <v>7</v>
      </c>
      <c r="M8" s="116">
        <f>IF(ISNUMBER(SEARCH('Карта учёта'!$B$20,Расходка[[#This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Sprinter Legend</v>
      </c>
      <c r="W8" s="115" t="str">
        <f>IFERROR(INDEX(Расходка[Наименование расходного материала],MATCH(Расходка[[#This Row],[№]],Поиск_расходки[Индекс6],0)),"")</f>
        <v>Sprinter Legend</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Sprinter Legend</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410</v>
      </c>
      <c r="AI8" t="s">
        <v>190</v>
      </c>
      <c r="AJ8" t="s">
        <v>205</v>
      </c>
      <c r="AK8" t="str">
        <f t="shared" si="1"/>
        <v>Контраст: Визипак 320</v>
      </c>
      <c r="AM8" s="190">
        <v>218140</v>
      </c>
      <c r="AN8" s="2"/>
      <c r="AO8" t="s">
        <v>89</v>
      </c>
    </row>
    <row r="9" spans="1:42">
      <c r="A9">
        <v>8</v>
      </c>
      <c r="B9" t="s">
        <v>5</v>
      </c>
      <c r="C9" t="s">
        <v>358</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учёта'!$B$21,Расходка[[#This Row],[Наименование расходного материала]])),MAX($I$1:I8)+1,0)</f>
        <v>8</v>
      </c>
      <c r="J9" s="116">
        <f>IF(ISNUMBER(SEARCH('Карта учёта'!$B$19,Расходка[[#This Row],[Наименование расходного материала]])),MAX($J$1:J8)+1,0)</f>
        <v>8</v>
      </c>
      <c r="K9" s="116">
        <f>IF(ISNUMBER(SEARCH('Карта учёта'!$B$17,Расходка[[#This Row],[Наименование расходного материала]])),MAX($K$1:K8)+1,0)</f>
        <v>0</v>
      </c>
      <c r="L9" s="116">
        <f>IF(ISNUMBER(SEARCH('Карта учёта'!$B$18,Расходка[[#This Row],[Наименование расходного материала]])),MAX($L$1:L8)+1,0)</f>
        <v>8</v>
      </c>
      <c r="M9" s="116">
        <f>IF(ISNUMBER(SEARCH('Карта учёта'!$B$20,Расходка[[#This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SubMarine Rapido, Invatec</v>
      </c>
      <c r="W9" s="115" t="str">
        <f>IFERROR(INDEX(Расходка[Наименование расходного материала],MATCH(Расходка[[#This Row],[№]],Поиск_расходки[Индекс6],0)),"")</f>
        <v>SubMarine Rapido, Invatec</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SubMarine Rapido, Invatec</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411</v>
      </c>
      <c r="AM9" s="190">
        <v>218160</v>
      </c>
      <c r="AN9" s="2"/>
      <c r="AO9" t="s">
        <v>90</v>
      </c>
    </row>
    <row r="10" spans="1:42">
      <c r="A10">
        <v>9</v>
      </c>
      <c r="B10" t="s">
        <v>5</v>
      </c>
      <c r="C10" t="s">
        <v>378</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0</v>
      </c>
      <c r="I10" s="116">
        <f>IF(ISNUMBER(SEARCH('Карта учёта'!$B$21,Расходка[[#This Row],[Наименование расходного материала]])),MAX($I$1:I9)+1,0)</f>
        <v>9</v>
      </c>
      <c r="J10" s="116">
        <f>IF(ISNUMBER(SEARCH('Карта учёта'!$B$19,Расходка[[#This Row],[Наименование расходного материала]])),MAX($J$1:J9)+1,0)</f>
        <v>9</v>
      </c>
      <c r="K10" s="116">
        <f>IF(ISNUMBER(SEARCH('Карта учёта'!$B$17,Расходка[[#This Row],[Наименование расходного материала]])),MAX($K$1:K9)+1,0)</f>
        <v>0</v>
      </c>
      <c r="L10" s="116">
        <f>IF(ISNUMBER(SEARCH('Карта учёта'!$B$18,Расходка[[#This Row],[Наименование расходного материала]])),MAX($L$1:L9)+1,0)</f>
        <v>9</v>
      </c>
      <c r="M10" s="116">
        <f>IF(ISNUMBER(SEARCH('Карта учёта'!$B$20,Расходка[[#This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Колибри</v>
      </c>
      <c r="W10" s="115" t="str">
        <f>IFERROR(INDEX(Расходка[Наименование расходного материала],MATCH(Расходка[[#This Row],[№]],Поиск_расходки[Индекс6],0)),"")</f>
        <v>Колибри</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Колибри</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412</v>
      </c>
      <c r="AI10" t="s">
        <v>355</v>
      </c>
      <c r="AM10" s="190">
        <v>194510</v>
      </c>
      <c r="AN10" s="2"/>
      <c r="AO10" t="s">
        <v>91</v>
      </c>
    </row>
    <row r="11" spans="1:42">
      <c r="A11">
        <v>10</v>
      </c>
      <c r="B11" t="s">
        <v>5</v>
      </c>
      <c r="C11" t="s">
        <v>400</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0</v>
      </c>
      <c r="I11" s="116">
        <f>IF(ISNUMBER(SEARCH('Карта учёта'!$B$21,Расходка[[#This Row],[Наименование расходного материала]])),MAX($I$1:I10)+1,0)</f>
        <v>10</v>
      </c>
      <c r="J11" s="116">
        <f>IF(ISNUMBER(SEARCH('Карта учёта'!$B$19,Расходка[[#This Row],[Наименование расходного материала]])),MAX($J$1:J10)+1,0)</f>
        <v>10</v>
      </c>
      <c r="K11" s="116">
        <f>IF(ISNUMBER(SEARCH('Карта учёта'!$B$17,Расходка[[#This Row],[Наименование расходного материала]])),MAX($K$1:K10)+1,0)</f>
        <v>0</v>
      </c>
      <c r="L11" s="116">
        <f>IF(ISNUMBER(SEARCH('Карта учёта'!$B$18,Расходка[[#This Row],[Наименование расходного материала]])),MAX($L$1:L10)+1,0)</f>
        <v>10</v>
      </c>
      <c r="M11" s="116">
        <f>IF(ISNUMBER(SEARCH('Карта учёта'!$B$20,Расходка[[#This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xml:space="preserve">NC Колибри </v>
      </c>
      <c r="W11" s="115" t="str">
        <f>IFERROR(INDEX(Расходка[Наименование расходного материала],MATCH(Расходка[[#This Row],[№]],Поиск_расходки[Индекс6],0)),"")</f>
        <v xml:space="preserve">NC Колибри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xml:space="preserve">NC Колибри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413</v>
      </c>
      <c r="AI11" t="s">
        <v>4</v>
      </c>
      <c r="AM11" s="190">
        <v>323500</v>
      </c>
      <c r="AN11" s="2"/>
      <c r="AO11" t="s">
        <v>92</v>
      </c>
    </row>
    <row r="12" spans="1:42">
      <c r="A12">
        <v>11</v>
      </c>
      <c r="B12" t="s">
        <v>308</v>
      </c>
      <c r="C12" s="1" t="s">
        <v>333</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учёта'!$B$21,Расходка[[#This Row],[Наименование расходного материала]])),MAX($I$1:I11)+1,0)</f>
        <v>11</v>
      </c>
      <c r="J12" s="116">
        <f>IF(ISNUMBER(SEARCH('Карта учёта'!$B$19,Расходка[[#This Row],[Наименование расходного материала]])),MAX($J$1:J11)+1,0)</f>
        <v>11</v>
      </c>
      <c r="K12" s="116">
        <f>IF(ISNUMBER(SEARCH('Карта учёта'!$B$17,Расходка[[#This Row],[Наименование расходного материала]])),MAX($K$1:K11)+1,0)</f>
        <v>0</v>
      </c>
      <c r="L12" s="116">
        <f>IF(ISNUMBER(SEARCH('Карта учёта'!$B$18,Расходка[[#This Row],[Наименование расходного материала]])),MAX($L$1:L11)+1,0)</f>
        <v>11</v>
      </c>
      <c r="M12" s="116">
        <f>IF(ISNUMBER(SEARCH('Карта учёта'!$B$20,Расходка[[#This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Nitrex 260</v>
      </c>
      <c r="W12" s="115" t="str">
        <f>IFERROR(INDEX(Расходка[Наименование расходного материала],MATCH(Расходка[[#This Row],[№]],Поиск_расходки[Индекс6],0)),"")</f>
        <v>Nitrex 260</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Nitrex 260</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414</v>
      </c>
      <c r="AI12" t="s">
        <v>3</v>
      </c>
      <c r="AM12" s="190">
        <v>323510</v>
      </c>
      <c r="AN12" s="2"/>
      <c r="AO12" t="s">
        <v>93</v>
      </c>
    </row>
    <row r="13" spans="1:42">
      <c r="A13">
        <v>12</v>
      </c>
      <c r="B13" t="s">
        <v>308</v>
      </c>
      <c r="C13" t="s">
        <v>367</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учёта'!$B$21,Расходка[[#This Row],[Наименование расходного материала]])),MAX($I$1:I12)+1,0)</f>
        <v>12</v>
      </c>
      <c r="J13" s="116">
        <f>IF(ISNUMBER(SEARCH('Карта учёта'!$B$19,Расходка[[#This Row],[Наименование расходного материала]])),MAX($J$1:J12)+1,0)</f>
        <v>12</v>
      </c>
      <c r="K13" s="116">
        <f>IF(ISNUMBER(SEARCH('Карта учёта'!$B$17,Расходка[[#This Row],[Наименование расходного материала]])),MAX($K$1:K12)+1,0)</f>
        <v>0</v>
      </c>
      <c r="L13" s="116">
        <f>IF(ISNUMBER(SEARCH('Карта учёта'!$B$18,Расходка[[#This Row],[Наименование расходного материала]])),MAX($L$1:L12)+1,0)</f>
        <v>12</v>
      </c>
      <c r="M13" s="116">
        <f>IF(ISNUMBER(SEARCH('Карта учёта'!$B$20,Расходка[[#This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RadiFocus</v>
      </c>
      <c r="W13" s="115" t="str">
        <f>IFERROR(INDEX(Расходка[Наименование расходного материала],MATCH(Расходка[[#This Row],[№]],Поиск_расходки[Индекс6],0)),"")</f>
        <v>RadiFocus</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RadiFocus</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415</v>
      </c>
      <c r="AI13" t="s">
        <v>6</v>
      </c>
      <c r="AN13" s="2"/>
    </row>
    <row r="14" spans="1:42">
      <c r="A14">
        <v>13</v>
      </c>
      <c r="B14" t="s">
        <v>306</v>
      </c>
      <c r="C14" t="s">
        <v>332</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учёта'!$B$21,Расходка[[#This Row],[Наименование расходного материала]])),MAX($I$1:I13)+1,0)</f>
        <v>13</v>
      </c>
      <c r="J14" s="116">
        <f>IF(ISNUMBER(SEARCH('Карта учёта'!$B$19,Расходка[[#This Row],[Наименование расходного материала]])),MAX($J$1:J13)+1,0)</f>
        <v>13</v>
      </c>
      <c r="K14" s="116">
        <f>IF(ISNUMBER(SEARCH('Карта учёта'!$B$17,Расходка[[#This Row],[Наименование расходного материала]])),MAX($K$1:K13)+1,0)</f>
        <v>0</v>
      </c>
      <c r="L14" s="116">
        <f>IF(ISNUMBER(SEARCH('Карта учёта'!$B$18,Расходка[[#This Row],[Наименование расходного материала]])),MAX($L$1:L13)+1,0)</f>
        <v>13</v>
      </c>
      <c r="M14" s="116">
        <f>IF(ISNUMBER(SEARCH('Карта учёта'!$B$20,Расходка[[#This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BasixCOMPAK</v>
      </c>
      <c r="W14" s="115" t="str">
        <f>IFERROR(INDEX(Расходка[Наименование расходного материала],MATCH(Расходка[[#This Row],[№]],Поиск_расходки[Индекс6],0)),"")</f>
        <v>BasixCOMPAK</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BasixCOMPAK</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494</v>
      </c>
      <c r="AI14" t="s">
        <v>5</v>
      </c>
      <c r="AM14" s="190"/>
      <c r="AN14" s="2"/>
    </row>
    <row r="15" spans="1:42">
      <c r="A15">
        <v>14</v>
      </c>
      <c r="B15" t="s">
        <v>306</v>
      </c>
      <c r="C15" t="s">
        <v>364</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учёта'!$B$21,Расходка[[#This Row],[Наименование расходного материала]])),MAX($I$1:I14)+1,0)</f>
        <v>14</v>
      </c>
      <c r="J15" s="116">
        <f>IF(ISNUMBER(SEARCH('Карта учёта'!$B$19,Расходка[[#This Row],[Наименование расходного материала]])),MAX($J$1:J14)+1,0)</f>
        <v>14</v>
      </c>
      <c r="K15" s="116">
        <f>IF(ISNUMBER(SEARCH('Карта учёта'!$B$17,Расходка[[#This Row],[Наименование расходного материала]])),MAX($K$1:K14)+1,0)</f>
        <v>0</v>
      </c>
      <c r="L15" s="116">
        <f>IF(ISNUMBER(SEARCH('Карта учёта'!$B$18,Расходка[[#This Row],[Наименование расходного материала]])),MAX($L$1:L14)+1,0)</f>
        <v>14</v>
      </c>
      <c r="M15" s="116">
        <f>IF(ISNUMBER(SEARCH('Карта учёта'!$B$20,Расходка[[#This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BasixTOUCH</v>
      </c>
      <c r="W15" s="115" t="str">
        <f>IFERROR(INDEX(Расходка[Наименование расходного материала],MATCH(Расходка[[#This Row],[№]],Поиск_расходки[Индекс6],0)),"")</f>
        <v>BasixTOUCH</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BasixTOUCH</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416</v>
      </c>
      <c r="AI15" t="s">
        <v>94</v>
      </c>
    </row>
    <row r="16" spans="1:42">
      <c r="A16">
        <v>15</v>
      </c>
      <c r="B16" t="s">
        <v>306</v>
      </c>
      <c r="C16" t="s">
        <v>354</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учёта'!$B$21,Расходка[[#This Row],[Наименование расходного материала]])),MAX($I$1:I15)+1,0)</f>
        <v>15</v>
      </c>
      <c r="J16" s="116">
        <f>IF(ISNUMBER(SEARCH('Карта учёта'!$B$19,Расходка[[#This Row],[Наименование расходного материала]])),MAX($J$1:J15)+1,0)</f>
        <v>15</v>
      </c>
      <c r="K16" s="116">
        <f>IF(ISNUMBER(SEARCH('Карта учёта'!$B$17,Расходка[[#This Row],[Наименование расходного материала]])),MAX($K$1:K15)+1,0)</f>
        <v>0</v>
      </c>
      <c r="L16" s="116">
        <f>IF(ISNUMBER(SEARCH('Карта учёта'!$B$18,Расходка[[#This Row],[Наименование расходного материала]])),MAX($L$1:L15)+1,0)</f>
        <v>15</v>
      </c>
      <c r="M16" s="116">
        <f>IF(ISNUMBER(SEARCH('Карта учёта'!$B$20,Расходка[[#This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Dolphin</v>
      </c>
      <c r="W16" s="115" t="str">
        <f>IFERROR(INDEX(Расходка[Наименование расходного материала],MATCH(Расходка[[#This Row],[№]],Поиск_расходки[Индекс6],0)),"")</f>
        <v>Dolphin</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Dolphin</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417</v>
      </c>
      <c r="AI16" t="s">
        <v>306</v>
      </c>
    </row>
    <row r="17" spans="1:35">
      <c r="A17">
        <v>16</v>
      </c>
      <c r="B17" t="s">
        <v>306</v>
      </c>
      <c r="C17" t="s">
        <v>379</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учёта'!$B$21,Расходка[[#This Row],[Наименование расходного материала]])),MAX($I$1:I16)+1,0)</f>
        <v>16</v>
      </c>
      <c r="J17" s="116">
        <f>IF(ISNUMBER(SEARCH('Карта учёта'!$B$19,Расходка[[#This Row],[Наименование расходного материала]])),MAX($J$1:J16)+1,0)</f>
        <v>16</v>
      </c>
      <c r="K17" s="116">
        <f>IF(ISNUMBER(SEARCH('Карта учёта'!$B$17,Расходка[[#This Row],[Наименование расходного материала]])),MAX($K$1:K16)+1,0)</f>
        <v>0</v>
      </c>
      <c r="L17" s="116">
        <f>IF(ISNUMBER(SEARCH('Карта учёта'!$B$18,Расходка[[#This Row],[Наименование расходного материала]])),MAX($L$1:L16)+1,0)</f>
        <v>16</v>
      </c>
      <c r="M17" s="116">
        <f>IF(ISNUMBER(SEARCH('Карта учёта'!$B$20,Расходка[[#This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Lepu Medical</v>
      </c>
      <c r="W17" s="115" t="str">
        <f>IFERROR(INDEX(Расходка[Наименование расходного материала],MATCH(Расходка[[#This Row],[№]],Поиск_расходки[Индекс6],0)),"")</f>
        <v>Lepu Medical</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Lepu Medical</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418</v>
      </c>
      <c r="AI17" t="s">
        <v>206</v>
      </c>
    </row>
    <row r="18" spans="1:35">
      <c r="A18">
        <v>17</v>
      </c>
      <c r="B18" t="s">
        <v>306</v>
      </c>
      <c r="C18" t="s">
        <v>369</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учёта'!$B$21,Расходка[[#This Row],[Наименование расходного материала]])),MAX($I$1:I17)+1,0)</f>
        <v>17</v>
      </c>
      <c r="J18" s="116">
        <f>IF(ISNUMBER(SEARCH('Карта учёта'!$B$19,Расходка[[#This Row],[Наименование расходного материала]])),MAX($J$1:J17)+1,0)</f>
        <v>17</v>
      </c>
      <c r="K18" s="116">
        <f>IF(ISNUMBER(SEARCH('Карта учёта'!$B$17,Расходка[[#This Row],[Наименование расходного материала]])),MAX($K$1:K17)+1,0)</f>
        <v>0</v>
      </c>
      <c r="L18" s="116">
        <f>IF(ISNUMBER(SEARCH('Карта учёта'!$B$18,Расходка[[#This Row],[Наименование расходного материала]])),MAX($L$1:L17)+1,0)</f>
        <v>17</v>
      </c>
      <c r="M18" s="116">
        <f>IF(ISNUMBER(SEARCH('Карта учёта'!$B$20,Расходка[[#This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Perouse Medical FLAMINGO</v>
      </c>
      <c r="W18" s="115" t="str">
        <f>IFERROR(INDEX(Расходка[Наименование расходного материала],MATCH(Расходка[[#This Row],[№]],Поиск_расходки[Индекс6],0)),"")</f>
        <v>Perouse Medical FLAMINGO</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Perouse Medical FLAMINGO</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419</v>
      </c>
      <c r="AI18" t="s">
        <v>95</v>
      </c>
    </row>
    <row r="19" spans="1:35">
      <c r="A19">
        <v>18</v>
      </c>
      <c r="B19" t="s">
        <v>306</v>
      </c>
      <c r="C19" t="s">
        <v>507</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учёта'!$B$21,Расходка[[#This Row],[Наименование расходного материала]])),MAX($I$1:I18)+1,0)</f>
        <v>18</v>
      </c>
      <c r="J19" s="116">
        <f>IF(ISNUMBER(SEARCH('Карта учёта'!$B$19,Расходка[[#This Row],[Наименование расходного материала]])),MAX($J$1:J18)+1,0)</f>
        <v>18</v>
      </c>
      <c r="K19" s="116">
        <f>IF(ISNUMBER(SEARCH('Карта учёта'!$B$17,Расходка[[#This Row],[Наименование расходного материала]])),MAX($K$1:K18)+1,0)</f>
        <v>0</v>
      </c>
      <c r="L19" s="116">
        <f>IF(ISNUMBER(SEARCH('Карта учёта'!$B$18,Расходка[[#This Row],[Наименование расходного материала]])),MAX($L$1:L18)+1,0)</f>
        <v>18</v>
      </c>
      <c r="M19" s="116">
        <f>IF(ISNUMBER(SEARCH('Карта учёта'!$B$20,Расходка[[#This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Demax</v>
      </c>
      <c r="W19" s="115" t="str">
        <f>IFERROR(INDEX(Расходка[Наименование расходного материала],MATCH(Расходка[[#This Row],[№]],Поиск_расходки[Индекс6],0)),"")</f>
        <v>Demax</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Demax</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420</v>
      </c>
      <c r="AI19" t="s">
        <v>301</v>
      </c>
    </row>
    <row r="20" spans="1:35">
      <c r="A20">
        <v>19</v>
      </c>
      <c r="B20" t="s">
        <v>206</v>
      </c>
      <c r="C20" s="1" t="s">
        <v>338</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учёта'!$B$21,Расходка[[#This Row],[Наименование расходного материала]])),MAX($I$1:I19)+1,0)</f>
        <v>19</v>
      </c>
      <c r="J20" s="116">
        <f>IF(ISNUMBER(SEARCH('Карта учёта'!$B$19,Расходка[[#This Row],[Наименование расходного материала]])),MAX($J$1:J19)+1,0)</f>
        <v>19</v>
      </c>
      <c r="K20" s="116">
        <f>IF(ISNUMBER(SEARCH('Карта учёта'!$B$17,Расходка[[#This Row],[Наименование расходного материала]])),MAX($K$1:K19)+1,0)</f>
        <v>0</v>
      </c>
      <c r="L20" s="116">
        <f>IF(ISNUMBER(SEARCH('Карта учёта'!$B$18,Расходка[[#This Row],[Наименование расходного материала]])),MAX($L$1:L19)+1,0)</f>
        <v>19</v>
      </c>
      <c r="M20" s="116">
        <f>IF(ISNUMBER(SEARCH('Карта учёта'!$B$20,Расходка[[#This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Oscor 7F</v>
      </c>
      <c r="W20" s="115" t="str">
        <f>IFERROR(INDEX(Расходка[Наименование расходного материала],MATCH(Расходка[[#This Row],[№]],Поиск_расходки[Индекс6],0)),"")</f>
        <v>Oscor 7F</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Oscor 7F</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421</v>
      </c>
      <c r="AI20" t="s">
        <v>308</v>
      </c>
    </row>
    <row r="21" spans="1:35">
      <c r="A21">
        <v>20</v>
      </c>
      <c r="B21" t="s">
        <v>306</v>
      </c>
      <c r="C21" s="1" t="s">
        <v>509</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учёта'!$B$21,Расходка[[#This Row],[Наименование расходного материала]])),MAX($I$1:I20)+1,0)</f>
        <v>20</v>
      </c>
      <c r="J21" s="116">
        <f>IF(ISNUMBER(SEARCH('Карта учёта'!$B$19,Расходка[[#This Row],[Наименование расходного материала]])),MAX($J$1:J20)+1,0)</f>
        <v>20</v>
      </c>
      <c r="K21" s="116">
        <f>IF(ISNUMBER(SEARCH('Карта учёта'!$B$17,Расходка[[#This Row],[Наименование расходного материала]])),MAX($K$1:K20)+1,0)</f>
        <v>0</v>
      </c>
      <c r="L21" s="116">
        <f>IF(ISNUMBER(SEARCH('Карта учёта'!$B$18,Расходка[[#This Row],[Наименование расходного материала]])),MAX($L$1:L20)+1,0)</f>
        <v>20</v>
      </c>
      <c r="M21" s="116">
        <f>IF(ISNUMBER(SEARCH('Карта учёта'!$B$20,Расходка[[#This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"МИМ". Тюмень</v>
      </c>
      <c r="W21" s="115" t="str">
        <f>IFERROR(INDEX(Расходка[Наименование расходного материала],MATCH(Расходка[[#This Row],[№]],Поиск_расходки[Индекс6],0)),"")</f>
        <v>"МИМ". Тюмень</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"МИМ". Тюмень</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422</v>
      </c>
    </row>
    <row r="22" spans="1:35">
      <c r="A22">
        <v>21</v>
      </c>
      <c r="B22" t="s">
        <v>306</v>
      </c>
      <c r="C22" s="1" t="s">
        <v>510</v>
      </c>
      <c r="E22" s="116">
        <f>IF(ISNUMBER(SEARCH('Карта учёта'!$B$13,Расходка[[#This Row],[Наименование расходного материала]])),MAX($E$1:E21)+1,0)</f>
        <v>1</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учёта'!$B$21,Расходка[[#This Row],[Наименование расходного материала]])),MAX($I$1:I21)+1,0)</f>
        <v>21</v>
      </c>
      <c r="J22" s="116">
        <f>IF(ISNUMBER(SEARCH('Карта учёта'!$B$19,Расходка[[#This Row],[Наименование расходного материала]])),MAX($J$1:J21)+1,0)</f>
        <v>21</v>
      </c>
      <c r="K22" s="116">
        <f>IF(ISNUMBER(SEARCH('Карта учёта'!$B$17,Расходка[[#This Row],[Наименование расходного материала]])),MAX($K$1:K21)+1,0)</f>
        <v>0</v>
      </c>
      <c r="L22" s="116">
        <f>IF(ISNUMBER(SEARCH('Карта учёта'!$B$18,Расходка[[#This Row],[Наименование расходного материала]])),MAX($L$1:L21)+1,0)</f>
        <v>21</v>
      </c>
      <c r="M22" s="116">
        <f>IF(ISNUMBER(SEARCH('Карта учёта'!$B$20,Расходка[[#This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xml:space="preserve">SCW Индефлятор </v>
      </c>
      <c r="W22" s="115" t="str">
        <f>IFERROR(INDEX(Расходка[Наименование расходного материала],MATCH(Расходка[[#This Row],[№]],Поиск_расходки[Индекс6],0)),"")</f>
        <v xml:space="preserve">SCW Индефлятор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xml:space="preserve">SCW Индефлятор </v>
      </c>
      <c r="Z22" s="115" t="str">
        <f>IFERROR(INDEX(Расходка[Наименование расходного материала],MATCH(Расходка[[#This Row],[№]],Поиск_расходки[Индекс9],0)),"")</f>
        <v xml:space="preserve">SCW Индефлятор </v>
      </c>
      <c r="AA22" s="115" t="str">
        <f>IFERROR(INDEX(Расходка[Наименование расходного материала],MATCH(Расходка[[#This Row],[№]],Поиск_расходки[Индекс10],0)),"")</f>
        <v xml:space="preserve">SCW Индефлятор </v>
      </c>
      <c r="AB22" s="115" t="str">
        <f>IFERROR(INDEX(Расходка[Наименование расходного материала],MATCH(Расходка[[#This Row],[№]],Поиск_расходки[Индекс11],0)),"")</f>
        <v xml:space="preserve">SCW Индефлятор </v>
      </c>
      <c r="AC22" s="115" t="str">
        <f>IFERROR(INDEX(Расходка[Наименование расходного материала],MATCH(Расходка[[#This Row],[№]],Поиск_расходки[Индекс12],0)),"")</f>
        <v xml:space="preserve">SCW Индефлятор </v>
      </c>
      <c r="AD22" s="115" t="str">
        <f>IFERROR(INDEX(Расходка[Наименование расходного материала],MATCH(Расходка[[#This Row],[№]],Поиск_расходки[Индекс13],0)),"")</f>
        <v xml:space="preserve">SCW Индефлятор </v>
      </c>
      <c r="AF22" s="4" t="s">
        <v>5</v>
      </c>
      <c r="AG22" s="4" t="s">
        <v>423</v>
      </c>
    </row>
    <row r="23" spans="1:35">
      <c r="A23">
        <v>22</v>
      </c>
      <c r="B23" t="s">
        <v>3</v>
      </c>
      <c r="C23" t="s">
        <v>321</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учёта'!$B$21,Расходка[[#This Row],[Наименование расходного материала]])),MAX($I$1:I22)+1,0)</f>
        <v>22</v>
      </c>
      <c r="J23" s="116">
        <f>IF(ISNUMBER(SEARCH('Карта учёта'!$B$19,Расходка[[#This Row],[Наименование расходного материала]])),MAX($J$1:J22)+1,0)</f>
        <v>22</v>
      </c>
      <c r="K23" s="116">
        <f>IF(ISNUMBER(SEARCH('Карта учёта'!$B$17,Расходка[[#This Row],[Наименование расходного материала]])),MAX($K$1:K22)+1,0)</f>
        <v>0</v>
      </c>
      <c r="L23" s="116">
        <f>IF(ISNUMBER(SEARCH('Карта учёта'!$B$18,Расходка[[#This Row],[Наименование расходного материала]])),MAX($L$1:L22)+1,0)</f>
        <v>22</v>
      </c>
      <c r="M23" s="116">
        <f>IF(ISNUMBER(SEARCH('Карта учёта'!$B$20,Расходка[[#This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Cougar LS Hydro-Track®</v>
      </c>
      <c r="W23" s="115" t="str">
        <f>IFERROR(INDEX(Расходка[Наименование расходного материала],MATCH(Расходка[[#This Row],[№]],Поиск_расходки[Индекс6],0)),"")</f>
        <v>Cougar LS Hydro-Track®</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Cougar LS Hydro-Track®</v>
      </c>
      <c r="Z23" s="115" t="str">
        <f>IFERROR(INDEX(Расходка[Наименование расходного материала],MATCH(Расходка[[#This Row],[№]],Поиск_расходки[Индекс9],0)),"")</f>
        <v>Cougar LS Hydro-Track®</v>
      </c>
      <c r="AA23" s="115" t="str">
        <f>IFERROR(INDEX(Расходка[Наименование расходного материала],MATCH(Расходка[[#This Row],[№]],Поиск_расходки[Индекс10],0)),"")</f>
        <v>Cougar LS Hydro-Track®</v>
      </c>
      <c r="AB23" s="115" t="str">
        <f>IFERROR(INDEX(Расходка[Наименование расходного материала],MATCH(Расходка[[#This Row],[№]],Поиск_расходки[Индекс11],0)),"")</f>
        <v>Cougar LS Hydro-Track®</v>
      </c>
      <c r="AC23" s="115" t="str">
        <f>IFERROR(INDEX(Расходка[Наименование расходного материала],MATCH(Расходка[[#This Row],[№]],Поиск_расходки[Индекс12],0)),"")</f>
        <v>Cougar LS Hydro-Track®</v>
      </c>
      <c r="AD23" s="115" t="str">
        <f>IFERROR(INDEX(Расходка[Наименование расходного материала],MATCH(Расходка[[#This Row],[№]],Поиск_расходки[Индекс13],0)),"")</f>
        <v>Cougar LS Hydro-Track®</v>
      </c>
      <c r="AF23" s="4" t="s">
        <v>5</v>
      </c>
      <c r="AG23" s="4" t="s">
        <v>424</v>
      </c>
    </row>
    <row r="24" spans="1:35">
      <c r="A24">
        <v>23</v>
      </c>
      <c r="B24" t="s">
        <v>3</v>
      </c>
      <c r="C24" t="s">
        <v>342</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учёта'!$B$21,Расходка[[#This Row],[Наименование расходного материала]])),MAX($I$1:I23)+1,0)</f>
        <v>23</v>
      </c>
      <c r="J24" s="116">
        <f>IF(ISNUMBER(SEARCH('Карта учёта'!$B$19,Расходка[[#This Row],[Наименование расходного материала]])),MAX($J$1:J23)+1,0)</f>
        <v>23</v>
      </c>
      <c r="K24" s="116">
        <f>IF(ISNUMBER(SEARCH('Карта учёта'!$B$17,Расходка[[#This Row],[Наименование расходного материала]])),MAX($K$1:K23)+1,0)</f>
        <v>0</v>
      </c>
      <c r="L24" s="116">
        <f>IF(ISNUMBER(SEARCH('Карта учёта'!$B$18,Расходка[[#This Row],[Наименование расходного материала]])),MAX($L$1:L23)+1,0)</f>
        <v>23</v>
      </c>
      <c r="M24" s="116">
        <f>IF(ISNUMBER(SEARCH('Карта учёта'!$B$20,Расходка[[#This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Cougar XT Hydro-Track®</v>
      </c>
      <c r="W24" s="115" t="str">
        <f>IFERROR(INDEX(Расходка[Наименование расходного материала],MATCH(Расходка[[#This Row],[№]],Поиск_расходки[Индекс6],0)),"")</f>
        <v>Cougar XT Hydro-Track®</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Cougar XT Hydro-Track®</v>
      </c>
      <c r="Z24" s="115" t="str">
        <f>IFERROR(INDEX(Расходка[Наименование расходного материала],MATCH(Расходка[[#This Row],[№]],Поиск_расходки[Индекс9],0)),"")</f>
        <v>Cougar XT Hydro-Track®</v>
      </c>
      <c r="AA24" s="115" t="str">
        <f>IFERROR(INDEX(Расходка[Наименование расходного материала],MATCH(Расходка[[#This Row],[№]],Поиск_расходки[Индекс10],0)),"")</f>
        <v>Cougar XT Hydro-Track®</v>
      </c>
      <c r="AB24" s="115" t="str">
        <f>IFERROR(INDEX(Расходка[Наименование расходного материала],MATCH(Расходка[[#This Row],[№]],Поиск_расходки[Индекс11],0)),"")</f>
        <v>Cougar XT Hydro-Track®</v>
      </c>
      <c r="AC24" s="115" t="str">
        <f>IFERROR(INDEX(Расходка[Наименование расходного материала],MATCH(Расходка[[#This Row],[№]],Поиск_расходки[Индекс12],0)),"")</f>
        <v>Cougar XT Hydro-Track®</v>
      </c>
      <c r="AD24" s="115" t="str">
        <f>IFERROR(INDEX(Расходка[Наименование расходного материала],MATCH(Расходка[[#This Row],[№]],Поиск_расходки[Индекс13],0)),"")</f>
        <v>Cougar XT Hydro-Track®</v>
      </c>
      <c r="AF24" s="4" t="s">
        <v>5</v>
      </c>
      <c r="AG24" s="4" t="s">
        <v>425</v>
      </c>
    </row>
    <row r="25" spans="1:35">
      <c r="A25">
        <v>24</v>
      </c>
      <c r="B25" t="s">
        <v>3</v>
      </c>
      <c r="C25" t="s">
        <v>314</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учёта'!$B$21,Расходка[[#This Row],[Наименование расходного материала]])),MAX($I$1:I24)+1,0)</f>
        <v>24</v>
      </c>
      <c r="J25" s="116">
        <f>IF(ISNUMBER(SEARCH('Карта учёта'!$B$19,Расходка[[#This Row],[Наименование расходного материала]])),MAX($J$1:J24)+1,0)</f>
        <v>24</v>
      </c>
      <c r="K25" s="116">
        <f>IF(ISNUMBER(SEARCH('Карта учёта'!$B$17,Расходка[[#This Row],[Наименование расходного материала]])),MAX($K$1:K24)+1,0)</f>
        <v>0</v>
      </c>
      <c r="L25" s="116">
        <f>IF(ISNUMBER(SEARCH('Карта учёта'!$B$18,Расходка[[#This Row],[Наименование расходного материала]])),MAX($L$1:L24)+1,0)</f>
        <v>24</v>
      </c>
      <c r="M25" s="116">
        <f>IF(ISNUMBER(SEARCH('Карта учёта'!$B$20,Расходка[[#This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Fielder</v>
      </c>
      <c r="W25" s="115" t="str">
        <f>IFERROR(INDEX(Расходка[Наименование расходного материала],MATCH(Расходка[[#This Row],[№]],Поиск_расходки[Индекс6],0)),"")</f>
        <v>Fielder</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Fielder</v>
      </c>
      <c r="Z25" s="115" t="str">
        <f>IFERROR(INDEX(Расходка[Наименование расходного материала],MATCH(Расходка[[#This Row],[№]],Поиск_расходки[Индекс9],0)),"")</f>
        <v>Fielder</v>
      </c>
      <c r="AA25" s="115" t="str">
        <f>IFERROR(INDEX(Расходка[Наименование расходного материала],MATCH(Расходка[[#This Row],[№]],Поиск_расходки[Индекс10],0)),"")</f>
        <v>Fielder</v>
      </c>
      <c r="AB25" s="115" t="str">
        <f>IFERROR(INDEX(Расходка[Наименование расходного материала],MATCH(Расходка[[#This Row],[№]],Поиск_расходки[Индекс11],0)),"")</f>
        <v>Fielder</v>
      </c>
      <c r="AC25" s="115" t="str">
        <f>IFERROR(INDEX(Расходка[Наименование расходного материала],MATCH(Расходка[[#This Row],[№]],Поиск_расходки[Индекс12],0)),"")</f>
        <v>Fielder</v>
      </c>
      <c r="AD25" s="115" t="str">
        <f>IFERROR(INDEX(Расходка[Наименование расходного материала],MATCH(Расходка[[#This Row],[№]],Поиск_расходки[Индекс13],0)),"")</f>
        <v>Fielder</v>
      </c>
      <c r="AF25" s="4" t="s">
        <v>5</v>
      </c>
      <c r="AG25" s="4" t="s">
        <v>426</v>
      </c>
    </row>
    <row r="26" spans="1:35">
      <c r="A26">
        <v>25</v>
      </c>
      <c r="B26" t="s">
        <v>3</v>
      </c>
      <c r="C26" t="s">
        <v>376</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учёта'!$B$21,Расходка[[#This Row],[Наименование расходного материала]])),MAX($I$1:I25)+1,0)</f>
        <v>25</v>
      </c>
      <c r="J26" s="116">
        <f>IF(ISNUMBER(SEARCH('Карта учёта'!$B$19,Расходка[[#This Row],[Наименование расходного материала]])),MAX($J$1:J25)+1,0)</f>
        <v>25</v>
      </c>
      <c r="K26" s="116">
        <f>IF(ISNUMBER(SEARCH('Карта учёта'!$B$17,Расходка[[#This Row],[Наименование расходного материала]])),MAX($K$1:K25)+1,0)</f>
        <v>0</v>
      </c>
      <c r="L26" s="116">
        <f>IF(ISNUMBER(SEARCH('Карта учёта'!$B$18,Расходка[[#This Row],[Наименование расходного материала]])),MAX($L$1:L25)+1,0)</f>
        <v>25</v>
      </c>
      <c r="M26" s="116">
        <f>IF(ISNUMBER(SEARCH('Карта учёта'!$B$20,Расходка[[#This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Fielder XT-A</v>
      </c>
      <c r="W26" s="115" t="str">
        <f>IFERROR(INDEX(Расходка[Наименование расходного материала],MATCH(Расходка[[#This Row],[№]],Поиск_расходки[Индекс6],0)),"")</f>
        <v>Fielder XT-A</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Fielder XT-A</v>
      </c>
      <c r="Z26" s="115" t="str">
        <f>IFERROR(INDEX(Расходка[Наименование расходного материала],MATCH(Расходка[[#This Row],[№]],Поиск_расходки[Индекс9],0)),"")</f>
        <v>Fielder XT-A</v>
      </c>
      <c r="AA26" s="115" t="str">
        <f>IFERROR(INDEX(Расходка[Наименование расходного материала],MATCH(Расходка[[#This Row],[№]],Поиск_расходки[Индекс10],0)),"")</f>
        <v>Fielder XT-A</v>
      </c>
      <c r="AB26" s="115" t="str">
        <f>IFERROR(INDEX(Расходка[Наименование расходного материала],MATCH(Расходка[[#This Row],[№]],Поиск_расходки[Индекс11],0)),"")</f>
        <v>Fielder XT-A</v>
      </c>
      <c r="AC26" s="115" t="str">
        <f>IFERROR(INDEX(Расходка[Наименование расходного материала],MATCH(Расходка[[#This Row],[№]],Поиск_расходки[Индекс12],0)),"")</f>
        <v>Fielder XT-A</v>
      </c>
      <c r="AD26" s="115" t="str">
        <f>IFERROR(INDEX(Расходка[Наименование расходного материала],MATCH(Расходка[[#This Row],[№]],Поиск_расходки[Индекс13],0)),"")</f>
        <v>Fielder XT-A</v>
      </c>
      <c r="AF26" s="4" t="s">
        <v>5</v>
      </c>
      <c r="AG26" s="4" t="s">
        <v>427</v>
      </c>
    </row>
    <row r="27" spans="1:35">
      <c r="A27">
        <v>26</v>
      </c>
      <c r="B27" t="s">
        <v>3</v>
      </c>
      <c r="C27" t="s">
        <v>377</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учёта'!$B$21,Расходка[[#This Row],[Наименование расходного материала]])),MAX($I$1:I26)+1,0)</f>
        <v>26</v>
      </c>
      <c r="J27" s="116">
        <f>IF(ISNUMBER(SEARCH('Карта учёта'!$B$19,Расходка[[#This Row],[Наименование расходного материала]])),MAX($J$1:J26)+1,0)</f>
        <v>26</v>
      </c>
      <c r="K27" s="116">
        <f>IF(ISNUMBER(SEARCH('Карта учёта'!$B$17,Расходка[[#This Row],[Наименование расходного материала]])),MAX($K$1:K26)+1,0)</f>
        <v>0</v>
      </c>
      <c r="L27" s="116">
        <f>IF(ISNUMBER(SEARCH('Карта учёта'!$B$18,Расходка[[#This Row],[Наименование расходного материала]])),MAX($L$1:L26)+1,0)</f>
        <v>26</v>
      </c>
      <c r="M27" s="116">
        <f>IF(ISNUMBER(SEARCH('Карта учёта'!$B$20,Расходка[[#This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Fielder XT-R</v>
      </c>
      <c r="W27" s="115" t="str">
        <f>IFERROR(INDEX(Расходка[Наименование расходного материала],MATCH(Расходка[[#This Row],[№]],Поиск_расходки[Индекс6],0)),"")</f>
        <v>Fielder XT-R</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Fielder XT-R</v>
      </c>
      <c r="Z27" s="115" t="str">
        <f>IFERROR(INDEX(Расходка[Наименование расходного материала],MATCH(Расходка[[#This Row],[№]],Поиск_расходки[Индекс9],0)),"")</f>
        <v>Fielder XT-R</v>
      </c>
      <c r="AA27" s="115" t="str">
        <f>IFERROR(INDEX(Расходка[Наименование расходного материала],MATCH(Расходка[[#This Row],[№]],Поиск_расходки[Индекс10],0)),"")</f>
        <v>Fielder XT-R</v>
      </c>
      <c r="AB27" s="115" t="str">
        <f>IFERROR(INDEX(Расходка[Наименование расходного материала],MATCH(Расходка[[#This Row],[№]],Поиск_расходки[Индекс11],0)),"")</f>
        <v>Fielder XT-R</v>
      </c>
      <c r="AC27" s="115" t="str">
        <f>IFERROR(INDEX(Расходка[Наименование расходного материала],MATCH(Расходка[[#This Row],[№]],Поиск_расходки[Индекс12],0)),"")</f>
        <v>Fielder XT-R</v>
      </c>
      <c r="AD27" s="115" t="str">
        <f>IFERROR(INDEX(Расходка[Наименование расходного материала],MATCH(Расходка[[#This Row],[№]],Поиск_расходки[Индекс13],0)),"")</f>
        <v>Fielder XT-R</v>
      </c>
      <c r="AF27" s="4" t="s">
        <v>5</v>
      </c>
      <c r="AG27" s="4" t="s">
        <v>428</v>
      </c>
    </row>
    <row r="28" spans="1:35">
      <c r="A28">
        <v>27</v>
      </c>
      <c r="B28" t="s">
        <v>3</v>
      </c>
      <c r="C28" s="1" t="s">
        <v>359</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учёта'!$B$21,Расходка[[#This Row],[Наименование расходного материала]])),MAX($I$1:I27)+1,0)</f>
        <v>27</v>
      </c>
      <c r="J28" s="116">
        <f>IF(ISNUMBER(SEARCH('Карта учёта'!$B$19,Расходка[[#This Row],[Наименование расходного материала]])),MAX($J$1:J27)+1,0)</f>
        <v>27</v>
      </c>
      <c r="K28" s="116">
        <f>IF(ISNUMBER(SEARCH('Карта учёта'!$B$17,Расходка[[#This Row],[Наименование расходного материала]])),MAX($K$1:K27)+1,0)</f>
        <v>0</v>
      </c>
      <c r="L28" s="116">
        <f>IF(ISNUMBER(SEARCH('Карта учёта'!$B$18,Расходка[[#This Row],[Наименование расходного материала]])),MAX($L$1:L27)+1,0)</f>
        <v>27</v>
      </c>
      <c r="M28" s="116">
        <f>IF(ISNUMBER(SEARCH('Карта учёта'!$B$20,Расходка[[#This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Gaia Second</v>
      </c>
      <c r="W28" s="115" t="str">
        <f>IFERROR(INDEX(Расходка[Наименование расходного материала],MATCH(Расходка[[#This Row],[№]],Поиск_расходки[Индекс6],0)),"")</f>
        <v>Gaia Second</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Gaia Second</v>
      </c>
      <c r="Z28" s="115" t="str">
        <f>IFERROR(INDEX(Расходка[Наименование расходного материала],MATCH(Расходка[[#This Row],[№]],Поиск_расходки[Индекс9],0)),"")</f>
        <v>Gaia Second</v>
      </c>
      <c r="AA28" s="115" t="str">
        <f>IFERROR(INDEX(Расходка[Наименование расходного материала],MATCH(Расходка[[#This Row],[№]],Поиск_расходки[Индекс10],0)),"")</f>
        <v>Gaia Second</v>
      </c>
      <c r="AB28" s="115" t="str">
        <f>IFERROR(INDEX(Расходка[Наименование расходного материала],MATCH(Расходка[[#This Row],[№]],Поиск_расходки[Индекс11],0)),"")</f>
        <v>Gaia Second</v>
      </c>
      <c r="AC28" s="115" t="str">
        <f>IFERROR(INDEX(Расходка[Наименование расходного материала],MATCH(Расходка[[#This Row],[№]],Поиск_расходки[Индекс12],0)),"")</f>
        <v>Gaia Second</v>
      </c>
      <c r="AD28" s="115" t="str">
        <f>IFERROR(INDEX(Расходка[Наименование расходного материала],MATCH(Расходка[[#This Row],[№]],Поиск_расходки[Индекс13],0)),"")</f>
        <v>Gaia Second</v>
      </c>
      <c r="AF28" s="4" t="s">
        <v>5</v>
      </c>
      <c r="AG28" s="4" t="s">
        <v>429</v>
      </c>
    </row>
    <row r="29" spans="1:35">
      <c r="A29">
        <v>28</v>
      </c>
      <c r="B29" t="s">
        <v>3</v>
      </c>
      <c r="C29" s="1" t="s">
        <v>372</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учёта'!$B$21,Расходка[[#This Row],[Наименование расходного материала]])),MAX($I$1:I28)+1,0)</f>
        <v>28</v>
      </c>
      <c r="J29" s="116">
        <f>IF(ISNUMBER(SEARCH('Карта учёта'!$B$19,Расходка[[#This Row],[Наименование расходного материала]])),MAX($J$1:J28)+1,0)</f>
        <v>28</v>
      </c>
      <c r="K29" s="116">
        <f>IF(ISNUMBER(SEARCH('Карта учёта'!$B$17,Расходка[[#This Row],[Наименование расходного материала]])),MAX($K$1:K28)+1,0)</f>
        <v>0</v>
      </c>
      <c r="L29" s="116">
        <f>IF(ISNUMBER(SEARCH('Карта учёта'!$B$18,Расходка[[#This Row],[Наименование расходного материала]])),MAX($L$1:L28)+1,0)</f>
        <v>28</v>
      </c>
      <c r="M29" s="116">
        <f>IF(ISNUMBER(SEARCH('Карта учёта'!$B$20,Расходка[[#This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Gaia Third</v>
      </c>
      <c r="W29" s="115" t="str">
        <f>IFERROR(INDEX(Расходка[Наименование расходного материала],MATCH(Расходка[[#This Row],[№]],Поиск_расходки[Индекс6],0)),"")</f>
        <v>Gaia Third</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Gaia Third</v>
      </c>
      <c r="Z29" s="115" t="str">
        <f>IFERROR(INDEX(Расходка[Наименование расходного материала],MATCH(Расходка[[#This Row],[№]],Поиск_расходки[Индекс9],0)),"")</f>
        <v>Gaia Third</v>
      </c>
      <c r="AA29" s="115" t="str">
        <f>IFERROR(INDEX(Расходка[Наименование расходного материала],MATCH(Расходка[[#This Row],[№]],Поиск_расходки[Индекс10],0)),"")</f>
        <v>Gaia Third</v>
      </c>
      <c r="AB29" s="115" t="str">
        <f>IFERROR(INDEX(Расходка[Наименование расходного материала],MATCH(Расходка[[#This Row],[№]],Поиск_расходки[Индекс11],0)),"")</f>
        <v>Gaia Third</v>
      </c>
      <c r="AC29" s="115" t="str">
        <f>IFERROR(INDEX(Расходка[Наименование расходного материала],MATCH(Расходка[[#This Row],[№]],Поиск_расходки[Индекс12],0)),"")</f>
        <v>Gaia Third</v>
      </c>
      <c r="AD29" s="115" t="str">
        <f>IFERROR(INDEX(Расходка[Наименование расходного материала],MATCH(Расходка[[#This Row],[№]],Поиск_расходки[Индекс13],0)),"")</f>
        <v>Gaia Third</v>
      </c>
      <c r="AF29" s="4" t="s">
        <v>5</v>
      </c>
      <c r="AG29" s="4" t="s">
        <v>430</v>
      </c>
    </row>
    <row r="30" spans="1:35">
      <c r="A30">
        <v>29</v>
      </c>
      <c r="B30" t="s">
        <v>3</v>
      </c>
      <c r="C30" s="1" t="s">
        <v>322</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учёта'!$B$21,Расходка[[#This Row],[Наименование расходного материала]])),MAX($I$1:I29)+1,0)</f>
        <v>29</v>
      </c>
      <c r="J30" s="116">
        <f>IF(ISNUMBER(SEARCH('Карта учёта'!$B$19,Расходка[[#This Row],[Наименование расходного материала]])),MAX($J$1:J29)+1,0)</f>
        <v>29</v>
      </c>
      <c r="K30" s="116">
        <f>IF(ISNUMBER(SEARCH('Карта учёта'!$B$17,Расходка[[#This Row],[Наименование расходного материала]])),MAX($K$1:K29)+1,0)</f>
        <v>0</v>
      </c>
      <c r="L30" s="116">
        <f>IF(ISNUMBER(SEARCH('Карта учёта'!$B$18,Расходка[[#This Row],[Наименование расходного материала]])),MAX($L$1:L29)+1,0)</f>
        <v>29</v>
      </c>
      <c r="M30" s="116">
        <f>IF(ISNUMBER(SEARCH('Карта учёта'!$B$20,Расходка[[#This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Intuition</v>
      </c>
      <c r="W30" s="115" t="str">
        <f>IFERROR(INDEX(Расходка[Наименование расходного материала],MATCH(Расходка[[#This Row],[№]],Поиск_расходки[Индекс6],0)),"")</f>
        <v>Intuition</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Intuition</v>
      </c>
      <c r="Z30" s="115" t="str">
        <f>IFERROR(INDEX(Расходка[Наименование расходного материала],MATCH(Расходка[[#This Row],[№]],Поиск_расходки[Индекс9],0)),"")</f>
        <v>Intuition</v>
      </c>
      <c r="AA30" s="115" t="str">
        <f>IFERROR(INDEX(Расходка[Наименование расходного материала],MATCH(Расходка[[#This Row],[№]],Поиск_расходки[Индекс10],0)),"")</f>
        <v>Intuition</v>
      </c>
      <c r="AB30" s="115" t="str">
        <f>IFERROR(INDEX(Расходка[Наименование расходного материала],MATCH(Расходка[[#This Row],[№]],Поиск_расходки[Индекс11],0)),"")</f>
        <v>Intuition</v>
      </c>
      <c r="AC30" s="115" t="str">
        <f>IFERROR(INDEX(Расходка[Наименование расходного материала],MATCH(Расходка[[#This Row],[№]],Поиск_расходки[Индекс12],0)),"")</f>
        <v>Intuition</v>
      </c>
      <c r="AD30" s="115" t="str">
        <f>IFERROR(INDEX(Расходка[Наименование расходного материала],MATCH(Расходка[[#This Row],[№]],Поиск_расходки[Индекс13],0)),"")</f>
        <v>Intuition</v>
      </c>
      <c r="AF30" s="4" t="s">
        <v>5</v>
      </c>
      <c r="AG30" s="4" t="s">
        <v>492</v>
      </c>
    </row>
    <row r="31" spans="1:35">
      <c r="A31">
        <v>30</v>
      </c>
      <c r="B31" t="s">
        <v>3</v>
      </c>
      <c r="C31" t="s">
        <v>318</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учёта'!$B$21,Расходка[[#This Row],[Наименование расходного материала]])),MAX($I$1:I30)+1,0)</f>
        <v>30</v>
      </c>
      <c r="J31" s="116">
        <f>IF(ISNUMBER(SEARCH('Карта учёта'!$B$19,Расходка[[#This Row],[Наименование расходного материала]])),MAX($J$1:J30)+1,0)</f>
        <v>30</v>
      </c>
      <c r="K31" s="116">
        <f>IF(ISNUMBER(SEARCH('Карта учёта'!$B$17,Расходка[[#This Row],[Наименование расходного материала]])),MAX($K$1:K30)+1,0)</f>
        <v>0</v>
      </c>
      <c r="L31" s="116">
        <f>IF(ISNUMBER(SEARCH('Карта учёта'!$B$18,Расходка[[#This Row],[Наименование расходного материала]])),MAX($L$1:L30)+1,0)</f>
        <v>30</v>
      </c>
      <c r="M31" s="116">
        <f>IF(ISNUMBER(SEARCH('Карта учёта'!$B$20,Расходка[[#This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ProVia 3 Hydro-Track®</v>
      </c>
      <c r="W31" s="115" t="str">
        <f>IFERROR(INDEX(Расходка[Наименование расходного материала],MATCH(Расходка[[#This Row],[№]],Поиск_расходки[Индекс6],0)),"")</f>
        <v>ProVia 3 Hydro-Track®</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ProVia 3 Hydro-Track®</v>
      </c>
      <c r="Z31" s="115" t="str">
        <f>IFERROR(INDEX(Расходка[Наименование расходного материала],MATCH(Расходка[[#This Row],[№]],Поиск_расходки[Индекс9],0)),"")</f>
        <v>ProVia 3 Hydro-Track®</v>
      </c>
      <c r="AA31" s="115" t="str">
        <f>IFERROR(INDEX(Расходка[Наименование расходного материала],MATCH(Расходка[[#This Row],[№]],Поиск_расходки[Индекс10],0)),"")</f>
        <v>ProVia 3 Hydro-Track®</v>
      </c>
      <c r="AB31" s="115" t="str">
        <f>IFERROR(INDEX(Расходка[Наименование расходного материала],MATCH(Расходка[[#This Row],[№]],Поиск_расходки[Индекс11],0)),"")</f>
        <v>ProVia 3 Hydro-Track®</v>
      </c>
      <c r="AC31" s="115" t="str">
        <f>IFERROR(INDEX(Расходка[Наименование расходного материала],MATCH(Расходка[[#This Row],[№]],Поиск_расходки[Индекс12],0)),"")</f>
        <v>ProVia 3 Hydro-Track®</v>
      </c>
      <c r="AD31" s="115" t="str">
        <f>IFERROR(INDEX(Расходка[Наименование расходного материала],MATCH(Расходка[[#This Row],[№]],Поиск_расходки[Индекс13],0)),"")</f>
        <v>ProVia 3 Hydro-Track®</v>
      </c>
      <c r="AF31" s="4" t="s">
        <v>5</v>
      </c>
      <c r="AG31" s="4" t="s">
        <v>431</v>
      </c>
    </row>
    <row r="32" spans="1:35">
      <c r="A32">
        <v>31</v>
      </c>
      <c r="B32" t="s">
        <v>3</v>
      </c>
      <c r="C32" t="s">
        <v>319</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учёта'!$B$21,Расходка[[#This Row],[Наименование расходного материала]])),MAX($I$1:I31)+1,0)</f>
        <v>31</v>
      </c>
      <c r="J32" s="116">
        <f>IF(ISNUMBER(SEARCH('Карта учёта'!$B$19,Расходка[[#This Row],[Наименование расходного материала]])),MAX($J$1:J31)+1,0)</f>
        <v>31</v>
      </c>
      <c r="K32" s="116">
        <f>IF(ISNUMBER(SEARCH('Карта учёта'!$B$17,Расходка[[#This Row],[Наименование расходного материала]])),MAX($K$1:K31)+1,0)</f>
        <v>0</v>
      </c>
      <c r="L32" s="116">
        <f>IF(ISNUMBER(SEARCH('Карта учёта'!$B$18,Расходка[[#This Row],[Наименование расходного материала]])),MAX($L$1:L31)+1,0)</f>
        <v>31</v>
      </c>
      <c r="M32" s="116">
        <f>IF(ISNUMBER(SEARCH('Карта учёта'!$B$20,Расходка[[#This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ProVia 6 Hydro-Track®</v>
      </c>
      <c r="W32" s="115" t="str">
        <f>IFERROR(INDEX(Расходка[Наименование расходного материала],MATCH(Расходка[[#This Row],[№]],Поиск_расходки[Индекс6],0)),"")</f>
        <v>ProVia 6 Hydro-Track®</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ProVia 6 Hydro-Track®</v>
      </c>
      <c r="Z32" s="115" t="str">
        <f>IFERROR(INDEX(Расходка[Наименование расходного материала],MATCH(Расходка[[#This Row],[№]],Поиск_расходки[Индекс9],0)),"")</f>
        <v>ProVia 6 Hydro-Track®</v>
      </c>
      <c r="AA32" s="115" t="str">
        <f>IFERROR(INDEX(Расходка[Наименование расходного материала],MATCH(Расходка[[#This Row],[№]],Поиск_расходки[Индекс10],0)),"")</f>
        <v>ProVia 6 Hydro-Track®</v>
      </c>
      <c r="AB32" s="115" t="str">
        <f>IFERROR(INDEX(Расходка[Наименование расходного материала],MATCH(Расходка[[#This Row],[№]],Поиск_расходки[Индекс11],0)),"")</f>
        <v>ProVia 6 Hydro-Track®</v>
      </c>
      <c r="AC32" s="115" t="str">
        <f>IFERROR(INDEX(Расходка[Наименование расходного материала],MATCH(Расходка[[#This Row],[№]],Поиск_расходки[Индекс12],0)),"")</f>
        <v>ProVia 6 Hydro-Track®</v>
      </c>
      <c r="AD32" s="115" t="str">
        <f>IFERROR(INDEX(Расходка[Наименование расходного материала],MATCH(Расходка[[#This Row],[№]],Поиск_расходки[Индекс13],0)),"")</f>
        <v>ProVia 6 Hydro-Track®</v>
      </c>
      <c r="AF32" s="4" t="s">
        <v>5</v>
      </c>
      <c r="AG32" s="4" t="s">
        <v>432</v>
      </c>
    </row>
    <row r="33" spans="1:33">
      <c r="A33">
        <v>32</v>
      </c>
      <c r="B33" t="s">
        <v>3</v>
      </c>
      <c r="C33" t="s">
        <v>320</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учёта'!$B$21,Расходка[[#This Row],[Наименование расходного материала]])),MAX($I$1:I32)+1,0)</f>
        <v>32</v>
      </c>
      <c r="J33" s="116">
        <f>IF(ISNUMBER(SEARCH('Карта учёта'!$B$19,Расходка[[#This Row],[Наименование расходного материала]])),MAX($J$1:J32)+1,0)</f>
        <v>32</v>
      </c>
      <c r="K33" s="116">
        <f>IF(ISNUMBER(SEARCH('Карта учёта'!$B$17,Расходка[[#This Row],[Наименование расходного материала]])),MAX($K$1:K32)+1,0)</f>
        <v>0</v>
      </c>
      <c r="L33" s="116">
        <f>IF(ISNUMBER(SEARCH('Карта учёта'!$B$18,Расходка[[#This Row],[Наименование расходного материала]])),MAX($L$1:L32)+1,0)</f>
        <v>32</v>
      </c>
      <c r="M33" s="116">
        <f>IF(ISNUMBER(SEARCH('Карта учёта'!$B$20,Расходка[[#This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ProVia 9 Hydro-Track®</v>
      </c>
      <c r="W33" s="115" t="str">
        <f>IFERROR(INDEX(Расходка[Наименование расходного материала],MATCH(Расходка[[#This Row],[№]],Поиск_расходки[Индекс6],0)),"")</f>
        <v>ProVia 9 Hydro-Track®</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ProVia 9 Hydro-Track®</v>
      </c>
      <c r="Z33" s="115" t="str">
        <f>IFERROR(INDEX(Расходка[Наименование расходного материала],MATCH(Расходка[[#This Row],[№]],Поиск_расходки[Индекс9],0)),"")</f>
        <v>ProVia 9 Hydro-Track®</v>
      </c>
      <c r="AA33" s="115" t="str">
        <f>IFERROR(INDEX(Расходка[Наименование расходного материала],MATCH(Расходка[[#This Row],[№]],Поиск_расходки[Индекс10],0)),"")</f>
        <v>ProVia 9 Hydro-Track®</v>
      </c>
      <c r="AB33" s="115" t="str">
        <f>IFERROR(INDEX(Расходка[Наименование расходного материала],MATCH(Расходка[[#This Row],[№]],Поиск_расходки[Индекс11],0)),"")</f>
        <v>ProVia 9 Hydro-Track®</v>
      </c>
      <c r="AC33" s="115" t="str">
        <f>IFERROR(INDEX(Расходка[Наименование расходного материала],MATCH(Расходка[[#This Row],[№]],Поиск_расходки[Индекс12],0)),"")</f>
        <v>ProVia 9 Hydro-Track®</v>
      </c>
      <c r="AD33" s="115" t="str">
        <f>IFERROR(INDEX(Расходка[Наименование расходного материала],MATCH(Расходка[[#This Row],[№]],Поиск_расходки[Индекс13],0)),"")</f>
        <v>ProVia 9 Hydro-Track®</v>
      </c>
      <c r="AF33" s="4" t="s">
        <v>5</v>
      </c>
      <c r="AG33" s="4" t="s">
        <v>433</v>
      </c>
    </row>
    <row r="34" spans="1:33">
      <c r="A34">
        <v>33</v>
      </c>
      <c r="B34" t="s">
        <v>3</v>
      </c>
      <c r="C34" t="s">
        <v>316</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учёта'!$B$21,Расходка[[#This Row],[Наименование расходного материала]])),MAX($I$1:I33)+1,0)</f>
        <v>33</v>
      </c>
      <c r="J34" s="116">
        <f>IF(ISNUMBER(SEARCH('Карта учёта'!$B$19,Расходка[[#This Row],[Наименование расходного материала]])),MAX($J$1:J33)+1,0)</f>
        <v>33</v>
      </c>
      <c r="K34" s="116">
        <f>IF(ISNUMBER(SEARCH('Карта учёта'!$B$17,Расходка[[#This Row],[Наименование расходного материала]])),MAX($K$1:K33)+1,0)</f>
        <v>0</v>
      </c>
      <c r="L34" s="116">
        <f>IF(ISNUMBER(SEARCH('Карта учёта'!$B$18,Расходка[[#This Row],[Наименование расходного материала]])),MAX($L$1:L33)+1,0)</f>
        <v>33</v>
      </c>
      <c r="M34" s="116">
        <f>IF(ISNUMBER(SEARCH('Карта учёта'!$B$20,Расходка[[#This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Rinato</v>
      </c>
      <c r="W34" s="115" t="str">
        <f>IFERROR(INDEX(Расходка[Наименование расходного материала],MATCH(Расходка[[#This Row],[№]],Поиск_расходки[Индекс6],0)),"")</f>
        <v>Rinato</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Rinato</v>
      </c>
      <c r="Z34" s="115" t="str">
        <f>IFERROR(INDEX(Расходка[Наименование расходного материала],MATCH(Расходка[[#This Row],[№]],Поиск_расходки[Индекс9],0)),"")</f>
        <v>Rinato</v>
      </c>
      <c r="AA34" s="115" t="str">
        <f>IFERROR(INDEX(Расходка[Наименование расходного материала],MATCH(Расходка[[#This Row],[№]],Поиск_расходки[Индекс10],0)),"")</f>
        <v>Rinato</v>
      </c>
      <c r="AB34" s="115" t="str">
        <f>IFERROR(INDEX(Расходка[Наименование расходного материала],MATCH(Расходка[[#This Row],[№]],Поиск_расходки[Индекс11],0)),"")</f>
        <v>Rinato</v>
      </c>
      <c r="AC34" s="115" t="str">
        <f>IFERROR(INDEX(Расходка[Наименование расходного материала],MATCH(Расходка[[#This Row],[№]],Поиск_расходки[Индекс12],0)),"")</f>
        <v>Rinato</v>
      </c>
      <c r="AD34" s="115" t="str">
        <f>IFERROR(INDEX(Расходка[Наименование расходного материала],MATCH(Расходка[[#This Row],[№]],Поиск_расходки[Индекс13],0)),"")</f>
        <v>Rinato</v>
      </c>
      <c r="AF34" s="4" t="s">
        <v>5</v>
      </c>
      <c r="AG34" s="4" t="s">
        <v>434</v>
      </c>
    </row>
    <row r="35" spans="1:33">
      <c r="A35">
        <v>34</v>
      </c>
      <c r="B35" t="s">
        <v>3</v>
      </c>
      <c r="C35" s="1" t="s">
        <v>353</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учёта'!$B$21,Расходка[[#This Row],[Наименование расходного материала]])),MAX($I$1:I34)+1,0)</f>
        <v>34</v>
      </c>
      <c r="J35" s="116">
        <f>IF(ISNUMBER(SEARCH('Карта учёта'!$B$19,Расходка[[#This Row],[Наименование расходного материала]])),MAX($J$1:J34)+1,0)</f>
        <v>34</v>
      </c>
      <c r="K35" s="116">
        <f>IF(ISNUMBER(SEARCH('Карта учёта'!$B$17,Расходка[[#This Row],[Наименование расходного материала]])),MAX($K$1:K34)+1,0)</f>
        <v>0</v>
      </c>
      <c r="L35" s="116">
        <f>IF(ISNUMBER(SEARCH('Карта учёта'!$B$18,Расходка[[#This Row],[Наименование расходного материала]])),MAX($L$1:L34)+1,0)</f>
        <v>34</v>
      </c>
      <c r="M35" s="116">
        <f>IF(ISNUMBER(SEARCH('Карта учёта'!$B$20,Расходка[[#This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Runthrough NS (Floppy)</v>
      </c>
      <c r="W35" s="115" t="str">
        <f>IFERROR(INDEX(Расходка[Наименование расходного материала],MATCH(Расходка[[#This Row],[№]],Поиск_расходки[Индекс6],0)),"")</f>
        <v>Runthrough NS (Floppy)</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Runthrough NS (Floppy)</v>
      </c>
      <c r="Z35" s="115" t="str">
        <f>IFERROR(INDEX(Расходка[Наименование расходного материала],MATCH(Расходка[[#This Row],[№]],Поиск_расходки[Индекс9],0)),"")</f>
        <v>Runthrough NS (Floppy)</v>
      </c>
      <c r="AA35" s="115" t="str">
        <f>IFERROR(INDEX(Расходка[Наименование расходного материала],MATCH(Расходка[[#This Row],[№]],Поиск_расходки[Индекс10],0)),"")</f>
        <v>Runthrough NS (Floppy)</v>
      </c>
      <c r="AB35" s="115" t="str">
        <f>IFERROR(INDEX(Расходка[Наименование расходного материала],MATCH(Расходка[[#This Row],[№]],Поиск_расходки[Индекс11],0)),"")</f>
        <v>Runthrough NS (Floppy)</v>
      </c>
      <c r="AC35" s="115" t="str">
        <f>IFERROR(INDEX(Расходка[Наименование расходного материала],MATCH(Расходка[[#This Row],[№]],Поиск_расходки[Индекс12],0)),"")</f>
        <v>Runthrough NS (Floppy)</v>
      </c>
      <c r="AD35" s="115" t="str">
        <f>IFERROR(INDEX(Расходка[Наименование расходного материала],MATCH(Расходка[[#This Row],[№]],Поиск_расходки[Индекс13],0)),"")</f>
        <v>Runthrough NS (Floppy)</v>
      </c>
      <c r="AF35" s="4" t="s">
        <v>5</v>
      </c>
      <c r="AG35" s="4" t="s">
        <v>493</v>
      </c>
    </row>
    <row r="36" spans="1:33">
      <c r="A36">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учёта'!$B$21,Расходка[[#This Row],[Наименование расходного материала]])),MAX($I$1:I35)+1,0)</f>
        <v>35</v>
      </c>
      <c r="J36" s="116">
        <f>IF(ISNUMBER(SEARCH('Карта учёта'!$B$19,Расходка[[#This Row],[Наименование расходного материала]])),MAX($J$1:J35)+1,0)</f>
        <v>35</v>
      </c>
      <c r="K36" s="116">
        <f>IF(ISNUMBER(SEARCH('Карта учёта'!$B$17,Расходка[[#This Row],[Наименование расходного материала]])),MAX($K$1:K35)+1,0)</f>
        <v>0</v>
      </c>
      <c r="L36" s="116">
        <f>IF(ISNUMBER(SEARCH('Карта учёта'!$B$18,Расходка[[#This Row],[Наименование расходного материала]])),MAX($L$1:L35)+1,0)</f>
        <v>35</v>
      </c>
      <c r="M36" s="116">
        <f>IF(ISNUMBER(SEARCH('Карта учёта'!$B$20,Расходка[[#This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Runthrough NS Hypercoat</v>
      </c>
      <c r="W36" s="115" t="str">
        <f>IFERROR(INDEX(Расходка[Наименование расходного материала],MATCH(Расходка[[#This Row],[№]],Поиск_расходки[Индекс6],0)),"")</f>
        <v>Runthrough NS Hypercoat</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Runthrough NS Hypercoat</v>
      </c>
      <c r="Z36" s="115" t="str">
        <f>IFERROR(INDEX(Расходка[Наименование расходного материала],MATCH(Расходка[[#This Row],[№]],Поиск_расходки[Индекс9],0)),"")</f>
        <v>Runthrough NS Hypercoat</v>
      </c>
      <c r="AA36" s="115" t="str">
        <f>IFERROR(INDEX(Расходка[Наименование расходного материала],MATCH(Расходка[[#This Row],[№]],Поиск_расходки[Индекс10],0)),"")</f>
        <v>Runthrough NS Hypercoat</v>
      </c>
      <c r="AB36" s="115" t="str">
        <f>IFERROR(INDEX(Расходка[Наименование расходного материала],MATCH(Расходка[[#This Row],[№]],Поиск_расходки[Индекс11],0)),"")</f>
        <v>Runthrough NS Hypercoat</v>
      </c>
      <c r="AC36" s="115" t="str">
        <f>IFERROR(INDEX(Расходка[Наименование расходного материала],MATCH(Расходка[[#This Row],[№]],Поиск_расходки[Индекс12],0)),"")</f>
        <v>Runthrough NS Hypercoat</v>
      </c>
      <c r="AD36" s="115" t="str">
        <f>IFERROR(INDEX(Расходка[Наименование расходного материала],MATCH(Расходка[[#This Row],[№]],Поиск_расходки[Индекс13],0)),"")</f>
        <v>Runthrough NS Hypercoat</v>
      </c>
      <c r="AF36" s="4" t="s">
        <v>5</v>
      </c>
      <c r="AG36" s="4" t="s">
        <v>435</v>
      </c>
    </row>
    <row r="37" spans="1:33">
      <c r="A37">
        <v>36</v>
      </c>
      <c r="B37" t="s">
        <v>3</v>
      </c>
      <c r="C37" s="1" t="s">
        <v>360</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учёта'!$B$21,Расходка[[#This Row],[Наименование расходного материала]])),MAX($I$1:I36)+1,0)</f>
        <v>36</v>
      </c>
      <c r="J37" s="116">
        <f>IF(ISNUMBER(SEARCH('Карта учёта'!$B$19,Расходка[[#This Row],[Наименование расходного материала]])),MAX($J$1:J36)+1,0)</f>
        <v>36</v>
      </c>
      <c r="K37" s="116">
        <f>IF(ISNUMBER(SEARCH('Карта учёта'!$B$17,Расходка[[#This Row],[Наименование расходного материала]])),MAX($K$1:K36)+1,0)</f>
        <v>0</v>
      </c>
      <c r="L37" s="116">
        <f>IF(ISNUMBER(SEARCH('Карта учёта'!$B$18,Расходка[[#This Row],[Наименование расходного материала]])),MAX($L$1:L36)+1,0)</f>
        <v>36</v>
      </c>
      <c r="M37" s="116">
        <f>IF(ISNUMBER(SEARCH('Карта учёта'!$B$20,Расходка[[#This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Runthrough NS Intermediate</v>
      </c>
      <c r="W37" s="115" t="str">
        <f>IFERROR(INDEX(Расходка[Наименование расходного материала],MATCH(Расходка[[#This Row],[№]],Поиск_расходки[Индекс6],0)),"")</f>
        <v>Runthrough NS Intermediate</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Runthrough NS Intermediate</v>
      </c>
      <c r="Z37" s="115" t="str">
        <f>IFERROR(INDEX(Расходка[Наименование расходного материала],MATCH(Расходка[[#This Row],[№]],Поиск_расходки[Индекс9],0)),"")</f>
        <v>Runthrough NS Intermediate</v>
      </c>
      <c r="AA37" s="115" t="str">
        <f>IFERROR(INDEX(Расходка[Наименование расходного материала],MATCH(Расходка[[#This Row],[№]],Поиск_расходки[Индекс10],0)),"")</f>
        <v>Runthrough NS Intermediate</v>
      </c>
      <c r="AB37" s="115" t="str">
        <f>IFERROR(INDEX(Расходка[Наименование расходного материала],MATCH(Расходка[[#This Row],[№]],Поиск_расходки[Индекс11],0)),"")</f>
        <v>Runthrough NS Intermediate</v>
      </c>
      <c r="AC37" s="115" t="str">
        <f>IFERROR(INDEX(Расходка[Наименование расходного материала],MATCH(Расходка[[#This Row],[№]],Поиск_расходки[Индекс12],0)),"")</f>
        <v>Runthrough NS Intermediate</v>
      </c>
      <c r="AD37" s="115" t="str">
        <f>IFERROR(INDEX(Расходка[Наименование расходного материала],MATCH(Расходка[[#This Row],[№]],Поиск_расходки[Индекс13],0)),"")</f>
        <v>Runthrough NS Intermediate</v>
      </c>
      <c r="AF37" s="4" t="s">
        <v>6</v>
      </c>
      <c r="AG37" s="4" t="s">
        <v>408</v>
      </c>
    </row>
    <row r="38" spans="1:33">
      <c r="A38">
        <v>37</v>
      </c>
      <c r="B38" t="s">
        <v>3</v>
      </c>
      <c r="C38" t="s">
        <v>315</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учёта'!$B$21,Расходка[[#This Row],[Наименование расходного материала]])),MAX($I$1:I37)+1,0)</f>
        <v>37</v>
      </c>
      <c r="J38" s="116">
        <f>IF(ISNUMBER(SEARCH('Карта учёта'!$B$19,Расходка[[#This Row],[Наименование расходного материала]])),MAX($J$1:J37)+1,0)</f>
        <v>37</v>
      </c>
      <c r="K38" s="116">
        <f>IF(ISNUMBER(SEARCH('Карта учёта'!$B$17,Расходка[[#This Row],[Наименование расходного материала]])),MAX($K$1:K37)+1,0)</f>
        <v>0</v>
      </c>
      <c r="L38" s="116">
        <f>IF(ISNUMBER(SEARCH('Карта учёта'!$B$18,Расходка[[#This Row],[Наименование расходного материала]])),MAX($L$1:L37)+1,0)</f>
        <v>37</v>
      </c>
      <c r="M38" s="116">
        <f>IF(ISNUMBER(SEARCH('Карта учёта'!$B$20,Расходка[[#This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Sion</v>
      </c>
      <c r="W38" s="115" t="str">
        <f>IFERROR(INDEX(Расходка[Наименование расходного материала],MATCH(Расходка[[#This Row],[№]],Поиск_расходки[Индекс6],0)),"")</f>
        <v>Sion</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Sion</v>
      </c>
      <c r="Z38" s="115" t="str">
        <f>IFERROR(INDEX(Расходка[Наименование расходного материала],MATCH(Расходка[[#This Row],[№]],Поиск_расходки[Индекс9],0)),"")</f>
        <v>Sion</v>
      </c>
      <c r="AA38" s="115" t="str">
        <f>IFERROR(INDEX(Расходка[Наименование расходного материала],MATCH(Расходка[[#This Row],[№]],Поиск_расходки[Индекс10],0)),"")</f>
        <v>Sion</v>
      </c>
      <c r="AB38" s="115" t="str">
        <f>IFERROR(INDEX(Расходка[Наименование расходного материала],MATCH(Расходка[[#This Row],[№]],Поиск_расходки[Индекс11],0)),"")</f>
        <v>Sion</v>
      </c>
      <c r="AC38" s="115" t="str">
        <f>IFERROR(INDEX(Расходка[Наименование расходного материала],MATCH(Расходка[[#This Row],[№]],Поиск_расходки[Индекс12],0)),"")</f>
        <v>Sion</v>
      </c>
      <c r="AD38" s="115" t="str">
        <f>IFERROR(INDEX(Расходка[Наименование расходного материала],MATCH(Расходка[[#This Row],[№]],Поиск_расходки[Индекс13],0)),"")</f>
        <v>Sion</v>
      </c>
      <c r="AF38" s="4" t="s">
        <v>6</v>
      </c>
      <c r="AG38" s="4" t="s">
        <v>495</v>
      </c>
    </row>
    <row r="39" spans="1:33">
      <c r="A39">
        <v>38</v>
      </c>
      <c r="B39" t="s">
        <v>3</v>
      </c>
      <c r="C39" t="s">
        <v>380</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учёта'!$B$21,Расходка[[#This Row],[Наименование расходного материала]])),MAX($I$1:I38)+1,0)</f>
        <v>38</v>
      </c>
      <c r="J39" s="116">
        <f>IF(ISNUMBER(SEARCH('Карта учёта'!$B$19,Расходка[[#This Row],[Наименование расходного материала]])),MAX($J$1:J38)+1,0)</f>
        <v>38</v>
      </c>
      <c r="K39" s="116">
        <f>IF(ISNUMBER(SEARCH('Карта учёта'!$B$17,Расходка[[#This Row],[Наименование расходного материала]])),MAX($K$1:K38)+1,0)</f>
        <v>0</v>
      </c>
      <c r="L39" s="116">
        <f>IF(ISNUMBER(SEARCH('Карта учёта'!$B$18,Расходка[[#This Row],[Наименование расходного материала]])),MAX($L$1:L38)+1,0)</f>
        <v>38</v>
      </c>
      <c r="M39" s="116">
        <f>IF(ISNUMBER(SEARCH('Карта учёта'!$B$20,Расходка[[#This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Sion Black</v>
      </c>
      <c r="W39" s="115" t="str">
        <f>IFERROR(INDEX(Расходка[Наименование расходного материала],MATCH(Расходка[[#This Row],[№]],Поиск_расходки[Индекс6],0)),"")</f>
        <v>Sion Black</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Sion Black</v>
      </c>
      <c r="Z39" s="115" t="str">
        <f>IFERROR(INDEX(Расходка[Наименование расходного материала],MATCH(Расходка[[#This Row],[№]],Поиск_расходки[Индекс9],0)),"")</f>
        <v>Sion Black</v>
      </c>
      <c r="AA39" s="115" t="str">
        <f>IFERROR(INDEX(Расходка[Наименование расходного материала],MATCH(Расходка[[#This Row],[№]],Поиск_расходки[Индекс10],0)),"")</f>
        <v>Sion Black</v>
      </c>
      <c r="AB39" s="115" t="str">
        <f>IFERROR(INDEX(Расходка[Наименование расходного материала],MATCH(Расходка[[#This Row],[№]],Поиск_расходки[Индекс11],0)),"")</f>
        <v>Sion Black</v>
      </c>
      <c r="AC39" s="115" t="str">
        <f>IFERROR(INDEX(Расходка[Наименование расходного материала],MATCH(Расходка[[#This Row],[№]],Поиск_расходки[Индекс12],0)),"")</f>
        <v>Sion Black</v>
      </c>
      <c r="AD39" s="115" t="str">
        <f>IFERROR(INDEX(Расходка[Наименование расходного материала],MATCH(Расходка[[#This Row],[№]],Поиск_расходки[Индекс13],0)),"")</f>
        <v>Sion Black</v>
      </c>
      <c r="AF39" s="4" t="s">
        <v>6</v>
      </c>
      <c r="AG39" s="4" t="s">
        <v>436</v>
      </c>
    </row>
    <row r="40" spans="1:33">
      <c r="A40">
        <v>39</v>
      </c>
      <c r="B40" t="s">
        <v>3</v>
      </c>
      <c r="C40" s="1" t="s">
        <v>375</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учёта'!$B$21,Расходка[[#This Row],[Наименование расходного материала]])),MAX($I$1:I39)+1,0)</f>
        <v>39</v>
      </c>
      <c r="J40" s="116">
        <f>IF(ISNUMBER(SEARCH('Карта учёта'!$B$19,Расходка[[#This Row],[Наименование расходного материала]])),MAX($J$1:J39)+1,0)</f>
        <v>39</v>
      </c>
      <c r="K40" s="116">
        <f>IF(ISNUMBER(SEARCH('Карта учёта'!$B$17,Расходка[[#This Row],[Наименование расходного материала]])),MAX($K$1:K39)+1,0)</f>
        <v>0</v>
      </c>
      <c r="L40" s="116">
        <f>IF(ISNUMBER(SEARCH('Карта учёта'!$B$18,Расходка[[#This Row],[Наименование расходного материала]])),MAX($L$1:L39)+1,0)</f>
        <v>39</v>
      </c>
      <c r="M40" s="116">
        <f>IF(ISNUMBER(SEARCH('Карта учёта'!$B$20,Расходка[[#This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Sion Blue</v>
      </c>
      <c r="W40" s="115" t="str">
        <f>IFERROR(INDEX(Расходка[Наименование расходного материала],MATCH(Расходка[[#This Row],[№]],Поиск_расходки[Индекс6],0)),"")</f>
        <v>Sion Blue</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Sion Blue</v>
      </c>
      <c r="Z40" s="115" t="str">
        <f>IFERROR(INDEX(Расходка[Наименование расходного материала],MATCH(Расходка[[#This Row],[№]],Поиск_расходки[Индекс9],0)),"")</f>
        <v>Sion Blue</v>
      </c>
      <c r="AA40" s="115" t="str">
        <f>IFERROR(INDEX(Расходка[Наименование расходного материала],MATCH(Расходка[[#This Row],[№]],Поиск_расходки[Индекс10],0)),"")</f>
        <v>Sion Blue</v>
      </c>
      <c r="AB40" s="115" t="str">
        <f>IFERROR(INDEX(Расходка[Наименование расходного материала],MATCH(Расходка[[#This Row],[№]],Поиск_расходки[Индекс11],0)),"")</f>
        <v>Sion Blue</v>
      </c>
      <c r="AC40" s="115" t="str">
        <f>IFERROR(INDEX(Расходка[Наименование расходного материала],MATCH(Расходка[[#This Row],[№]],Поиск_расходки[Индекс12],0)),"")</f>
        <v>Sion Blue</v>
      </c>
      <c r="AD40" s="115" t="str">
        <f>IFERROR(INDEX(Расходка[Наименование расходного материала],MATCH(Расходка[[#This Row],[№]],Поиск_расходки[Индекс13],0)),"")</f>
        <v>Sion Blue</v>
      </c>
      <c r="AF40" s="4" t="s">
        <v>6</v>
      </c>
      <c r="AG40" s="4" t="s">
        <v>437</v>
      </c>
    </row>
    <row r="41" spans="1:33">
      <c r="A41">
        <v>40</v>
      </c>
      <c r="B41" t="s">
        <v>3</v>
      </c>
      <c r="C41" t="s">
        <v>317</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учёта'!$B$21,Расходка[[#This Row],[Наименование расходного материала]])),MAX($I$1:I40)+1,0)</f>
        <v>40</v>
      </c>
      <c r="J41" s="116">
        <f>IF(ISNUMBER(SEARCH('Карта учёта'!$B$19,Расходка[[#This Row],[Наименование расходного материала]])),MAX($J$1:J40)+1,0)</f>
        <v>40</v>
      </c>
      <c r="K41" s="116">
        <f>IF(ISNUMBER(SEARCH('Карта учёта'!$B$17,Расходка[[#This Row],[Наименование расходного материала]])),MAX($K$1:K40)+1,0)</f>
        <v>0</v>
      </c>
      <c r="L41" s="116">
        <f>IF(ISNUMBER(SEARCH('Карта учёта'!$B$18,Расходка[[#This Row],[Наименование расходного материала]])),MAX($L$1:L40)+1,0)</f>
        <v>40</v>
      </c>
      <c r="M41" s="116">
        <f>IF(ISNUMBER(SEARCH('Карта учёта'!$B$20,Расходка[[#This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Thunder</v>
      </c>
      <c r="W41" s="115" t="str">
        <f>IFERROR(INDEX(Расходка[Наименование расходного материала],MATCH(Расходка[[#This Row],[№]],Поиск_расходки[Индекс6],0)),"")</f>
        <v>Thunder</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Thunder</v>
      </c>
      <c r="Z41" s="115" t="str">
        <f>IFERROR(INDEX(Расходка[Наименование расходного материала],MATCH(Расходка[[#This Row],[№]],Поиск_расходки[Индекс9],0)),"")</f>
        <v>Thunder</v>
      </c>
      <c r="AA41" s="115" t="str">
        <f>IFERROR(INDEX(Расходка[Наименование расходного материала],MATCH(Расходка[[#This Row],[№]],Поиск_расходки[Индекс10],0)),"")</f>
        <v>Thunder</v>
      </c>
      <c r="AB41" s="115" t="str">
        <f>IFERROR(INDEX(Расходка[Наименование расходного материала],MATCH(Расходка[[#This Row],[№]],Поиск_расходки[Индекс11],0)),"")</f>
        <v>Thunder</v>
      </c>
      <c r="AC41" s="115" t="str">
        <f>IFERROR(INDEX(Расходка[Наименование расходного материала],MATCH(Расходка[[#This Row],[№]],Поиск_расходки[Индекс12],0)),"")</f>
        <v>Thunder</v>
      </c>
      <c r="AD41" s="115" t="str">
        <f>IFERROR(INDEX(Расходка[Наименование расходного материала],MATCH(Расходка[[#This Row],[№]],Поиск_расходки[Индекс13],0)),"")</f>
        <v>Thunder</v>
      </c>
      <c r="AF41" s="4" t="s">
        <v>6</v>
      </c>
      <c r="AG41" s="4" t="s">
        <v>438</v>
      </c>
    </row>
    <row r="42" spans="1:33">
      <c r="A42">
        <v>41</v>
      </c>
      <c r="B42" t="s">
        <v>3</v>
      </c>
      <c r="C42" t="s">
        <v>362</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учёта'!$B$21,Расходка[[#This Row],[Наименование расходного материала]])),MAX($I$1:I41)+1,0)</f>
        <v>41</v>
      </c>
      <c r="J42" s="116">
        <f>IF(ISNUMBER(SEARCH('Карта учёта'!$B$19,Расходка[[#This Row],[Наименование расходного материала]])),MAX($J$1:J41)+1,0)</f>
        <v>41</v>
      </c>
      <c r="K42" s="116">
        <f>IF(ISNUMBER(SEARCH('Карта учёта'!$B$17,Расходка[[#This Row],[Наименование расходного материала]])),MAX($K$1:K41)+1,0)</f>
        <v>0</v>
      </c>
      <c r="L42" s="116">
        <f>IF(ISNUMBER(SEARCH('Карта учёта'!$B$18,Расходка[[#This Row],[Наименование расходного материала]])),MAX($L$1:L41)+1,0)</f>
        <v>41</v>
      </c>
      <c r="M42" s="116">
        <f>IF(ISNUMBER(SEARCH('Карта учёта'!$B$20,Расходка[[#This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Whisper MS</v>
      </c>
      <c r="W42" s="115" t="str">
        <f>IFERROR(INDEX(Расходка[Наименование расходного материала],MATCH(Расходка[[#This Row],[№]],Поиск_расходки[Индекс6],0)),"")</f>
        <v>Whisper MS</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Whisper MS</v>
      </c>
      <c r="Z42" s="115" t="str">
        <f>IFERROR(INDEX(Расходка[Наименование расходного материала],MATCH(Расходка[[#This Row],[№]],Поиск_расходки[Индекс9],0)),"")</f>
        <v>Whisper MS</v>
      </c>
      <c r="AA42" s="115" t="str">
        <f>IFERROR(INDEX(Расходка[Наименование расходного материала],MATCH(Расходка[[#This Row],[№]],Поиск_расходки[Индекс10],0)),"")</f>
        <v>Whisper MS</v>
      </c>
      <c r="AB42" s="115" t="str">
        <f>IFERROR(INDEX(Расходка[Наименование расходного материала],MATCH(Расходка[[#This Row],[№]],Поиск_расходки[Индекс11],0)),"")</f>
        <v>Whisper MS</v>
      </c>
      <c r="AC42" s="115" t="str">
        <f>IFERROR(INDEX(Расходка[Наименование расходного материала],MATCH(Расходка[[#This Row],[№]],Поиск_расходки[Индекс12],0)),"")</f>
        <v>Whisper MS</v>
      </c>
      <c r="AD42" s="115" t="str">
        <f>IFERROR(INDEX(Расходка[Наименование расходного материала],MATCH(Расходка[[#This Row],[№]],Поиск_расходки[Индекс13],0)),"")</f>
        <v>Whisper MS</v>
      </c>
      <c r="AF42" s="4" t="s">
        <v>6</v>
      </c>
      <c r="AG42" s="4" t="s">
        <v>439</v>
      </c>
    </row>
    <row r="43" spans="1:33">
      <c r="A43">
        <v>42</v>
      </c>
      <c r="B43" t="s">
        <v>3</v>
      </c>
      <c r="C43" t="s">
        <v>363</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учёта'!$B$21,Расходка[[#This Row],[Наименование расходного материала]])),MAX($I$1:I42)+1,0)</f>
        <v>42</v>
      </c>
      <c r="J43" s="116">
        <f>IF(ISNUMBER(SEARCH('Карта учёта'!$B$19,Расходка[[#This Row],[Наименование расходного материала]])),MAX($J$1:J42)+1,0)</f>
        <v>42</v>
      </c>
      <c r="K43" s="116">
        <f>IF(ISNUMBER(SEARCH('Карта учёта'!$B$17,Расходка[[#This Row],[Наименование расходного материала]])),MAX($K$1:K42)+1,0)</f>
        <v>0</v>
      </c>
      <c r="L43" s="116">
        <f>IF(ISNUMBER(SEARCH('Карта учёта'!$B$18,Расходка[[#This Row],[Наименование расходного материала]])),MAX($L$1:L42)+1,0)</f>
        <v>42</v>
      </c>
      <c r="M43" s="116">
        <f>IF(ISNUMBER(SEARCH('Карта учёта'!$B$20,Расходка[[#This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Winn 200T</v>
      </c>
      <c r="W43" s="115" t="str">
        <f>IFERROR(INDEX(Расходка[Наименование расходного материала],MATCH(Расходка[[#This Row],[№]],Поиск_расходки[Индекс6],0)),"")</f>
        <v>Winn 200T</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Winn 200T</v>
      </c>
      <c r="Z43" s="115" t="str">
        <f>IFERROR(INDEX(Расходка[Наименование расходного материала],MATCH(Расходка[[#This Row],[№]],Поиск_расходки[Индекс9],0)),"")</f>
        <v>Winn 200T</v>
      </c>
      <c r="AA43" s="115" t="str">
        <f>IFERROR(INDEX(Расходка[Наименование расходного материала],MATCH(Расходка[[#This Row],[№]],Поиск_расходки[Индекс10],0)),"")</f>
        <v>Winn 200T</v>
      </c>
      <c r="AB43" s="115" t="str">
        <f>IFERROR(INDEX(Расходка[Наименование расходного материала],MATCH(Расходка[[#This Row],[№]],Поиск_расходки[Индекс11],0)),"")</f>
        <v>Winn 200T</v>
      </c>
      <c r="AC43" s="115" t="str">
        <f>IFERROR(INDEX(Расходка[Наименование расходного материала],MATCH(Расходка[[#This Row],[№]],Поиск_расходки[Индекс12],0)),"")</f>
        <v>Winn 200T</v>
      </c>
      <c r="AD43" s="115" t="str">
        <f>IFERROR(INDEX(Расходка[Наименование расходного материала],MATCH(Расходка[[#This Row],[№]],Поиск_расходки[Индекс13],0)),"")</f>
        <v>Winn 200T</v>
      </c>
      <c r="AF43" s="4" t="s">
        <v>6</v>
      </c>
      <c r="AG43" s="4" t="s">
        <v>412</v>
      </c>
    </row>
    <row r="44" spans="1:33">
      <c r="A44">
        <v>43</v>
      </c>
      <c r="B44" t="s">
        <v>3</v>
      </c>
      <c r="C44" t="s">
        <v>515</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учёта'!$B$21,Расходка[[#This Row],[Наименование расходного материала]])),MAX($I$1:I43)+1,0)</f>
        <v>43</v>
      </c>
      <c r="J44" s="116">
        <f>IF(ISNUMBER(SEARCH('Карта учёта'!$B$19,Расходка[[#This Row],[Наименование расходного материала]])),MAX($J$1:J43)+1,0)</f>
        <v>43</v>
      </c>
      <c r="K44" s="116">
        <f>IF(ISNUMBER(SEARCH('Карта учёта'!$B$17,Расходка[[#This Row],[Наименование расходного материала]])),MAX($K$1:K43)+1,0)</f>
        <v>0</v>
      </c>
      <c r="L44" s="116">
        <f>IF(ISNUMBER(SEARCH('Карта учёта'!$B$18,Расходка[[#This Row],[Наименование расходного материала]])),MAX($L$1:L43)+1,0)</f>
        <v>43</v>
      </c>
      <c r="M44" s="116">
        <f>IF(ISNUMBER(SEARCH('Карта учёта'!$B$20,Расходка[[#This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Проводник коронарный  0,8g, Angioline</v>
      </c>
      <c r="W44" s="115" t="str">
        <f>IFERROR(INDEX(Расходка[Наименование расходного материала],MATCH(Расходка[[#This Row],[№]],Поиск_расходки[Индекс6],0)),"")</f>
        <v>Проводник коронарный  0,8g, Angioline</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Проводник коронарный  0,8g, Angioline</v>
      </c>
      <c r="Z44" s="115" t="str">
        <f>IFERROR(INDEX(Расходка[Наименование расходного материала],MATCH(Расходка[[#This Row],[№]],Поиск_расходки[Индекс9],0)),"")</f>
        <v>Проводник коронарный  0,8g, Angioline</v>
      </c>
      <c r="AA44" s="115" t="str">
        <f>IFERROR(INDEX(Расходка[Наименование расходного материала],MATCH(Расходка[[#This Row],[№]],Поиск_расходки[Индекс10],0)),"")</f>
        <v>Проводник коронарный  0,8g, Angioline</v>
      </c>
      <c r="AB44" s="115" t="str">
        <f>IFERROR(INDEX(Расходка[Наименование расходного материала],MATCH(Расходка[[#This Row],[№]],Поиск_расходки[Индекс11],0)),"")</f>
        <v>Проводник коронарный  0,8g, Angioline</v>
      </c>
      <c r="AC44" s="115" t="str">
        <f>IFERROR(INDEX(Расходка[Наименование расходного материала],MATCH(Расходка[[#This Row],[№]],Поиск_расходки[Индекс12],0)),"")</f>
        <v>Проводник коронарный  0,8g, Angioline</v>
      </c>
      <c r="AD44" s="115" t="str">
        <f>IFERROR(INDEX(Расходка[Наименование расходного материала],MATCH(Расходка[[#This Row],[№]],Поиск_расходки[Индекс13],0)),"")</f>
        <v>Проводник коронарный  0,8g, Angioline</v>
      </c>
      <c r="AF44" s="4" t="s">
        <v>6</v>
      </c>
      <c r="AG44" s="4" t="s">
        <v>440</v>
      </c>
    </row>
    <row r="45" spans="1:33">
      <c r="A45">
        <v>44</v>
      </c>
      <c r="B45" t="s">
        <v>3</v>
      </c>
      <c r="C45" t="s">
        <v>346</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учёта'!$B$21,Расходка[[#This Row],[Наименование расходного материала]])),MAX($I$1:I44)+1,0)</f>
        <v>44</v>
      </c>
      <c r="J45" s="116">
        <f>IF(ISNUMBER(SEARCH('Карта учёта'!$B$19,Расходка[[#This Row],[Наименование расходного материала]])),MAX($J$1:J44)+1,0)</f>
        <v>44</v>
      </c>
      <c r="K45" s="116">
        <f>IF(ISNUMBER(SEARCH('Карта учёта'!$B$17,Расходка[[#This Row],[Наименование расходного материала]])),MAX($K$1:K44)+1,0)</f>
        <v>0</v>
      </c>
      <c r="L45" s="116">
        <f>IF(ISNUMBER(SEARCH('Карта учёта'!$B$18,Расходка[[#This Row],[Наименование расходного материала]])),MAX($L$1:L44)+1,0)</f>
        <v>44</v>
      </c>
      <c r="M45" s="116">
        <f>IF(ISNUMBER(SEARCH('Карта учёта'!$B$20,Расходка[[#This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Проводник коронарный  1g, Angioline</v>
      </c>
      <c r="W45" s="115" t="str">
        <f>IFERROR(INDEX(Расходка[Наименование расходного материала],MATCH(Расходка[[#This Row],[№]],Поиск_расходки[Индекс6],0)),"")</f>
        <v>Проводник коронарный  1g, Angioline</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Проводник коронарный  1g, Angioline</v>
      </c>
      <c r="Z45" s="115" t="str">
        <f>IFERROR(INDEX(Расходка[Наименование расходного материала],MATCH(Расходка[[#This Row],[№]],Поиск_расходки[Индекс9],0)),"")</f>
        <v>Проводник коронарный  1g, Angioline</v>
      </c>
      <c r="AA45" s="115" t="str">
        <f>IFERROR(INDEX(Расходка[Наименование расходного материала],MATCH(Расходка[[#This Row],[№]],Поиск_расходки[Индекс10],0)),"")</f>
        <v>Проводник коронарный  1g, Angioline</v>
      </c>
      <c r="AB45" s="115" t="str">
        <f>IFERROR(INDEX(Расходка[Наименование расходного материала],MATCH(Расходка[[#This Row],[№]],Поиск_расходки[Индекс11],0)),"")</f>
        <v>Проводник коронарный  1g, Angioline</v>
      </c>
      <c r="AC45" s="115" t="str">
        <f>IFERROR(INDEX(Расходка[Наименование расходного материала],MATCH(Расходка[[#This Row],[№]],Поиск_расходки[Индекс12],0)),"")</f>
        <v>Проводник коронарный  1g, Angioline</v>
      </c>
      <c r="AD45" s="115" t="str">
        <f>IFERROR(INDEX(Расходка[Наименование расходного материала],MATCH(Расходка[[#This Row],[№]],Поиск_расходки[Индекс13],0)),"")</f>
        <v>Проводник коронарный  1g, Angioline</v>
      </c>
      <c r="AF45" s="4" t="s">
        <v>6</v>
      </c>
      <c r="AG45" s="4" t="s">
        <v>441</v>
      </c>
    </row>
    <row r="46" spans="1:33">
      <c r="A46">
        <v>45</v>
      </c>
      <c r="B46" t="s">
        <v>3</v>
      </c>
      <c r="C46" t="s">
        <v>96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учёта'!$B$21,Расходка[[#This Row],[Наименование расходного материала]])),MAX($I$1:I45)+1,0)</f>
        <v>45</v>
      </c>
      <c r="J46" s="116">
        <f>IF(ISNUMBER(SEARCH('Карта учёта'!$B$19,Расходка[[#This Row],[Наименование расходного материала]])),MAX($J$1:J45)+1,0)</f>
        <v>45</v>
      </c>
      <c r="K46" s="116">
        <f>IF(ISNUMBER(SEARCH('Карта учёта'!$B$17,Расходка[[#This Row],[Наименование расходного материала]])),MAX($K$1:K45)+1,0)</f>
        <v>0</v>
      </c>
      <c r="L46" s="116">
        <f>IF(ISNUMBER(SEARCH('Карта учёта'!$B$18,Расходка[[#This Row],[Наименование расходного материала]])),MAX($L$1:L45)+1,0)</f>
        <v>45</v>
      </c>
      <c r="M46" s="116">
        <f>IF(ISNUMBER(SEARCH('Карта учёта'!$B$20,Расходка[[#This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Проводник коронарный  3g, Angioline</v>
      </c>
      <c r="W46" s="115" t="str">
        <f>IFERROR(INDEX(Расходка[Наименование расходного материала],MATCH(Расходка[[#This Row],[№]],Поиск_расходки[Индекс6],0)),"")</f>
        <v>Проводник коронарный  3g, Angioline</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Проводник коронарный  3g, Angioline</v>
      </c>
      <c r="Z46" s="115" t="str">
        <f>IFERROR(INDEX(Расходка[Наименование расходного материала],MATCH(Расходка[[#This Row],[№]],Поиск_расходки[Индекс9],0)),"")</f>
        <v>Проводник коронарный  3g, Angioline</v>
      </c>
      <c r="AA46" s="115" t="str">
        <f>IFERROR(INDEX(Расходка[Наименование расходного материала],MATCH(Расходка[[#This Row],[№]],Поиск_расходки[Индекс10],0)),"")</f>
        <v>Проводник коронарный  3g, Angioline</v>
      </c>
      <c r="AB46" s="115" t="str">
        <f>IFERROR(INDEX(Расходка[Наименование расходного материала],MATCH(Расходка[[#This Row],[№]],Поиск_расходки[Индекс11],0)),"")</f>
        <v>Проводник коронарный  3g, Angioline</v>
      </c>
      <c r="AC46" s="115" t="str">
        <f>IFERROR(INDEX(Расходка[Наименование расходного материала],MATCH(Расходка[[#This Row],[№]],Поиск_расходки[Индекс12],0)),"")</f>
        <v>Проводник коронарный  3g, Angioline</v>
      </c>
      <c r="AD46" s="115" t="str">
        <f>IFERROR(INDEX(Расходка[Наименование расходного материала],MATCH(Расходка[[#This Row],[№]],Поиск_расходки[Индекс13],0)),"")</f>
        <v>Проводник коронарный  3g, Angioline</v>
      </c>
      <c r="AF46" s="4" t="s">
        <v>6</v>
      </c>
      <c r="AG46" s="4" t="s">
        <v>442</v>
      </c>
    </row>
    <row r="47" spans="1:33">
      <c r="A47">
        <v>46</v>
      </c>
      <c r="B47" t="s">
        <v>3</v>
      </c>
      <c r="C47" t="s">
        <v>513</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1</v>
      </c>
      <c r="H47" s="116">
        <f>IF(ISNUMBER(SEARCH('Карта учёта'!$B$16,Расходка[[#This Row],[Наименование расходного материала]])),MAX($H$1:H46)+1,0)</f>
        <v>0</v>
      </c>
      <c r="I47" s="116">
        <f>IF(ISNUMBER(SEARCH('Карта учёта'!$B$21,Расходка[[#This Row],[Наименование расходного материала]])),MAX($I$1:I46)+1,0)</f>
        <v>46</v>
      </c>
      <c r="J47" s="116">
        <f>IF(ISNUMBER(SEARCH('Карта учёта'!$B$19,Расходка[[#This Row],[Наименование расходного материала]])),MAX($J$1:J46)+1,0)</f>
        <v>46</v>
      </c>
      <c r="K47" s="116">
        <f>IF(ISNUMBER(SEARCH('Карта учёта'!$B$17,Расходка[[#This Row],[Наименование расходного материала]])),MAX($K$1:K46)+1,0)</f>
        <v>0</v>
      </c>
      <c r="L47" s="116">
        <f>IF(ISNUMBER(SEARCH('Карта учёта'!$B$18,Расходка[[#This Row],[Наименование расходного материала]])),MAX($L$1:L46)+1,0)</f>
        <v>46</v>
      </c>
      <c r="M47" s="116">
        <f>IF(ISNUMBER(SEARCH('Карта учёта'!$B$20,Расходка[[#This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Lepu Medical Balancium</v>
      </c>
      <c r="W47" s="115" t="str">
        <f>IFERROR(INDEX(Расходка[Наименование расходного материала],MATCH(Расходка[[#This Row],[№]],Поиск_расходки[Индекс6],0)),"")</f>
        <v>Lepu Medical Balancium</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Lepu Medical Balancium</v>
      </c>
      <c r="Z47" s="115" t="str">
        <f>IFERROR(INDEX(Расходка[Наименование расходного материала],MATCH(Расходка[[#This Row],[№]],Поиск_расходки[Индекс9],0)),"")</f>
        <v>Lepu Medical Balancium</v>
      </c>
      <c r="AA47" s="115" t="str">
        <f>IFERROR(INDEX(Расходка[Наименование расходного материала],MATCH(Расходка[[#This Row],[№]],Поиск_расходки[Индекс10],0)),"")</f>
        <v>Lepu Medical Balancium</v>
      </c>
      <c r="AB47" s="115" t="str">
        <f>IFERROR(INDEX(Расходка[Наименование расходного материала],MATCH(Расходка[[#This Row],[№]],Поиск_расходки[Индекс11],0)),"")</f>
        <v>Lepu Medical Balancium</v>
      </c>
      <c r="AC47" s="115" t="str">
        <f>IFERROR(INDEX(Расходка[Наименование расходного материала],MATCH(Расходка[[#This Row],[№]],Поиск_расходки[Индекс12],0)),"")</f>
        <v>Lepu Medical Balancium</v>
      </c>
      <c r="AD47" s="115" t="str">
        <f>IFERROR(INDEX(Расходка[Наименование расходного материала],MATCH(Расходка[[#This Row],[№]],Поиск_расходки[Индекс13],0)),"")</f>
        <v>Lepu Medical Balancium</v>
      </c>
      <c r="AF47" s="4" t="s">
        <v>6</v>
      </c>
      <c r="AG47" s="4" t="s">
        <v>443</v>
      </c>
    </row>
    <row r="48" spans="1:33">
      <c r="A48">
        <v>47</v>
      </c>
      <c r="B48" t="s">
        <v>6</v>
      </c>
      <c r="C48" s="1" t="s">
        <v>278</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учёта'!$B$21,Расходка[[#This Row],[Наименование расходного материала]])),MAX($I$1:I47)+1,0)</f>
        <v>47</v>
      </c>
      <c r="J48" s="116">
        <f>IF(ISNUMBER(SEARCH('Карта учёта'!$B$19,Расходка[[#This Row],[Наименование расходного материала]])),MAX($J$1:J47)+1,0)</f>
        <v>47</v>
      </c>
      <c r="K48" s="116">
        <f>IF(ISNUMBER(SEARCH('Карта учёта'!$B$17,Расходка[[#This Row],[Наименование расходного материала]])),MAX($K$1:K47)+1,0)</f>
        <v>0</v>
      </c>
      <c r="L48" s="116">
        <f>IF(ISNUMBER(SEARCH('Карта учёта'!$B$18,Расходка[[#This Row],[Наименование расходного материала]])),MAX($L$1:L47)+1,0)</f>
        <v>47</v>
      </c>
      <c r="M48" s="116">
        <f>IF(ISNUMBER(SEARCH('Карта учёта'!$B$20,Расходка[[#This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BMS, Integtity</v>
      </c>
      <c r="W48" s="115" t="str">
        <f>IFERROR(INDEX(Расходка[Наименование расходного материала],MATCH(Расходка[[#This Row],[№]],Поиск_расходки[Индекс6],0)),"")</f>
        <v>BMS, Integtity</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BMS, Integtity</v>
      </c>
      <c r="Z48" s="115" t="str">
        <f>IFERROR(INDEX(Расходка[Наименование расходного материала],MATCH(Расходка[[#This Row],[№]],Поиск_расходки[Индекс9],0)),"")</f>
        <v>BMS, Integtity</v>
      </c>
      <c r="AA48" s="115" t="str">
        <f>IFERROR(INDEX(Расходка[Наименование расходного материала],MATCH(Расходка[[#This Row],[№]],Поиск_расходки[Индекс10],0)),"")</f>
        <v>BMS, Integtity</v>
      </c>
      <c r="AB48" s="115" t="str">
        <f>IFERROR(INDEX(Расходка[Наименование расходного материала],MATCH(Расходка[[#This Row],[№]],Поиск_расходки[Индекс11],0)),"")</f>
        <v>BMS, Integtity</v>
      </c>
      <c r="AC48" s="115" t="str">
        <f>IFERROR(INDEX(Расходка[Наименование расходного материала],MATCH(Расходка[[#This Row],[№]],Поиск_расходки[Индекс12],0)),"")</f>
        <v>BMS, Integtity</v>
      </c>
      <c r="AD48" s="115" t="str">
        <f>IFERROR(INDEX(Расходка[Наименование расходного материала],MATCH(Расходка[[#This Row],[№]],Поиск_расходки[Индекс13],0)),"")</f>
        <v>BMS, Integtity</v>
      </c>
      <c r="AF48" s="4" t="s">
        <v>6</v>
      </c>
      <c r="AG48" s="4" t="s">
        <v>444</v>
      </c>
    </row>
    <row r="49" spans="1:33">
      <c r="A49">
        <v>48</v>
      </c>
      <c r="B49" t="s">
        <v>6</v>
      </c>
      <c r="C49" s="158" t="s">
        <v>345</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учёта'!$B$21,Расходка[[#This Row],[Наименование расходного материала]])),MAX($I$1:I48)+1,0)</f>
        <v>48</v>
      </c>
      <c r="J49" s="116">
        <f>IF(ISNUMBER(SEARCH('Карта учёта'!$B$19,Расходка[[#This Row],[Наименование расходного материала]])),MAX($J$1:J48)+1,0)</f>
        <v>48</v>
      </c>
      <c r="K49" s="116">
        <f>IF(ISNUMBER(SEARCH('Карта учёта'!$B$17,Расходка[[#This Row],[Наименование расходного материала]])),MAX($K$1:K48)+1,0)</f>
        <v>0</v>
      </c>
      <c r="L49" s="116">
        <f>IF(ISNUMBER(SEARCH('Карта учёта'!$B$18,Расходка[[#This Row],[Наименование расходного материала]])),MAX($L$1:L48)+1,0)</f>
        <v>48</v>
      </c>
      <c r="M49" s="116">
        <f>IF(ISNUMBER(SEARCH('Карта учёта'!$B$20,Расходка[[#This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DES, Calipso</v>
      </c>
      <c r="W49" s="115" t="str">
        <f>IFERROR(INDEX(Расходка[Наименование расходного материала],MATCH(Расходка[[#This Row],[№]],Поиск_расходки[Индекс6],0)),"")</f>
        <v>DES, Calipso</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DES, Calipso</v>
      </c>
      <c r="Z49" s="115" t="str">
        <f>IFERROR(INDEX(Расходка[Наименование расходного материала],MATCH(Расходка[[#This Row],[№]],Поиск_расходки[Индекс9],0)),"")</f>
        <v>DES, Calipso</v>
      </c>
      <c r="AA49" s="115" t="str">
        <f>IFERROR(INDEX(Расходка[Наименование расходного материала],MATCH(Расходка[[#This Row],[№]],Поиск_расходки[Индекс10],0)),"")</f>
        <v>DES, Calipso</v>
      </c>
      <c r="AB49" s="115" t="str">
        <f>IFERROR(INDEX(Расходка[Наименование расходного материала],MATCH(Расходка[[#This Row],[№]],Поиск_расходки[Индекс11],0)),"")</f>
        <v>DES, Calipso</v>
      </c>
      <c r="AC49" s="115" t="str">
        <f>IFERROR(INDEX(Расходка[Наименование расходного материала],MATCH(Расходка[[#This Row],[№]],Поиск_расходки[Индекс12],0)),"")</f>
        <v>DES, Calipso</v>
      </c>
      <c r="AD49" s="115" t="str">
        <f>IFERROR(INDEX(Расходка[Наименование расходного материала],MATCH(Расходка[[#This Row],[№]],Поиск_расходки[Индекс13],0)),"")</f>
        <v>DES, Calipso</v>
      </c>
      <c r="AF49" s="4" t="s">
        <v>6</v>
      </c>
      <c r="AG49" s="4" t="s">
        <v>445</v>
      </c>
    </row>
    <row r="50" spans="1:33">
      <c r="A50">
        <v>49</v>
      </c>
      <c r="B50" t="s">
        <v>6</v>
      </c>
      <c r="C50" s="158" t="s">
        <v>344</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учёта'!$B$21,Расходка[[#This Row],[Наименование расходного материала]])),MAX($I$1:I49)+1,0)</f>
        <v>49</v>
      </c>
      <c r="J50" s="116">
        <f>IF(ISNUMBER(SEARCH('Карта учёта'!$B$19,Расходка[[#This Row],[Наименование расходного материала]])),MAX($J$1:J49)+1,0)</f>
        <v>49</v>
      </c>
      <c r="K50" s="116">
        <f>IF(ISNUMBER(SEARCH('Карта учёта'!$B$17,Расходка[[#This Row],[Наименование расходного материала]])),MAX($K$1:K49)+1,0)</f>
        <v>0</v>
      </c>
      <c r="L50" s="116">
        <f>IF(ISNUMBER(SEARCH('Карта учёта'!$B$18,Расходка[[#This Row],[Наименование расходного материала]])),MAX($L$1:L49)+1,0)</f>
        <v>49</v>
      </c>
      <c r="M50" s="116">
        <f>IF(ISNUMBER(SEARCH('Карта учёта'!$B$20,Расходка[[#This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DES, NanoMed</v>
      </c>
      <c r="W50" s="115" t="str">
        <f>IFERROR(INDEX(Расходка[Наименование расходного материала],MATCH(Расходка[[#This Row],[№]],Поиск_расходки[Индекс6],0)),"")</f>
        <v>DES, NanoMed</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DES, NanoMed</v>
      </c>
      <c r="Z50" s="115" t="str">
        <f>IFERROR(INDEX(Расходка[Наименование расходного материала],MATCH(Расходка[[#This Row],[№]],Поиск_расходки[Индекс9],0)),"")</f>
        <v>DES, NanoMed</v>
      </c>
      <c r="AA50" s="115" t="str">
        <f>IFERROR(INDEX(Расходка[Наименование расходного материала],MATCH(Расходка[[#This Row],[№]],Поиск_расходки[Индекс10],0)),"")</f>
        <v>DES, NanoMed</v>
      </c>
      <c r="AB50" s="115" t="str">
        <f>IFERROR(INDEX(Расходка[Наименование расходного материала],MATCH(Расходка[[#This Row],[№]],Поиск_расходки[Индекс11],0)),"")</f>
        <v>DES, NanoMed</v>
      </c>
      <c r="AC50" s="115" t="str">
        <f>IFERROR(INDEX(Расходка[Наименование расходного материала],MATCH(Расходка[[#This Row],[№]],Поиск_расходки[Индекс12],0)),"")</f>
        <v>DES, NanoMed</v>
      </c>
      <c r="AD50" s="115" t="str">
        <f>IFERROR(INDEX(Расходка[Наименование расходного материала],MATCH(Расходка[[#This Row],[№]],Поиск_расходки[Индекс13],0)),"")</f>
        <v>DES, NanoMed</v>
      </c>
      <c r="AF50" s="4" t="s">
        <v>6</v>
      </c>
      <c r="AG50" s="4" t="s">
        <v>446</v>
      </c>
    </row>
    <row r="51" spans="1:33">
      <c r="A51">
        <v>50</v>
      </c>
      <c r="B51" t="s">
        <v>6</v>
      </c>
      <c r="C51" s="131" t="s">
        <v>323</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1</v>
      </c>
      <c r="I51" s="116">
        <f>IF(ISNUMBER(SEARCH('Карта учёта'!$B$21,Расходка[[#This Row],[Наименование расходного материала]])),MAX($I$1:I50)+1,0)</f>
        <v>50</v>
      </c>
      <c r="J51" s="116">
        <f>IF(ISNUMBER(SEARCH('Карта учёта'!$B$19,Расходка[[#This Row],[Наименование расходного материала]])),MAX($J$1:J50)+1,0)</f>
        <v>50</v>
      </c>
      <c r="K51" s="116">
        <f>IF(ISNUMBER(SEARCH('Карта учёта'!$B$17,Расходка[[#This Row],[Наименование расходного материала]])),MAX($K$1:K50)+1,0)</f>
        <v>0</v>
      </c>
      <c r="L51" s="116">
        <f>IF(ISNUMBER(SEARCH('Карта учёта'!$B$18,Расходка[[#This Row],[Наименование расходного материала]])),MAX($L$1:L50)+1,0)</f>
        <v>50</v>
      </c>
      <c r="M51" s="116">
        <f>IF(ISNUMBER(SEARCH('Карта учёта'!$B$20,Расходка[[#This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DES, Resolute Integtity</v>
      </c>
      <c r="W51" s="115" t="str">
        <f>IFERROR(INDEX(Расходка[Наименование расходного материала],MATCH(Расходка[[#This Row],[№]],Поиск_расходки[Индекс6],0)),"")</f>
        <v>DES, Resolute Integtity</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DES, Resolute Integtity</v>
      </c>
      <c r="Z51" s="115" t="str">
        <f>IFERROR(INDEX(Расходка[Наименование расходного материала],MATCH(Расходка[[#This Row],[№]],Поиск_расходки[Индекс9],0)),"")</f>
        <v>DES, Resolute Integtity</v>
      </c>
      <c r="AA51" s="115" t="str">
        <f>IFERROR(INDEX(Расходка[Наименование расходного материала],MATCH(Расходка[[#This Row],[№]],Поиск_расходки[Индекс10],0)),"")</f>
        <v>DES, Resolute Integtity</v>
      </c>
      <c r="AB51" s="115" t="str">
        <f>IFERROR(INDEX(Расходка[Наименование расходного материала],MATCH(Расходка[[#This Row],[№]],Поиск_расходки[Индекс11],0)),"")</f>
        <v>DES, Resolute Integtity</v>
      </c>
      <c r="AC51" s="115" t="str">
        <f>IFERROR(INDEX(Расходка[Наименование расходного материала],MATCH(Расходка[[#This Row],[№]],Поиск_расходки[Индекс12],0)),"")</f>
        <v>DES, Resolute Integtity</v>
      </c>
      <c r="AD51" s="115" t="str">
        <f>IFERROR(INDEX(Расходка[Наименование расходного материала],MATCH(Расходка[[#This Row],[№]],Поиск_расходки[Индекс13],0)),"")</f>
        <v>DES, Resolute Integtity</v>
      </c>
      <c r="AF51" s="4" t="s">
        <v>6</v>
      </c>
      <c r="AG51" s="4" t="s">
        <v>447</v>
      </c>
    </row>
    <row r="52" spans="1:33">
      <c r="A52">
        <v>51</v>
      </c>
      <c r="B52" t="s">
        <v>6</v>
      </c>
      <c r="C52" t="s">
        <v>357</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учёта'!$B$21,Расходка[[#This Row],[Наименование расходного материала]])),MAX($I$1:I51)+1,0)</f>
        <v>51</v>
      </c>
      <c r="J52" s="116">
        <f>IF(ISNUMBER(SEARCH('Карта учёта'!$B$19,Расходка[[#This Row],[Наименование расходного материала]])),MAX($J$1:J51)+1,0)</f>
        <v>51</v>
      </c>
      <c r="K52" s="116">
        <f>IF(ISNUMBER(SEARCH('Карта учёта'!$B$17,Расходка[[#This Row],[Наименование расходного материала]])),MAX($K$1:K51)+1,0)</f>
        <v>0</v>
      </c>
      <c r="L52" s="116">
        <f>IF(ISNUMBER(SEARCH('Карта учёта'!$B$18,Расходка[[#This Row],[Наименование расходного материала]])),MAX($L$1:L51)+1,0)</f>
        <v>51</v>
      </c>
      <c r="M52" s="116">
        <f>IF(ISNUMBER(SEARCH('Карта учёта'!$B$20,Расходка[[#This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DES, Yukon Chrome PC</v>
      </c>
      <c r="W52" s="115" t="str">
        <f>IFERROR(INDEX(Расходка[Наименование расходного материала],MATCH(Расходка[[#This Row],[№]],Поиск_расходки[Индекс6],0)),"")</f>
        <v>DES, Yukon Chrome PC</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DES, Yukon Chrome PC</v>
      </c>
      <c r="Z52" s="115" t="str">
        <f>IFERROR(INDEX(Расходка[Наименование расходного материала],MATCH(Расходка[[#This Row],[№]],Поиск_расходки[Индекс9],0)),"")</f>
        <v>DES, Yukon Chrome PC</v>
      </c>
      <c r="AA52" s="115" t="str">
        <f>IFERROR(INDEX(Расходка[Наименование расходного материала],MATCH(Расходка[[#This Row],[№]],Поиск_расходки[Индекс10],0)),"")</f>
        <v>DES, Yukon Chrome PC</v>
      </c>
      <c r="AB52" s="115" t="str">
        <f>IFERROR(INDEX(Расходка[Наименование расходного материала],MATCH(Расходка[[#This Row],[№]],Поиск_расходки[Индекс11],0)),"")</f>
        <v>DES, Yukon Chrome PC</v>
      </c>
      <c r="AC52" s="115" t="str">
        <f>IFERROR(INDEX(Расходка[Наименование расходного материала],MATCH(Расходка[[#This Row],[№]],Поиск_расходки[Индекс12],0)),"")</f>
        <v>DES, Yukon Chrome PC</v>
      </c>
      <c r="AD52" s="115" t="str">
        <f>IFERROR(INDEX(Расходка[Наименование расходного материала],MATCH(Расходка[[#This Row],[№]],Поиск_расходки[Индекс13],0)),"")</f>
        <v>DES, Yukon Chrome PC</v>
      </c>
      <c r="AF52" s="4" t="s">
        <v>6</v>
      </c>
      <c r="AG52" s="4" t="s">
        <v>448</v>
      </c>
    </row>
    <row r="53" spans="1:33">
      <c r="A53">
        <v>52</v>
      </c>
      <c r="B53" t="s">
        <v>6</v>
      </c>
      <c r="C53" s="162" t="s">
        <v>388</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учёта'!$B$21,Расходка[[#This Row],[Наименование расходного материала]])),MAX($I$1:I52)+1,0)</f>
        <v>52</v>
      </c>
      <c r="J53" s="116">
        <f>IF(ISNUMBER(SEARCH('Карта учёта'!$B$19,Расходка[[#This Row],[Наименование расходного материала]])),MAX($J$1:J52)+1,0)</f>
        <v>52</v>
      </c>
      <c r="K53" s="116">
        <f>IF(ISNUMBER(SEARCH('Карта учёта'!$B$17,Расходка[[#This Row],[Наименование расходного материала]])),MAX($K$1:K52)+1,0)</f>
        <v>0</v>
      </c>
      <c r="L53" s="116">
        <f>IF(ISNUMBER(SEARCH('Карта учёта'!$B$18,Расходка[[#This Row],[Наименование расходного материала]])),MAX($L$1:L52)+1,0)</f>
        <v>52</v>
      </c>
      <c r="M53" s="116">
        <f>IF(ISNUMBER(SEARCH('Карта учёта'!$B$20,Расходка[[#This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DES, Firehawk</v>
      </c>
      <c r="W53" s="115" t="str">
        <f>IFERROR(INDEX(Расходка[Наименование расходного материала],MATCH(Расходка[[#This Row],[№]],Поиск_расходки[Индекс6],0)),"")</f>
        <v>DES, Firehawk</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DES, Firehawk</v>
      </c>
      <c r="Z53" s="115" t="str">
        <f>IFERROR(INDEX(Расходка[Наименование расходного материала],MATCH(Расходка[[#This Row],[№]],Поиск_расходки[Индекс9],0)),"")</f>
        <v>DES, Firehawk</v>
      </c>
      <c r="AA53" s="115" t="str">
        <f>IFERROR(INDEX(Расходка[Наименование расходного материала],MATCH(Расходка[[#This Row],[№]],Поиск_расходки[Индекс10],0)),"")</f>
        <v>DES, Firehawk</v>
      </c>
      <c r="AB53" s="115" t="str">
        <f>IFERROR(INDEX(Расходка[Наименование расходного материала],MATCH(Расходка[[#This Row],[№]],Поиск_расходки[Индекс11],0)),"")</f>
        <v>DES, Firehawk</v>
      </c>
      <c r="AC53" s="115" t="str">
        <f>IFERROR(INDEX(Расходка[Наименование расходного материала],MATCH(Расходка[[#This Row],[№]],Поиск_расходки[Индекс12],0)),"")</f>
        <v>DES, Firehawk</v>
      </c>
      <c r="AD53" s="115" t="str">
        <f>IFERROR(INDEX(Расходка[Наименование расходного материала],MATCH(Расходка[[#This Row],[№]],Поиск_расходки[Индекс13],0)),"")</f>
        <v>DES, Firehawk</v>
      </c>
      <c r="AF53" s="4" t="s">
        <v>6</v>
      </c>
      <c r="AG53" s="4" t="s">
        <v>449</v>
      </c>
    </row>
    <row r="54" spans="1:33">
      <c r="A54">
        <v>53</v>
      </c>
      <c r="B54" t="s">
        <v>6</v>
      </c>
      <c r="C54" t="s">
        <v>387</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учёта'!$B$21,Расходка[[#This Row],[Наименование расходного материала]])),MAX($I$1:I53)+1,0)</f>
        <v>53</v>
      </c>
      <c r="J54" s="116">
        <f>IF(ISNUMBER(SEARCH('Карта учёта'!$B$19,Расходка[[#This Row],[Наименование расходного материала]])),MAX($J$1:J53)+1,0)</f>
        <v>53</v>
      </c>
      <c r="K54" s="116">
        <f>IF(ISNUMBER(SEARCH('Карта учёта'!$B$17,Расходка[[#This Row],[Наименование расходного материала]])),MAX($K$1:K53)+1,0)</f>
        <v>0</v>
      </c>
      <c r="L54" s="116">
        <f>IF(ISNUMBER(SEARCH('Карта учёта'!$B$18,Расходка[[#This Row],[Наименование расходного материала]])),MAX($L$1:L53)+1,0)</f>
        <v>53</v>
      </c>
      <c r="M54" s="116">
        <f>IF(ISNUMBER(SEARCH('Карта учёта'!$B$20,Расходка[[#This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DES, Resolute Onyx</v>
      </c>
      <c r="W54" s="115" t="str">
        <f>IFERROR(INDEX(Расходка[Наименование расходного материала],MATCH(Расходка[[#This Row],[№]],Поиск_расходки[Индекс6],0)),"")</f>
        <v>DES, Resolute Onyx</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DES, Resolute Onyx</v>
      </c>
      <c r="Z54" s="115" t="str">
        <f>IFERROR(INDEX(Расходка[Наименование расходного материала],MATCH(Расходка[[#This Row],[№]],Поиск_расходки[Индекс9],0)),"")</f>
        <v>DES, Resolute Onyx</v>
      </c>
      <c r="AA54" s="115" t="str">
        <f>IFERROR(INDEX(Расходка[Наименование расходного материала],MATCH(Расходка[[#This Row],[№]],Поиск_расходки[Индекс10],0)),"")</f>
        <v>DES, Resolute Onyx</v>
      </c>
      <c r="AB54" s="115" t="str">
        <f>IFERROR(INDEX(Расходка[Наименование расходного материала],MATCH(Расходка[[#This Row],[№]],Поиск_расходки[Индекс11],0)),"")</f>
        <v>DES, Resolute Onyx</v>
      </c>
      <c r="AC54" s="115" t="str">
        <f>IFERROR(INDEX(Расходка[Наименование расходного материала],MATCH(Расходка[[#This Row],[№]],Поиск_расходки[Индекс12],0)),"")</f>
        <v>DES, Resolute Onyx</v>
      </c>
      <c r="AD54" s="115" t="str">
        <f>IFERROR(INDEX(Расходка[Наименование расходного материала],MATCH(Расходка[[#This Row],[№]],Поиск_расходки[Индекс13],0)),"")</f>
        <v>DES, Resolute Onyx</v>
      </c>
      <c r="AF54" s="4" t="s">
        <v>6</v>
      </c>
      <c r="AG54" s="4" t="s">
        <v>450</v>
      </c>
    </row>
    <row r="55" spans="1:33">
      <c r="A55">
        <v>54</v>
      </c>
      <c r="B55" t="s">
        <v>6</v>
      </c>
      <c r="C55" t="s">
        <v>514</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учёта'!$B$21,Расходка[[#This Row],[Наименование расходного материала]])),MAX($I$1:I54)+1,0)</f>
        <v>54</v>
      </c>
      <c r="J55" s="116">
        <f>IF(ISNUMBER(SEARCH('Карта учёта'!$B$19,Расходка[[#This Row],[Наименование расходного материала]])),MAX($J$1:J54)+1,0)</f>
        <v>54</v>
      </c>
      <c r="K55" s="116">
        <f>IF(ISNUMBER(SEARCH('Карта учёта'!$B$17,Расходка[[#This Row],[Наименование расходного материала]])),MAX($K$1:K54)+1,0)</f>
        <v>0</v>
      </c>
      <c r="L55" s="116">
        <f>IF(ISNUMBER(SEARCH('Карта учёта'!$B$18,Расходка[[#This Row],[Наименование расходного материала]])),MAX($L$1:L54)+1,0)</f>
        <v>54</v>
      </c>
      <c r="M55" s="116">
        <f>IF(ISNUMBER(SEARCH('Карта учёта'!$B$20,Расходка[[#This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DES, Metafor</v>
      </c>
      <c r="W55" s="115" t="str">
        <f>IFERROR(INDEX(Расходка[Наименование расходного материала],MATCH(Расходка[[#This Row],[№]],Поиск_расходки[Индекс6],0)),"")</f>
        <v>DES, Metafor</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DES, Metafor</v>
      </c>
      <c r="Z55" s="115" t="str">
        <f>IFERROR(INDEX(Расходка[Наименование расходного материала],MATCH(Расходка[[#This Row],[№]],Поиск_расходки[Индекс9],0)),"")</f>
        <v>DES, Metafor</v>
      </c>
      <c r="AA55" s="115" t="str">
        <f>IFERROR(INDEX(Расходка[Наименование расходного материала],MATCH(Расходка[[#This Row],[№]],Поиск_расходки[Индекс10],0)),"")</f>
        <v>DES, Metafor</v>
      </c>
      <c r="AB55" s="115" t="str">
        <f>IFERROR(INDEX(Расходка[Наименование расходного материала],MATCH(Расходка[[#This Row],[№]],Поиск_расходки[Индекс11],0)),"")</f>
        <v>DES, Metafor</v>
      </c>
      <c r="AC55" s="115" t="str">
        <f>IFERROR(INDEX(Расходка[Наименование расходного материала],MATCH(Расходка[[#This Row],[№]],Поиск_расходки[Индекс12],0)),"")</f>
        <v>DES, Metafor</v>
      </c>
      <c r="AD55" s="115" t="str">
        <f>IFERROR(INDEX(Расходка[Наименование расходного материала],MATCH(Расходка[[#This Row],[№]],Поиск_расходки[Индекс13],0)),"")</f>
        <v>DES, Metafor</v>
      </c>
      <c r="AF55" s="4" t="s">
        <v>6</v>
      </c>
      <c r="AG55" s="4" t="s">
        <v>451</v>
      </c>
    </row>
    <row r="56" spans="1:33">
      <c r="A56">
        <v>55</v>
      </c>
      <c r="B56" t="s">
        <v>95</v>
      </c>
      <c r="C56" s="1" t="s">
        <v>324</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учёта'!$B$21,Расходка[[#This Row],[Наименование расходного материала]])),MAX($I$1:I55)+1,0)</f>
        <v>55</v>
      </c>
      <c r="J56" s="116">
        <f>IF(ISNUMBER(SEARCH('Карта учёта'!$B$19,Расходка[[#This Row],[Наименование расходного материала]])),MAX($J$1:J55)+1,0)</f>
        <v>55</v>
      </c>
      <c r="K56" s="116">
        <f>IF(ISNUMBER(SEARCH('Карта учёта'!$B$17,Расходка[[#This Row],[Наименование расходного материала]])),MAX($K$1:K55)+1,0)</f>
        <v>0</v>
      </c>
      <c r="L56" s="116">
        <f>IF(ISNUMBER(SEARCH('Карта учёта'!$B$18,Расходка[[#This Row],[Наименование расходного материала]])),MAX($L$1:L55)+1,0)</f>
        <v>55</v>
      </c>
      <c r="M56" s="116">
        <f>IF(ISNUMBER(SEARCH('Карта учёта'!$B$20,Расходка[[#This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Guidezilla™ II 6F</v>
      </c>
      <c r="W56" s="115" t="str">
        <f>IFERROR(INDEX(Расходка[Наименование расходного материала],MATCH(Расходка[[#This Row],[№]],Поиск_расходки[Индекс6],0)),"")</f>
        <v>Guidezilla™ II 6F</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Guidezilla™ II 6F</v>
      </c>
      <c r="Z56" s="115" t="str">
        <f>IFERROR(INDEX(Расходка[Наименование расходного материала],MATCH(Расходка[[#This Row],[№]],Поиск_расходки[Индекс9],0)),"")</f>
        <v>Guidezilla™ II 6F</v>
      </c>
      <c r="AA56" s="115" t="str">
        <f>IFERROR(INDEX(Расходка[Наименование расходного материала],MATCH(Расходка[[#This Row],[№]],Поиск_расходки[Индекс10],0)),"")</f>
        <v>Guidezilla™ II 6F</v>
      </c>
      <c r="AB56" s="115" t="str">
        <f>IFERROR(INDEX(Расходка[Наименование расходного материала],MATCH(Расходка[[#This Row],[№]],Поиск_расходки[Индекс11],0)),"")</f>
        <v>Guidezilla™ II 6F</v>
      </c>
      <c r="AC56" s="115" t="str">
        <f>IFERROR(INDEX(Расходка[Наименование расходного материала],MATCH(Расходка[[#This Row],[№]],Поиск_расходки[Индекс12],0)),"")</f>
        <v>Guidezilla™ II 6F</v>
      </c>
      <c r="AD56" s="115" t="str">
        <f>IFERROR(INDEX(Расходка[Наименование расходного материала],MATCH(Расходка[[#This Row],[№]],Поиск_расходки[Индекс13],0)),"")</f>
        <v>Guidezilla™ II 6F</v>
      </c>
      <c r="AF56" s="4" t="s">
        <v>6</v>
      </c>
      <c r="AG56" s="4" t="s">
        <v>452</v>
      </c>
    </row>
    <row r="57" spans="1:33">
      <c r="A57">
        <v>56</v>
      </c>
      <c r="B57" t="s">
        <v>95</v>
      </c>
      <c r="C57" s="1" t="s">
        <v>343</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учёта'!$B$21,Расходка[[#This Row],[Наименование расходного материала]])),MAX($I$1:I56)+1,0)</f>
        <v>56</v>
      </c>
      <c r="J57" s="116">
        <f>IF(ISNUMBER(SEARCH('Карта учёта'!$B$19,Расходка[[#This Row],[Наименование расходного материала]])),MAX($J$1:J56)+1,0)</f>
        <v>56</v>
      </c>
      <c r="K57" s="116">
        <f>IF(ISNUMBER(SEARCH('Карта учёта'!$B$17,Расходка[[#This Row],[Наименование расходного материала]])),MAX($K$1:K56)+1,0)</f>
        <v>0</v>
      </c>
      <c r="L57" s="116">
        <f>IF(ISNUMBER(SEARCH('Карта учёта'!$B$18,Расходка[[#This Row],[Наименование расходного материала]])),MAX($L$1:L56)+1,0)</f>
        <v>56</v>
      </c>
      <c r="M57" s="116">
        <f>IF(ISNUMBER(SEARCH('Карта учёта'!$B$20,Расходка[[#This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Telescope ™ II 6F</v>
      </c>
      <c r="W57" s="115" t="str">
        <f>IFERROR(INDEX(Расходка[Наименование расходного материала],MATCH(Расходка[[#This Row],[№]],Поиск_расходки[Индекс6],0)),"")</f>
        <v>Telescope ™ II 6F</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Telescope ™ II 6F</v>
      </c>
      <c r="Z57" s="115" t="str">
        <f>IFERROR(INDEX(Расходка[Наименование расходного материала],MATCH(Расходка[[#This Row],[№]],Поиск_расходки[Индекс9],0)),"")</f>
        <v>Telescope ™ II 6F</v>
      </c>
      <c r="AA57" s="115" t="str">
        <f>IFERROR(INDEX(Расходка[Наименование расходного материала],MATCH(Расходка[[#This Row],[№]],Поиск_расходки[Индекс10],0)),"")</f>
        <v>Telescope ™ II 6F</v>
      </c>
      <c r="AB57" s="115" t="str">
        <f>IFERROR(INDEX(Расходка[Наименование расходного материала],MATCH(Расходка[[#This Row],[№]],Поиск_расходки[Индекс11],0)),"")</f>
        <v>Telescope ™ II 6F</v>
      </c>
      <c r="AC57" s="115" t="str">
        <f>IFERROR(INDEX(Расходка[Наименование расходного материала],MATCH(Расходка[[#This Row],[№]],Поиск_расходки[Индекс12],0)),"")</f>
        <v>Telescope ™ II 6F</v>
      </c>
      <c r="AD57" s="115" t="str">
        <f>IFERROR(INDEX(Расходка[Наименование расходного материала],MATCH(Расходка[[#This Row],[№]],Поиск_расходки[Индекс13],0)),"")</f>
        <v>Telescope ™ II 6F</v>
      </c>
      <c r="AF57" s="4" t="s">
        <v>6</v>
      </c>
      <c r="AG57" s="4" t="s">
        <v>453</v>
      </c>
    </row>
    <row r="58" spans="1:33">
      <c r="A58">
        <v>57</v>
      </c>
      <c r="B58" t="s">
        <v>4</v>
      </c>
      <c r="C58" t="s">
        <v>350</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учёта'!$B$21,Расходка[[#This Row],[Наименование расходного материала]])),MAX($I$1:I57)+1,0)</f>
        <v>57</v>
      </c>
      <c r="J58" s="116">
        <f>IF(ISNUMBER(SEARCH('Карта учёта'!$B$19,Расходка[[#This Row],[Наименование расходного материала]])),MAX($J$1:J57)+1,0)</f>
        <v>57</v>
      </c>
      <c r="K58" s="116">
        <f>IF(ISNUMBER(SEARCH('Карта учёта'!$B$17,Расходка[[#This Row],[Наименование расходного материала]])),MAX($K$1:K57)+1,0)</f>
        <v>0</v>
      </c>
      <c r="L58" s="116">
        <f>IF(ISNUMBER(SEARCH('Карта учёта'!$B$18,Расходка[[#This Row],[Наименование расходного материала]])),MAX($L$1:L57)+1,0)</f>
        <v>57</v>
      </c>
      <c r="M58" s="116">
        <f>IF(ISNUMBER(SEARCH('Карта учёта'!$B$20,Расходка[[#This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Launcher 6F AL 1</v>
      </c>
      <c r="W58" s="115" t="str">
        <f>IFERROR(INDEX(Расходка[Наименование расходного материала],MATCH(Расходка[[#This Row],[№]],Поиск_расходки[Индекс6],0)),"")</f>
        <v>Launcher 6F AL 1</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Launcher 6F AL 1</v>
      </c>
      <c r="Z58" s="115" t="str">
        <f>IFERROR(INDEX(Расходка[Наименование расходного материала],MATCH(Расходка[[#This Row],[№]],Поиск_расходки[Индекс9],0)),"")</f>
        <v>Launcher 6F AL 1</v>
      </c>
      <c r="AA58" s="115" t="str">
        <f>IFERROR(INDEX(Расходка[Наименование расходного материала],MATCH(Расходка[[#This Row],[№]],Поиск_расходки[Индекс10],0)),"")</f>
        <v>Launcher 6F AL 1</v>
      </c>
      <c r="AB58" s="115" t="str">
        <f>IFERROR(INDEX(Расходка[Наименование расходного материала],MATCH(Расходка[[#This Row],[№]],Поиск_расходки[Индекс11],0)),"")</f>
        <v>Launcher 6F AL 1</v>
      </c>
      <c r="AC58" s="115" t="str">
        <f>IFERROR(INDEX(Расходка[Наименование расходного материала],MATCH(Расходка[[#This Row],[№]],Поиск_расходки[Индекс12],0)),"")</f>
        <v>Launcher 6F AL 1</v>
      </c>
      <c r="AD58" s="115" t="str">
        <f>IFERROR(INDEX(Расходка[Наименование расходного материала],MATCH(Расходка[[#This Row],[№]],Поиск_расходки[Индекс13],0)),"")</f>
        <v>Launcher 6F AL 1</v>
      </c>
      <c r="AF58" s="4" t="s">
        <v>6</v>
      </c>
      <c r="AG58" s="4" t="s">
        <v>454</v>
      </c>
    </row>
    <row r="59" spans="1:33">
      <c r="A59">
        <v>58</v>
      </c>
      <c r="B59" t="s">
        <v>4</v>
      </c>
      <c r="C59" t="s">
        <v>351</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учёта'!$B$21,Расходка[[#This Row],[Наименование расходного материала]])),MAX($I$1:I58)+1,0)</f>
        <v>58</v>
      </c>
      <c r="J59" s="116">
        <f>IF(ISNUMBER(SEARCH('Карта учёта'!$B$19,Расходка[[#This Row],[Наименование расходного материала]])),MAX($J$1:J58)+1,0)</f>
        <v>58</v>
      </c>
      <c r="K59" s="116">
        <f>IF(ISNUMBER(SEARCH('Карта учёта'!$B$17,Расходка[[#This Row],[Наименование расходного материала]])),MAX($K$1:K58)+1,0)</f>
        <v>0</v>
      </c>
      <c r="L59" s="116">
        <f>IF(ISNUMBER(SEARCH('Карта учёта'!$B$18,Расходка[[#This Row],[Наименование расходного материала]])),MAX($L$1:L58)+1,0)</f>
        <v>58</v>
      </c>
      <c r="M59" s="116">
        <f>IF(ISNUMBER(SEARCH('Карта учёта'!$B$20,Расходка[[#This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Launcher 6F AL 2</v>
      </c>
      <c r="W59" s="115" t="str">
        <f>IFERROR(INDEX(Расходка[Наименование расходного материала],MATCH(Расходка[[#This Row],[№]],Поиск_расходки[Индекс6],0)),"")</f>
        <v>Launcher 6F AL 2</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Launcher 6F AL 2</v>
      </c>
      <c r="Z59" s="115" t="str">
        <f>IFERROR(INDEX(Расходка[Наименование расходного материала],MATCH(Расходка[[#This Row],[№]],Поиск_расходки[Индекс9],0)),"")</f>
        <v>Launcher 6F AL 2</v>
      </c>
      <c r="AA59" s="115" t="str">
        <f>IFERROR(INDEX(Расходка[Наименование расходного материала],MATCH(Расходка[[#This Row],[№]],Поиск_расходки[Индекс10],0)),"")</f>
        <v>Launcher 6F AL 2</v>
      </c>
      <c r="AB59" s="115" t="str">
        <f>IFERROR(INDEX(Расходка[Наименование расходного материала],MATCH(Расходка[[#This Row],[№]],Поиск_расходки[Индекс11],0)),"")</f>
        <v>Launcher 6F AL 2</v>
      </c>
      <c r="AC59" s="115" t="str">
        <f>IFERROR(INDEX(Расходка[Наименование расходного материала],MATCH(Расходка[[#This Row],[№]],Поиск_расходки[Индекс12],0)),"")</f>
        <v>Launcher 6F AL 2</v>
      </c>
      <c r="AD59" s="115" t="str">
        <f>IFERROR(INDEX(Расходка[Наименование расходного материала],MATCH(Расходка[[#This Row],[№]],Поиск_расходки[Индекс13],0)),"")</f>
        <v>Launcher 6F AL 2</v>
      </c>
      <c r="AF59" s="4" t="s">
        <v>6</v>
      </c>
      <c r="AG59" s="4" t="s">
        <v>455</v>
      </c>
    </row>
    <row r="60" spans="1:33">
      <c r="A60">
        <v>59</v>
      </c>
      <c r="B60" t="s">
        <v>4</v>
      </c>
      <c r="C60" t="s">
        <v>511</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учёта'!$B$21,Расходка[[#This Row],[Наименование расходного материала]])),MAX($I$1:I59)+1,0)</f>
        <v>59</v>
      </c>
      <c r="J60" s="116">
        <f>IF(ISNUMBER(SEARCH('Карта учёта'!$B$19,Расходка[[#This Row],[Наименование расходного материала]])),MAX($J$1:J59)+1,0)</f>
        <v>59</v>
      </c>
      <c r="K60" s="116">
        <f>IF(ISNUMBER(SEARCH('Карта учёта'!$B$17,Расходка[[#This Row],[Наименование расходного материала]])),MAX($K$1:K59)+1,0)</f>
        <v>0</v>
      </c>
      <c r="L60" s="116">
        <f>IF(ISNUMBER(SEARCH('Карта учёта'!$B$18,Расходка[[#This Row],[Наименование расходного материала]])),MAX($L$1:L59)+1,0)</f>
        <v>59</v>
      </c>
      <c r="M60" s="116">
        <f>IF(ISNUMBER(SEARCH('Карта учёта'!$B$20,Расходка[[#This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Launcher 6F AL 3</v>
      </c>
      <c r="W60" s="115" t="str">
        <f>IFERROR(INDEX(Расходка[Наименование расходного материала],MATCH(Расходка[[#This Row],[№]],Поиск_расходки[Индекс6],0)),"")</f>
        <v>Launcher 6F AL 3</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Launcher 6F AL 3</v>
      </c>
      <c r="Z60" s="115" t="str">
        <f>IFERROR(INDEX(Расходка[Наименование расходного материала],MATCH(Расходка[[#This Row],[№]],Поиск_расходки[Индекс9],0)),"")</f>
        <v>Launcher 6F AL 3</v>
      </c>
      <c r="AA60" s="115" t="str">
        <f>IFERROR(INDEX(Расходка[Наименование расходного материала],MATCH(Расходка[[#This Row],[№]],Поиск_расходки[Индекс10],0)),"")</f>
        <v>Launcher 6F AL 3</v>
      </c>
      <c r="AB60" s="115" t="str">
        <f>IFERROR(INDEX(Расходка[Наименование расходного материала],MATCH(Расходка[[#This Row],[№]],Поиск_расходки[Индекс11],0)),"")</f>
        <v>Launcher 6F AL 3</v>
      </c>
      <c r="AC60" s="115" t="str">
        <f>IFERROR(INDEX(Расходка[Наименование расходного материала],MATCH(Расходка[[#This Row],[№]],Поиск_расходки[Индекс12],0)),"")</f>
        <v>Launcher 6F AL 3</v>
      </c>
      <c r="AD60" s="115" t="str">
        <f>IFERROR(INDEX(Расходка[Наименование расходного материала],MATCH(Расходка[[#This Row],[№]],Поиск_расходки[Индекс13],0)),"")</f>
        <v>Launcher 6F AL 3</v>
      </c>
      <c r="AF60" s="4" t="s">
        <v>6</v>
      </c>
      <c r="AG60" s="4" t="s">
        <v>456</v>
      </c>
    </row>
    <row r="61" spans="1:33">
      <c r="A61">
        <v>60</v>
      </c>
      <c r="B61" t="s">
        <v>4</v>
      </c>
      <c r="C61" t="s">
        <v>325</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1</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учёта'!$B$21,Расходка[[#This Row],[Наименование расходного материала]])),MAX($I$1:I60)+1,0)</f>
        <v>60</v>
      </c>
      <c r="J61" s="116">
        <f>IF(ISNUMBER(SEARCH('Карта учёта'!$B$19,Расходка[[#This Row],[Наименование расходного материала]])),MAX($J$1:J60)+1,0)</f>
        <v>60</v>
      </c>
      <c r="K61" s="116">
        <f>IF(ISNUMBER(SEARCH('Карта учёта'!$B$17,Расходка[[#This Row],[Наименование расходного материала]])),MAX($K$1:K60)+1,0)</f>
        <v>0</v>
      </c>
      <c r="L61" s="116">
        <f>IF(ISNUMBER(SEARCH('Карта учёта'!$B$18,Расходка[[#This Row],[Наименование расходного материала]])),MAX($L$1:L60)+1,0)</f>
        <v>60</v>
      </c>
      <c r="M61" s="116">
        <f>IF(ISNUMBER(SEARCH('Карта учёта'!$B$20,Расходка[[#This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Launcher 6F EBU 3.5</v>
      </c>
      <c r="W61" s="115" t="str">
        <f>IFERROR(INDEX(Расходка[Наименование расходного материала],MATCH(Расходка[[#This Row],[№]],Поиск_расходки[Индекс6],0)),"")</f>
        <v>Launcher 6F EBU 3.5</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Launcher 6F EBU 3.5</v>
      </c>
      <c r="Z61" s="115" t="str">
        <f>IFERROR(INDEX(Расходка[Наименование расходного материала],MATCH(Расходка[[#This Row],[№]],Поиск_расходки[Индекс9],0)),"")</f>
        <v>Launcher 6F EBU 3.5</v>
      </c>
      <c r="AA61" s="115" t="str">
        <f>IFERROR(INDEX(Расходка[Наименование расходного материала],MATCH(Расходка[[#This Row],[№]],Поиск_расходки[Индекс10],0)),"")</f>
        <v>Launcher 6F EBU 3.5</v>
      </c>
      <c r="AB61" s="115" t="str">
        <f>IFERROR(INDEX(Расходка[Наименование расходного материала],MATCH(Расходка[[#This Row],[№]],Поиск_расходки[Индекс11],0)),"")</f>
        <v>Launcher 6F EBU 3.5</v>
      </c>
      <c r="AC61" s="115" t="str">
        <f>IFERROR(INDEX(Расходка[Наименование расходного материала],MATCH(Расходка[[#This Row],[№]],Поиск_расходки[Индекс12],0)),"")</f>
        <v>Launcher 6F EBU 3.5</v>
      </c>
      <c r="AD61" s="115" t="str">
        <f>IFERROR(INDEX(Расходка[Наименование расходного материала],MATCH(Расходка[[#This Row],[№]],Поиск_расходки[Индекс13],0)),"")</f>
        <v>Launcher 6F EBU 3.5</v>
      </c>
      <c r="AF61" s="4" t="s">
        <v>6</v>
      </c>
      <c r="AG61" s="4" t="s">
        <v>417</v>
      </c>
    </row>
    <row r="62" spans="1:33">
      <c r="A62">
        <v>61</v>
      </c>
      <c r="B62" t="s">
        <v>4</v>
      </c>
      <c r="C62" t="s">
        <v>326</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учёта'!$B$21,Расходка[[#This Row],[Наименование расходного материала]])),MAX($I$1:I61)+1,0)</f>
        <v>61</v>
      </c>
      <c r="J62" s="116">
        <f>IF(ISNUMBER(SEARCH('Карта учёта'!$B$19,Расходка[[#This Row],[Наименование расходного материала]])),MAX($J$1:J61)+1,0)</f>
        <v>61</v>
      </c>
      <c r="K62" s="116">
        <f>IF(ISNUMBER(SEARCH('Карта учёта'!$B$17,Расходка[[#This Row],[Наименование расходного материала]])),MAX($K$1:K61)+1,0)</f>
        <v>0</v>
      </c>
      <c r="L62" s="116">
        <f>IF(ISNUMBER(SEARCH('Карта учёта'!$B$18,Расходка[[#This Row],[Наименование расходного материала]])),MAX($L$1:L61)+1,0)</f>
        <v>61</v>
      </c>
      <c r="M62" s="116">
        <f>IF(ISNUMBER(SEARCH('Карта учёта'!$B$20,Расходка[[#This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Launcher 6F EBU 4.0</v>
      </c>
      <c r="W62" s="115" t="str">
        <f>IFERROR(INDEX(Расходка[Наименование расходного материала],MATCH(Расходка[[#This Row],[№]],Поиск_расходки[Индекс6],0)),"")</f>
        <v>Launcher 6F EBU 4.0</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Launcher 6F EBU 4.0</v>
      </c>
      <c r="Z62" s="115" t="str">
        <f>IFERROR(INDEX(Расходка[Наименование расходного материала],MATCH(Расходка[[#This Row],[№]],Поиск_расходки[Индекс9],0)),"")</f>
        <v>Launcher 6F EBU 4.0</v>
      </c>
      <c r="AA62" s="115" t="str">
        <f>IFERROR(INDEX(Расходка[Наименование расходного материала],MATCH(Расходка[[#This Row],[№]],Поиск_расходки[Индекс10],0)),"")</f>
        <v>Launcher 6F EBU 4.0</v>
      </c>
      <c r="AB62" s="115" t="str">
        <f>IFERROR(INDEX(Расходка[Наименование расходного материала],MATCH(Расходка[[#This Row],[№]],Поиск_расходки[Индекс11],0)),"")</f>
        <v>Launcher 6F EBU 4.0</v>
      </c>
      <c r="AC62" s="115" t="str">
        <f>IFERROR(INDEX(Расходка[Наименование расходного материала],MATCH(Расходка[[#This Row],[№]],Поиск_расходки[Индекс12],0)),"")</f>
        <v>Launcher 6F EBU 4.0</v>
      </c>
      <c r="AD62" s="115" t="str">
        <f>IFERROR(INDEX(Расходка[Наименование расходного материала],MATCH(Расходка[[#This Row],[№]],Поиск_расходки[Индекс13],0)),"")</f>
        <v>Launcher 6F EBU 4.0</v>
      </c>
      <c r="AF62" s="4" t="s">
        <v>6</v>
      </c>
      <c r="AG62" s="4" t="s">
        <v>457</v>
      </c>
    </row>
    <row r="63" spans="1:33">
      <c r="A63">
        <v>62</v>
      </c>
      <c r="B63" t="s">
        <v>4</v>
      </c>
      <c r="C63" t="s">
        <v>327</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учёта'!$B$21,Расходка[[#This Row],[Наименование расходного материала]])),MAX($I$1:I62)+1,0)</f>
        <v>62</v>
      </c>
      <c r="J63" s="116">
        <f>IF(ISNUMBER(SEARCH('Карта учёта'!$B$19,Расходка[[#This Row],[Наименование расходного материала]])),MAX($J$1:J62)+1,0)</f>
        <v>62</v>
      </c>
      <c r="K63" s="116">
        <f>IF(ISNUMBER(SEARCH('Карта учёта'!$B$17,Расходка[[#This Row],[Наименование расходного материала]])),MAX($K$1:K62)+1,0)</f>
        <v>0</v>
      </c>
      <c r="L63" s="116">
        <f>IF(ISNUMBER(SEARCH('Карта учёта'!$B$18,Расходка[[#This Row],[Наименование расходного материала]])),MAX($L$1:L62)+1,0)</f>
        <v>62</v>
      </c>
      <c r="M63" s="116">
        <f>IF(ISNUMBER(SEARCH('Карта учёта'!$B$20,Расходка[[#This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Launcher 6F JL 3.5</v>
      </c>
      <c r="W63" s="115" t="str">
        <f>IFERROR(INDEX(Расходка[Наименование расходного материала],MATCH(Расходка[[#This Row],[№]],Поиск_расходки[Индекс6],0)),"")</f>
        <v>Launcher 6F JL 3.5</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Launcher 6F JL 3.5</v>
      </c>
      <c r="Z63" s="115" t="str">
        <f>IFERROR(INDEX(Расходка[Наименование расходного материала],MATCH(Расходка[[#This Row],[№]],Поиск_расходки[Индекс9],0)),"")</f>
        <v>Launcher 6F JL 3.5</v>
      </c>
      <c r="AA63" s="115" t="str">
        <f>IFERROR(INDEX(Расходка[Наименование расходного материала],MATCH(Расходка[[#This Row],[№]],Поиск_расходки[Индекс10],0)),"")</f>
        <v>Launcher 6F JL 3.5</v>
      </c>
      <c r="AB63" s="115" t="str">
        <f>IFERROR(INDEX(Расходка[Наименование расходного материала],MATCH(Расходка[[#This Row],[№]],Поиск_расходки[Индекс11],0)),"")</f>
        <v>Launcher 6F JL 3.5</v>
      </c>
      <c r="AC63" s="115" t="str">
        <f>IFERROR(INDEX(Расходка[Наименование расходного материала],MATCH(Расходка[[#This Row],[№]],Поиск_расходки[Индекс12],0)),"")</f>
        <v>Launcher 6F JL 3.5</v>
      </c>
      <c r="AD63" s="115" t="str">
        <f>IFERROR(INDEX(Расходка[Наименование расходного материала],MATCH(Расходка[[#This Row],[№]],Поиск_расходки[Индекс13],0)),"")</f>
        <v>Launcher 6F JL 3.5</v>
      </c>
      <c r="AF63" s="4" t="s">
        <v>6</v>
      </c>
      <c r="AG63" s="4" t="s">
        <v>458</v>
      </c>
    </row>
    <row r="64" spans="1:33">
      <c r="A64">
        <v>63</v>
      </c>
      <c r="B64" t="s">
        <v>4</v>
      </c>
      <c r="C64" t="s">
        <v>328</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учёта'!$B$21,Расходка[[#This Row],[Наименование расходного материала]])),MAX($I$1:I63)+1,0)</f>
        <v>63</v>
      </c>
      <c r="J64" s="116">
        <f>IF(ISNUMBER(SEARCH('Карта учёта'!$B$19,Расходка[[#This Row],[Наименование расходного материала]])),MAX($J$1:J63)+1,0)</f>
        <v>63</v>
      </c>
      <c r="K64" s="116">
        <f>IF(ISNUMBER(SEARCH('Карта учёта'!$B$17,Расходка[[#This Row],[Наименование расходного материала]])),MAX($K$1:K63)+1,0)</f>
        <v>0</v>
      </c>
      <c r="L64" s="116">
        <f>IF(ISNUMBER(SEARCH('Карта учёта'!$B$18,Расходка[[#This Row],[Наименование расходного материала]])),MAX($L$1:L63)+1,0)</f>
        <v>63</v>
      </c>
      <c r="M64" s="116">
        <f>IF(ISNUMBER(SEARCH('Карта учёта'!$B$20,Расходка[[#This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Launcher 6F JL 4.0</v>
      </c>
      <c r="W64" s="115" t="str">
        <f>IFERROR(INDEX(Расходка[Наименование расходного материала],MATCH(Расходка[[#This Row],[№]],Поиск_расходки[Индекс6],0)),"")</f>
        <v>Launcher 6F JL 4.0</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Launcher 6F JL 4.0</v>
      </c>
      <c r="Z64" s="115" t="str">
        <f>IFERROR(INDEX(Расходка[Наименование расходного материала],MATCH(Расходка[[#This Row],[№]],Поиск_расходки[Индекс9],0)),"")</f>
        <v>Launcher 6F JL 4.0</v>
      </c>
      <c r="AA64" s="115" t="str">
        <f>IFERROR(INDEX(Расходка[Наименование расходного материала],MATCH(Расходка[[#This Row],[№]],Поиск_расходки[Индекс10],0)),"")</f>
        <v>Launcher 6F JL 4.0</v>
      </c>
      <c r="AB64" s="115" t="str">
        <f>IFERROR(INDEX(Расходка[Наименование расходного материала],MATCH(Расходка[[#This Row],[№]],Поиск_расходки[Индекс11],0)),"")</f>
        <v>Launcher 6F JL 4.0</v>
      </c>
      <c r="AC64" s="115" t="str">
        <f>IFERROR(INDEX(Расходка[Наименование расходного материала],MATCH(Расходка[[#This Row],[№]],Поиск_расходки[Индекс12],0)),"")</f>
        <v>Launcher 6F JL 4.0</v>
      </c>
      <c r="AD64" s="115" t="str">
        <f>IFERROR(INDEX(Расходка[Наименование расходного материала],MATCH(Расходка[[#This Row],[№]],Поиск_расходки[Индекс13],0)),"")</f>
        <v>Launcher 6F JL 4.0</v>
      </c>
      <c r="AF64" s="4" t="s">
        <v>6</v>
      </c>
      <c r="AG64" s="4" t="s">
        <v>459</v>
      </c>
    </row>
    <row r="65" spans="1:33">
      <c r="A65">
        <v>64</v>
      </c>
      <c r="B65" t="s">
        <v>4</v>
      </c>
      <c r="C65" t="s">
        <v>334</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учёта'!$B$21,Расходка[[#This Row],[Наименование расходного материала]])),MAX($I$1:I64)+1,0)</f>
        <v>64</v>
      </c>
      <c r="J65" s="116">
        <f>IF(ISNUMBER(SEARCH('Карта учёта'!$B$19,Расходка[[#This Row],[Наименование расходного материала]])),MAX($J$1:J64)+1,0)</f>
        <v>64</v>
      </c>
      <c r="K65" s="116">
        <f>IF(ISNUMBER(SEARCH('Карта учёта'!$B$17,Расходка[[#This Row],[Наименование расходного материала]])),MAX($K$1:K64)+1,0)</f>
        <v>0</v>
      </c>
      <c r="L65" s="116">
        <f>IF(ISNUMBER(SEARCH('Карта учёта'!$B$18,Расходка[[#This Row],[Наименование расходного материала]])),MAX($L$1:L64)+1,0)</f>
        <v>64</v>
      </c>
      <c r="M65" s="116">
        <f>IF(ISNUMBER(SEARCH('Карта учёта'!$B$20,Расходка[[#This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Launcher 6F JL 4.5</v>
      </c>
      <c r="W65" s="115" t="str">
        <f>IFERROR(INDEX(Расходка[Наименование расходного материала],MATCH(Расходка[[#This Row],[№]],Поиск_расходки[Индекс6],0)),"")</f>
        <v>Launcher 6F JL 4.5</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Launcher 6F JL 4.5</v>
      </c>
      <c r="Z65" s="115" t="str">
        <f>IFERROR(INDEX(Расходка[Наименование расходного материала],MATCH(Расходка[[#This Row],[№]],Поиск_расходки[Индекс9],0)),"")</f>
        <v>Launcher 6F JL 4.5</v>
      </c>
      <c r="AA65" s="115" t="str">
        <f>IFERROR(INDEX(Расходка[Наименование расходного материала],MATCH(Расходка[[#This Row],[№]],Поиск_расходки[Индекс10],0)),"")</f>
        <v>Launcher 6F JL 4.5</v>
      </c>
      <c r="AB65" s="115" t="str">
        <f>IFERROR(INDEX(Расходка[Наименование расходного материала],MATCH(Расходка[[#This Row],[№]],Поиск_расходки[Индекс11],0)),"")</f>
        <v>Launcher 6F JL 4.5</v>
      </c>
      <c r="AC65" s="115" t="str">
        <f>IFERROR(INDEX(Расходка[Наименование расходного материала],MATCH(Расходка[[#This Row],[№]],Поиск_расходки[Индекс12],0)),"")</f>
        <v>Launcher 6F JL 4.5</v>
      </c>
      <c r="AD65" s="115" t="str">
        <f>IFERROR(INDEX(Расходка[Наименование расходного материала],MATCH(Расходка[[#This Row],[№]],Поиск_расходки[Индекс13],0)),"")</f>
        <v>Launcher 6F JL 4.5</v>
      </c>
      <c r="AF65" s="4" t="s">
        <v>6</v>
      </c>
      <c r="AG65" s="4" t="s">
        <v>460</v>
      </c>
    </row>
    <row r="66" spans="1:33">
      <c r="A66">
        <v>65</v>
      </c>
      <c r="B66" t="s">
        <v>4</v>
      </c>
      <c r="C66" t="s">
        <v>329</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учёта'!$B$21,Расходка[[#This Row],[Наименование расходного материала]])),MAX($I$1:I65)+1,0)</f>
        <v>65</v>
      </c>
      <c r="J66" s="116">
        <f>IF(ISNUMBER(SEARCH('Карта учёта'!$B$19,Расходка[[#This Row],[Наименование расходного материала]])),MAX($J$1:J65)+1,0)</f>
        <v>65</v>
      </c>
      <c r="K66" s="116">
        <f>IF(ISNUMBER(SEARCH('Карта учёта'!$B$17,Расходка[[#This Row],[Наименование расходного материала]])),MAX($K$1:K65)+1,0)</f>
        <v>0</v>
      </c>
      <c r="L66" s="116">
        <f>IF(ISNUMBER(SEARCH('Карта учёта'!$B$18,Расходка[[#This Row],[Наименование расходного материала]])),MAX($L$1:L65)+1,0)</f>
        <v>65</v>
      </c>
      <c r="M66" s="116">
        <f>IF(ISNUMBER(SEARCH('Карта учёта'!$B$20,Расходка[[#This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Launcher 6F JR 3.5</v>
      </c>
      <c r="W66" s="115" t="str">
        <f>IFERROR(INDEX(Расходка[Наименование расходного материала],MATCH(Расходка[[#This Row],[№]],Поиск_расходки[Индекс6],0)),"")</f>
        <v>Launcher 6F JR 3.5</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Launcher 6F JR 3.5</v>
      </c>
      <c r="Z66" s="115" t="str">
        <f>IFERROR(INDEX(Расходка[Наименование расходного материала],MATCH(Расходка[[#This Row],[№]],Поиск_расходки[Индекс9],0)),"")</f>
        <v>Launcher 6F JR 3.5</v>
      </c>
      <c r="AA66" s="115" t="str">
        <f>IFERROR(INDEX(Расходка[Наименование расходного материала],MATCH(Расходка[[#This Row],[№]],Поиск_расходки[Индекс10],0)),"")</f>
        <v>Launcher 6F JR 3.5</v>
      </c>
      <c r="AB66" s="115" t="str">
        <f>IFERROR(INDEX(Расходка[Наименование расходного материала],MATCH(Расходка[[#This Row],[№]],Поиск_расходки[Индекс11],0)),"")</f>
        <v>Launcher 6F JR 3.5</v>
      </c>
      <c r="AC66" s="115" t="str">
        <f>IFERROR(INDEX(Расходка[Наименование расходного материала],MATCH(Расходка[[#This Row],[№]],Поиск_расходки[Индекс12],0)),"")</f>
        <v>Launcher 6F JR 3.5</v>
      </c>
      <c r="AD66" s="115" t="str">
        <f>IFERROR(INDEX(Расходка[Наименование расходного материала],MATCH(Расходка[[#This Row],[№]],Поиск_расходки[Индекс13],0)),"")</f>
        <v>Launcher 6F JR 3.5</v>
      </c>
      <c r="AF66" s="4" t="s">
        <v>6</v>
      </c>
      <c r="AG66" s="4" t="s">
        <v>461</v>
      </c>
    </row>
    <row r="67" spans="1:33">
      <c r="A67">
        <v>66</v>
      </c>
      <c r="B67" t="s">
        <v>4</v>
      </c>
      <c r="C67" t="s">
        <v>330</v>
      </c>
      <c r="E67" s="116">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учёта'!$B$21,Расходка[[#This Row],[Наименование расходного материала]])),MAX($I$1:I66)+1,0)</f>
        <v>66</v>
      </c>
      <c r="J67" s="199">
        <f>IF(ISNUMBER(SEARCH('Карта учёта'!$B$19,Расходка[[#This Row],[Наименование расходного материала]])),MAX($J$1:J66)+1,0)</f>
        <v>66</v>
      </c>
      <c r="K67" s="199">
        <f>IF(ISNUMBER(SEARCH('Карта учёта'!$B$17,Расходка[[#This Row],[Наименование расходного материала]])),MAX($K$1:K66)+1,0)</f>
        <v>0</v>
      </c>
      <c r="L67" s="199">
        <f>IF(ISNUMBER(SEARCH('Карта учёта'!$B$18,Расходка[[#This Row],[Наименование расходного материала]])),MAX($L$1:L66)+1,0)</f>
        <v>66</v>
      </c>
      <c r="M67" s="199">
        <f>IF(ISNUMBER(SEARCH('Карта учёта'!$B$20,Расходка[[#This Row],[Наименование расходного материала]])),MAX($M$1:M66)+1,0)</f>
        <v>66</v>
      </c>
      <c r="N67" s="199">
        <f>IF(ISNUMBER(SEARCH('Карта учёта'!$B$22,Расходка[[#This Row],[Наименование расходного материала]])),MAX($N$1:N66)+1,0)</f>
        <v>66</v>
      </c>
      <c r="O67" s="199">
        <f>IF(ISNUMBER(SEARCH('Карта учёта'!$B$23,Расходка[[#This Row],[Наименование расходного материала]])),MAX($O$1:O66)+1,0)</f>
        <v>66</v>
      </c>
      <c r="P67" s="116">
        <f>IF(ISNUMBER(SEARCH('Карта учёта'!$B$24,Расходка[[#This Row],[Наименование расходного материала]])),MAX($P$1:P66)+1,0)</f>
        <v>66</v>
      </c>
      <c r="Q67" s="199">
        <f>IF(ISNUMBER(SEARCH('Карта учёта'!$B$25,Расходка[[#This Row],[Наименование расходного материала]])),MAX($Q$1:Q66)+1,0)</f>
        <v>66</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Launcher 6F JR 4.0</v>
      </c>
      <c r="W67" s="200" t="str">
        <f>IFERROR(INDEX(Расходка[Наименование расходного материала],MATCH(Расходка[[#This Row],[№]],Поиск_расходки[Индекс6],0)),"")</f>
        <v>Launcher 6F JR 4.0</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Launcher 6F JR 4.0</v>
      </c>
      <c r="Z67" s="200" t="str">
        <f>IFERROR(INDEX(Расходка[Наименование расходного материала],MATCH(Расходка[[#This Row],[№]],Поиск_расходки[Индекс9],0)),"")</f>
        <v>Launcher 6F JR 4.0</v>
      </c>
      <c r="AA67" s="200" t="str">
        <f>IFERROR(INDEX(Расходка[Наименование расходного материала],MATCH(Расходка[[#This Row],[№]],Поиск_расходки[Индекс10],0)),"")</f>
        <v>Launcher 6F JR 4.0</v>
      </c>
      <c r="AB67" s="200" t="str">
        <f>IFERROR(INDEX(Расходка[Наименование расходного материала],MATCH(Расходка[[#This Row],[№]],Поиск_расходки[Индекс11],0)),"")</f>
        <v>Launcher 6F JR 4.0</v>
      </c>
      <c r="AC67" s="200" t="str">
        <f>IFERROR(INDEX(Расходка[Наименование расходного материала],MATCH(Расходка[[#This Row],[№]],Поиск_расходки[Индекс12],0)),"")</f>
        <v>Launcher 6F JR 4.0</v>
      </c>
      <c r="AD67" s="200" t="str">
        <f>IFERROR(INDEX(Расходка[Наименование расходного материала],MATCH(Расходка[[#This Row],[№]],Поиск_расходки[Индекс13],0)),"")</f>
        <v>Launcher 6F JR 4.0</v>
      </c>
      <c r="AF67" s="4" t="s">
        <v>6</v>
      </c>
      <c r="AG67" s="4" t="s">
        <v>462</v>
      </c>
    </row>
    <row r="68" spans="1:33">
      <c r="A68">
        <v>67</v>
      </c>
      <c r="B68" t="s">
        <v>4</v>
      </c>
      <c r="C68" t="s">
        <v>340</v>
      </c>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учёта'!$B$21,Расходка[[#This Row],[Наименование расходного материала]])),MAX($I$1:I67)+1,0)</f>
        <v>67</v>
      </c>
      <c r="J68" s="199">
        <f>IF(ISNUMBER(SEARCH('Карта учёта'!$B$19,Расходка[[#This Row],[Наименование расходного материала]])),MAX($J$1:J67)+1,0)</f>
        <v>67</v>
      </c>
      <c r="K68" s="199">
        <f>IF(ISNUMBER(SEARCH('Карта учёта'!$B$17,Расходка[[#This Row],[Наименование расходного материала]])),MAX($K$1:K67)+1,0)</f>
        <v>0</v>
      </c>
      <c r="L68" s="199">
        <f>IF(ISNUMBER(SEARCH('Карта учёта'!$B$18,Расходка[[#This Row],[Наименование расходного материала]])),MAX($L$1:L67)+1,0)</f>
        <v>67</v>
      </c>
      <c r="M68" s="199">
        <f>IF(ISNUMBER(SEARCH('Карта учёта'!$B$20,Расходка[[#This Row],[Наименование расходного материала]])),MAX($M$1:M67)+1,0)</f>
        <v>67</v>
      </c>
      <c r="N68" s="199">
        <f>IF(ISNUMBER(SEARCH('Карта учёта'!$B$22,Расходка[[#This Row],[Наименование расходного материала]])),MAX($N$1:N67)+1,0)</f>
        <v>67</v>
      </c>
      <c r="O68" s="199">
        <f>IF(ISNUMBER(SEARCH('Карта учёта'!$B$23,Расходка[[#This Row],[Наименование расходного материала]])),MAX($O$1:O67)+1,0)</f>
        <v>67</v>
      </c>
      <c r="P68" s="199">
        <f>IF(ISNUMBER(SEARCH('Карта учёта'!$B$24,Расходка[[#This Row],[Наименование расходного материала]])),MAX($P$1:P67)+1,0)</f>
        <v>67</v>
      </c>
      <c r="Q68" s="199">
        <f>IF(ISNUMBER(SEARCH('Карта учёта'!$B$25,Расходка[[#This Row],[Наименование расходного материала]])),MAX($Q$1:Q67)+1,0)</f>
        <v>67</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Launcher 7F JL 3.5</v>
      </c>
      <c r="W68" s="200" t="str">
        <f>IFERROR(INDEX(Расходка[Наименование расходного материала],MATCH(Расходка[[#This Row],[№]],Поиск_расходки[Индекс6],0)),"")</f>
        <v>Launcher 7F JL 3.5</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Launcher 7F JL 3.5</v>
      </c>
      <c r="Z68" s="200" t="str">
        <f>IFERROR(INDEX(Расходка[Наименование расходного материала],MATCH(Расходка[[#This Row],[№]],Поиск_расходки[Индекс9],0)),"")</f>
        <v>Launcher 7F JL 3.5</v>
      </c>
      <c r="AA68" s="200" t="str">
        <f>IFERROR(INDEX(Расходка[Наименование расходного материала],MATCH(Расходка[[#This Row],[№]],Поиск_расходки[Индекс10],0)),"")</f>
        <v>Launcher 7F JL 3.5</v>
      </c>
      <c r="AB68" s="200" t="str">
        <f>IFERROR(INDEX(Расходка[Наименование расходного материала],MATCH(Расходка[[#This Row],[№]],Поиск_расходки[Индекс11],0)),"")</f>
        <v>Launcher 7F JL 3.5</v>
      </c>
      <c r="AC68" s="200" t="str">
        <f>IFERROR(INDEX(Расходка[Наименование расходного материала],MATCH(Расходка[[#This Row],[№]],Поиск_расходки[Индекс12],0)),"")</f>
        <v>Launcher 7F JL 3.5</v>
      </c>
      <c r="AD68" s="200" t="str">
        <f>IFERROR(INDEX(Расходка[Наименование расходного материала],MATCH(Расходка[[#This Row],[№]],Поиск_расходки[Индекс13],0)),"")</f>
        <v>Launcher 7F JL 3.5</v>
      </c>
      <c r="AF68" s="4" t="s">
        <v>6</v>
      </c>
      <c r="AG68" s="4" t="s">
        <v>463</v>
      </c>
    </row>
    <row r="69" spans="1:33">
      <c r="A69">
        <v>68</v>
      </c>
      <c r="B69" t="s">
        <v>4</v>
      </c>
      <c r="C69" t="s">
        <v>339</v>
      </c>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учёта'!$B$21,Расходка[[#This Row],[Наименование расходного материала]])),MAX($I$1:I68)+1,0)</f>
        <v>68</v>
      </c>
      <c r="J69" s="199">
        <f>IF(ISNUMBER(SEARCH('Карта учёта'!$B$19,Расходка[[#This Row],[Наименование расходного материала]])),MAX($J$1:J68)+1,0)</f>
        <v>68</v>
      </c>
      <c r="K69" s="199">
        <f>IF(ISNUMBER(SEARCH('Карта учёта'!$B$17,Расходка[[#This Row],[Наименование расходного материала]])),MAX($K$1:K68)+1,0)</f>
        <v>0</v>
      </c>
      <c r="L69" s="199">
        <f>IF(ISNUMBER(SEARCH('Карта учёта'!$B$18,Расходка[[#This Row],[Наименование расходного материала]])),MAX($L$1:L68)+1,0)</f>
        <v>68</v>
      </c>
      <c r="M69" s="199">
        <f>IF(ISNUMBER(SEARCH('Карта учёта'!$B$20,Расходка[[#This Row],[Наименование расходного материала]])),MAX($M$1:M68)+1,0)</f>
        <v>68</v>
      </c>
      <c r="N69" s="199">
        <f>IF(ISNUMBER(SEARCH('Карта учёта'!$B$22,Расходка[[#This Row],[Наименование расходного материала]])),MAX($N$1:N68)+1,0)</f>
        <v>68</v>
      </c>
      <c r="O69" s="199">
        <f>IF(ISNUMBER(SEARCH('Карта учёта'!$B$23,Расходка[[#This Row],[Наименование расходного материала]])),MAX($O$1:O68)+1,0)</f>
        <v>68</v>
      </c>
      <c r="P69" s="199">
        <f>IF(ISNUMBER(SEARCH('Карта учёта'!$B$24,Расходка[[#This Row],[Наименование расходного материала]])),MAX($P$1:P68)+1,0)</f>
        <v>68</v>
      </c>
      <c r="Q69" s="199">
        <f>IF(ISNUMBER(SEARCH('Карта учёта'!$B$25,Расходка[[#This Row],[Наименование расходного материала]])),MAX($Q$1:Q68)+1,0)</f>
        <v>68</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Launcher 7F JL 4.0</v>
      </c>
      <c r="W69" s="200" t="str">
        <f>IFERROR(INDEX(Расходка[Наименование расходного материала],MATCH(Расходка[[#This Row],[№]],Поиск_расходки[Индекс6],0)),"")</f>
        <v>Launcher 7F JL 4.0</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Launcher 7F JL 4.0</v>
      </c>
      <c r="Z69" s="200" t="str">
        <f>IFERROR(INDEX(Расходка[Наименование расходного материала],MATCH(Расходка[[#This Row],[№]],Поиск_расходки[Индекс9],0)),"")</f>
        <v>Launcher 7F JL 4.0</v>
      </c>
      <c r="AA69" s="200" t="str">
        <f>IFERROR(INDEX(Расходка[Наименование расходного материала],MATCH(Расходка[[#This Row],[№]],Поиск_расходки[Индекс10],0)),"")</f>
        <v>Launcher 7F JL 4.0</v>
      </c>
      <c r="AB69" s="200" t="str">
        <f>IFERROR(INDEX(Расходка[Наименование расходного материала],MATCH(Расходка[[#This Row],[№]],Поиск_расходки[Индекс11],0)),"")</f>
        <v>Launcher 7F JL 4.0</v>
      </c>
      <c r="AC69" s="200" t="str">
        <f>IFERROR(INDEX(Расходка[Наименование расходного материала],MATCH(Расходка[[#This Row],[№]],Поиск_расходки[Индекс12],0)),"")</f>
        <v>Launcher 7F JL 4.0</v>
      </c>
      <c r="AD69" s="200" t="str">
        <f>IFERROR(INDEX(Расходка[Наименование расходного материала],MATCH(Расходка[[#This Row],[№]],Поиск_расходки[Индекс13],0)),"")</f>
        <v>Launcher 7F JL 4.0</v>
      </c>
      <c r="AF69" s="4" t="s">
        <v>6</v>
      </c>
      <c r="AG69" s="4" t="s">
        <v>464</v>
      </c>
    </row>
    <row r="70" spans="1:33">
      <c r="A70">
        <v>69</v>
      </c>
      <c r="B70" t="s">
        <v>301</v>
      </c>
      <c r="C70" s="1" t="s">
        <v>331</v>
      </c>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учёта'!$B$21,Расходка[[#This Row],[Наименование расходного материала]])),MAX($I$1:I69)+1,0)</f>
        <v>69</v>
      </c>
      <c r="J70" s="199">
        <f>IF(ISNUMBER(SEARCH('Карта учёта'!$B$19,Расходка[[#This Row],[Наименование расходного материала]])),MAX($J$1:J69)+1,0)</f>
        <v>69</v>
      </c>
      <c r="K70" s="199">
        <f>IF(ISNUMBER(SEARCH('Карта учёта'!$B$17,Расходка[[#This Row],[Наименование расходного материала]])),MAX($K$1:K69)+1,0)</f>
        <v>0</v>
      </c>
      <c r="L70" s="199">
        <f>IF(ISNUMBER(SEARCH('Карта учёта'!$B$18,Расходка[[#This Row],[Наименование расходного материала]])),MAX($L$1:L69)+1,0)</f>
        <v>69</v>
      </c>
      <c r="M70" s="199">
        <f>IF(ISNUMBER(SEARCH('Карта учёта'!$B$20,Расходка[[#This Row],[Наименование расходного материала]])),MAX($M$1:M69)+1,0)</f>
        <v>69</v>
      </c>
      <c r="N70" s="199">
        <f>IF(ISNUMBER(SEARCH('Карта учёта'!$B$22,Расходка[[#This Row],[Наименование расходного материала]])),MAX($N$1:N69)+1,0)</f>
        <v>69</v>
      </c>
      <c r="O70" s="199">
        <f>IF(ISNUMBER(SEARCH('Карта учёта'!$B$23,Расходка[[#This Row],[Наименование расходного материала]])),MAX($O$1:O69)+1,0)</f>
        <v>69</v>
      </c>
      <c r="P70" s="199">
        <f>IF(ISNUMBER(SEARCH('Карта учёта'!$B$24,Расходка[[#This Row],[Наименование расходного материала]])),MAX($P$1:P69)+1,0)</f>
        <v>69</v>
      </c>
      <c r="Q70" s="199">
        <f>IF(ISNUMBER(SEARCH('Карта учёта'!$B$25,Расходка[[#This Row],[Наименование расходного материала]])),MAX($Q$1:Q69)+1,0)</f>
        <v>69</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Angio-Seal™ VIP</v>
      </c>
      <c r="W70" s="200" t="str">
        <f>IFERROR(INDEX(Расходка[Наименование расходного материала],MATCH(Расходка[[#This Row],[№]],Поиск_расходки[Индекс6],0)),"")</f>
        <v>Angio-Seal™ VIP</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Angio-Seal™ VIP</v>
      </c>
      <c r="Z70" s="200" t="str">
        <f>IFERROR(INDEX(Расходка[Наименование расходного материала],MATCH(Расходка[[#This Row],[№]],Поиск_расходки[Индекс9],0)),"")</f>
        <v>Angio-Seal™ VIP</v>
      </c>
      <c r="AA70" s="200" t="str">
        <f>IFERROR(INDEX(Расходка[Наименование расходного материала],MATCH(Расходка[[#This Row],[№]],Поиск_расходки[Индекс10],0)),"")</f>
        <v>Angio-Seal™ VIP</v>
      </c>
      <c r="AB70" s="200" t="str">
        <f>IFERROR(INDEX(Расходка[Наименование расходного материала],MATCH(Расходка[[#This Row],[№]],Поиск_расходки[Индекс11],0)),"")</f>
        <v>Angio-Seal™ VIP</v>
      </c>
      <c r="AC70" s="200" t="str">
        <f>IFERROR(INDEX(Расходка[Наименование расходного материала],MATCH(Расходка[[#This Row],[№]],Поиск_расходки[Индекс12],0)),"")</f>
        <v>Angio-Seal™ VIP</v>
      </c>
      <c r="AD70" s="200" t="str">
        <f>IFERROR(INDEX(Расходка[Наименование расходного материала],MATCH(Расходка[[#This Row],[№]],Поиск_расходки[Индекс13],0)),"")</f>
        <v>Angio-Seal™ VIP</v>
      </c>
      <c r="AF70" s="4" t="s">
        <v>6</v>
      </c>
      <c r="AG70" s="4" t="s">
        <v>465</v>
      </c>
    </row>
    <row r="71" spans="1:33">
      <c r="A71">
        <v>70</v>
      </c>
      <c r="E71" s="199">
        <f>IF(ISNUMBER(SEARCH('Карта учёта'!$B$13,Расходка[[#This Row],[Наименование расходного материала]])),MAX($E$1:E70)+1,0)</f>
        <v>0</v>
      </c>
      <c r="F71" s="199">
        <f>IF(ISNUMBER(SEARCH('Карта учёта'!$B$14,Расходка[[#This Row],[Наименование расходного материала]])),MAX($F$1:F70)+1,0)</f>
        <v>0</v>
      </c>
      <c r="G71" s="199">
        <f>IF(ISNUMBER(SEARCH('Карта учёта'!$B$15,Расходка[[#This Row],[Наименование расходного материала]])),MAX($G$1:G70)+1,0)</f>
        <v>0</v>
      </c>
      <c r="H71" s="199">
        <f>IF(ISNUMBER(SEARCH('Карта учёта'!$B$16,Расходка[[#This Row],[Наименование расходного материала]])),MAX($H$1:H70)+1,0)</f>
        <v>0</v>
      </c>
      <c r="I71" s="199">
        <f>IF(ISNUMBER(SEARCH('Карта учёта'!$B$21,Расходка[[#This Row],[Наименование расходного материала]])),MAX($I$1:I70)+1,0)</f>
        <v>0</v>
      </c>
      <c r="J71" s="199">
        <f>IF(ISNUMBER(SEARCH('Карта учёта'!$B$19,Расходка[[#This Row],[Наименование расходного материала]])),MAX($J$1:J70)+1,0)</f>
        <v>0</v>
      </c>
      <c r="K71" s="199">
        <f>IF(ISNUMBER(SEARCH('Карта учёта'!$B$17,Расходка[[#This Row],[Наименование расходного материала]])),MAX($K$1:K70)+1,0)</f>
        <v>0</v>
      </c>
      <c r="L71" s="199">
        <f>IF(ISNUMBER(SEARCH('Карта учёта'!$B$18,Расходка[[#This Row],[Наименование расходного материала]])),MAX($L$1:L70)+1,0)</f>
        <v>0</v>
      </c>
      <c r="M71" s="199">
        <f>IF(ISNUMBER(SEARCH('Карта учёта'!$B$20,Расходка[[#This Row],[Наименование расходного материала]])),MAX($M$1:M70)+1,0)</f>
        <v>0</v>
      </c>
      <c r="N71" s="199">
        <f>IF(ISNUMBER(SEARCH('Карта учёта'!$B$22,Расходка[[#This Row],[Наименование расходного материала]])),MAX($N$1:N70)+1,0)</f>
        <v>0</v>
      </c>
      <c r="O71" s="199">
        <f>IF(ISNUMBER(SEARCH('Карта учёта'!$B$23,Расходка[[#This Row],[Наименование расходного материала]])),MAX($O$1:O70)+1,0)</f>
        <v>0</v>
      </c>
      <c r="P71" s="199">
        <f>IF(ISNUMBER(SEARCH('Карта учёта'!$B$24,Расходка[[#This Row],[Наименование расходного материала]])),MAX($P$1:P70)+1,0)</f>
        <v>0</v>
      </c>
      <c r="Q71" s="199">
        <f>IF(ISNUMBER(SEARCH('Карта учёта'!$B$25,Расходка[[#This Row],[Наименование расходного материала]])),MAX($Q$1:Q70)+1,0)</f>
        <v>0</v>
      </c>
      <c r="R71" s="200" t="str">
        <f>IFERROR(INDEX(Расходка[Наименование расходного материала],MATCH(Расходка[[#This Row],[№]],Поиск_расходки[Индекс1],0)),"")</f>
        <v/>
      </c>
      <c r="S71" s="200" t="str">
        <f>IFERROR(INDEX(Расходка[Наименование расходного материала],MATCH(Расходка[[#This Row],[№]],Поиск_расходки[Индекс2],0)),"")</f>
        <v/>
      </c>
      <c r="T71" s="200" t="str">
        <f>IFERROR(INDEX(Расходка[Наименование расходного материала],MATCH(Расходка[[#This Row],[№]],Поиск_расходки[Индекс3],0)),"")</f>
        <v/>
      </c>
      <c r="U71" s="200" t="str">
        <f>IFERROR(INDEX(Расходка[Наименование расходного материала],MATCH(Расходка[[#This Row],[№]],Поиск_расходки[Индекс4],0)),"")</f>
        <v/>
      </c>
      <c r="V71" s="200" t="str">
        <f>IFERROR(INDEX(Расходка[Наименование расходного материала],MATCH(Расходка[[#This Row],[№]],Поиск_расходки[Индекс5],0)),"")</f>
        <v/>
      </c>
      <c r="W71" s="200" t="str">
        <f>IFERROR(INDEX(Расходка[Наименование расходного материала],MATCH(Расходка[[#This Row],[№]],Поиск_расходки[Индекс6],0)),"")</f>
        <v/>
      </c>
      <c r="X71" s="200" t="str">
        <f>IFERROR(INDEX(Расходка[Наименование расходного материала],MATCH(Расходка[[#This Row],[№]],Поиск_расходки[Индекс7],0)),"")</f>
        <v/>
      </c>
      <c r="Y71" s="200" t="str">
        <f>IFERROR(INDEX(Расходка[Наименование расходного материала],MATCH(Расходка[[#This Row],[№]],Поиск_расходки[Индекс8],0)),"")</f>
        <v/>
      </c>
      <c r="Z71" s="200" t="str">
        <f>IFERROR(INDEX(Расходка[Наименование расходного материала],MATCH(Расходка[[#This Row],[№]],Поиск_расходки[Индекс9],0)),"")</f>
        <v/>
      </c>
      <c r="AA71" s="200" t="str">
        <f>IFERROR(INDEX(Расходка[Наименование расходного материала],MATCH(Расходка[[#This Row],[№]],Поиск_расходки[Индекс10],0)),"")</f>
        <v/>
      </c>
      <c r="AB71" s="200" t="str">
        <f>IFERROR(INDEX(Расходка[Наименование расходного материала],MATCH(Расходка[[#This Row],[№]],Поиск_расходки[Индекс11],0)),"")</f>
        <v/>
      </c>
      <c r="AC71" s="200" t="str">
        <f>IFERROR(INDEX(Расходка[Наименование расходного материала],MATCH(Расходка[[#This Row],[№]],Поиск_расходки[Индекс12],0)),"")</f>
        <v/>
      </c>
      <c r="AD71" s="200" t="str">
        <f>IFERROR(INDEX(Расходка[Наименование расходного материала],MATCH(Расходка[[#This Row],[№]],Поиск_расходки[Индекс13],0)),"")</f>
        <v/>
      </c>
      <c r="AF71" s="4" t="s">
        <v>6</v>
      </c>
      <c r="AG71" s="4" t="s">
        <v>420</v>
      </c>
    </row>
    <row r="72" spans="1:33">
      <c r="A72">
        <v>71</v>
      </c>
      <c r="E72" s="199">
        <f>IF(ISNUMBER(SEARCH('Карта учёта'!$B$13,Расходка[[#This Row],[Наименование расходного материала]])),MAX($E$1:E71)+1,0)</f>
        <v>0</v>
      </c>
      <c r="F72" s="199">
        <f>IF(ISNUMBER(SEARCH('Карта учёта'!$B$14,Расходка[[#This Row],[Наименование расходного материала]])),MAX($F$1:F71)+1,0)</f>
        <v>0</v>
      </c>
      <c r="G72" s="199">
        <f>IF(ISNUMBER(SEARCH('Карта учёта'!$B$15,Расходка[[#This Row],[Наименование расходного материала]])),MAX($G$1:G71)+1,0)</f>
        <v>0</v>
      </c>
      <c r="H72" s="199">
        <f>IF(ISNUMBER(SEARCH('Карта учёта'!$B$16,Расходка[[#This Row],[Наименование расходного материала]])),MAX($H$1:H71)+1,0)</f>
        <v>0</v>
      </c>
      <c r="I72" s="199">
        <f>IF(ISNUMBER(SEARCH('Карта учёта'!$B$21,Расходка[[#This Row],[Наименование расходного материала]])),MAX($I$1:I71)+1,0)</f>
        <v>0</v>
      </c>
      <c r="J72" s="199">
        <f>IF(ISNUMBER(SEARCH('Карта учёта'!$B$19,Расходка[[#This Row],[Наименование расходного материала]])),MAX($J$1:J71)+1,0)</f>
        <v>0</v>
      </c>
      <c r="K72" s="199">
        <f>IF(ISNUMBER(SEARCH('Карта учёта'!$B$17,Расходка[[#This Row],[Наименование расходного материала]])),MAX($K$1:K71)+1,0)</f>
        <v>0</v>
      </c>
      <c r="L72" s="199">
        <f>IF(ISNUMBER(SEARCH('Карта учёта'!$B$18,Расходка[[#This Row],[Наименование расходного материала]])),MAX($L$1:L71)+1,0)</f>
        <v>0</v>
      </c>
      <c r="M72" s="199">
        <f>IF(ISNUMBER(SEARCH('Карта учёта'!$B$20,Расходка[[#This Row],[Наименование расходного материала]])),MAX($M$1:M71)+1,0)</f>
        <v>0</v>
      </c>
      <c r="N72" s="199">
        <f>IF(ISNUMBER(SEARCH('Карта учёта'!$B$22,Расходка[[#This Row],[Наименование расходного материала]])),MAX($N$1:N71)+1,0)</f>
        <v>0</v>
      </c>
      <c r="O72" s="199">
        <f>IF(ISNUMBER(SEARCH('Карта учёта'!$B$23,Расходка[[#This Row],[Наименование расходного материала]])),MAX($O$1:O71)+1,0)</f>
        <v>0</v>
      </c>
      <c r="P72" s="199">
        <f>IF(ISNUMBER(SEARCH('Карта учёта'!$B$24,Расходка[[#This Row],[Наименование расходного материала]])),MAX($P$1:P71)+1,0)</f>
        <v>0</v>
      </c>
      <c r="Q72" s="199">
        <f>IF(ISNUMBER(SEARCH('Карта учёта'!$B$25,Расходка[[#This Row],[Наименование расходного материала]])),MAX($Q$1:Q71)+1,0)</f>
        <v>0</v>
      </c>
      <c r="R72" s="200" t="str">
        <f>IFERROR(INDEX(Расходка[Наименование расходного материала],MATCH(Расходка[[#This Row],[№]],Поиск_расходки[Индекс1],0)),"")</f>
        <v/>
      </c>
      <c r="S72" s="200" t="str">
        <f>IFERROR(INDEX(Расходка[Наименование расходного материала],MATCH(Расходка[[#This Row],[№]],Поиск_расходки[Индекс2],0)),"")</f>
        <v/>
      </c>
      <c r="T72" s="200" t="str">
        <f>IFERROR(INDEX(Расходка[Наименование расходного материала],MATCH(Расходка[[#This Row],[№]],Поиск_расходки[Индекс3],0)),"")</f>
        <v/>
      </c>
      <c r="U72" s="200" t="str">
        <f>IFERROR(INDEX(Расходка[Наименование расходного материала],MATCH(Расходка[[#This Row],[№]],Поиск_расходки[Индекс4],0)),"")</f>
        <v/>
      </c>
      <c r="V72" s="200" t="str">
        <f>IFERROR(INDEX(Расходка[Наименование расходного материала],MATCH(Расходка[[#This Row],[№]],Поиск_расходки[Индекс5],0)),"")</f>
        <v/>
      </c>
      <c r="W72" s="200" t="str">
        <f>IFERROR(INDEX(Расходка[Наименование расходного материала],MATCH(Расходка[[#This Row],[№]],Поиск_расходки[Индекс6],0)),"")</f>
        <v/>
      </c>
      <c r="X72" s="200" t="str">
        <f>IFERROR(INDEX(Расходка[Наименование расходного материала],MATCH(Расходка[[#This Row],[№]],Поиск_расходки[Индекс7],0)),"")</f>
        <v/>
      </c>
      <c r="Y72" s="200" t="str">
        <f>IFERROR(INDEX(Расходка[Наименование расходного материала],MATCH(Расходка[[#This Row],[№]],Поиск_расходки[Индекс8],0)),"")</f>
        <v/>
      </c>
      <c r="Z72" s="200" t="str">
        <f>IFERROR(INDEX(Расходка[Наименование расходного материала],MATCH(Расходка[[#This Row],[№]],Поиск_расходки[Индекс9],0)),"")</f>
        <v/>
      </c>
      <c r="AA72" s="200" t="str">
        <f>IFERROR(INDEX(Расходка[Наименование расходного материала],MATCH(Расходка[[#This Row],[№]],Поиск_расходки[Индекс10],0)),"")</f>
        <v/>
      </c>
      <c r="AB72" s="200" t="str">
        <f>IFERROR(INDEX(Расходка[Наименование расходного материала],MATCH(Расходка[[#This Row],[№]],Поиск_расходки[Индекс11],0)),"")</f>
        <v/>
      </c>
      <c r="AC72" s="200" t="str">
        <f>IFERROR(INDEX(Расходка[Наименование расходного материала],MATCH(Расходка[[#This Row],[№]],Поиск_расходки[Индекс12],0)),"")</f>
        <v/>
      </c>
      <c r="AD72" s="200" t="str">
        <f>IFERROR(INDEX(Расходка[Наименование расходного материала],MATCH(Расходка[[#This Row],[№]],Поиск_расходки[Индекс13],0)),"")</f>
        <v/>
      </c>
      <c r="AF72" s="4" t="s">
        <v>6</v>
      </c>
      <c r="AG72" s="4" t="s">
        <v>466</v>
      </c>
    </row>
    <row r="73" spans="1:33">
      <c r="A73">
        <v>72</v>
      </c>
      <c r="E73" s="199">
        <f>IF(ISNUMBER(SEARCH('Карта учёта'!$B$13,Расходка[[#This Row],[Наименование расходного материала]])),MAX($E$1:E72)+1,0)</f>
        <v>0</v>
      </c>
      <c r="F73" s="199">
        <f>IF(ISNUMBER(SEARCH('Карта учёта'!$B$14,Расходка[[#This Row],[Наименование расходного материала]])),MAX($F$1:F72)+1,0)</f>
        <v>0</v>
      </c>
      <c r="G73" s="199">
        <f>IF(ISNUMBER(SEARCH('Карта учёта'!$B$15,Расходка[[#This Row],[Наименование расходного материала]])),MAX($G$1:G72)+1,0)</f>
        <v>0</v>
      </c>
      <c r="H73" s="199">
        <f>IF(ISNUMBER(SEARCH('Карта учёта'!$B$16,Расходка[[#This Row],[Наименование расходного материала]])),MAX($H$1:H72)+1,0)</f>
        <v>0</v>
      </c>
      <c r="I73" s="199">
        <f>IF(ISNUMBER(SEARCH('Карта учёта'!$B$21,Расходка[[#This Row],[Наименование расходного материала]])),MAX($I$1:I72)+1,0)</f>
        <v>0</v>
      </c>
      <c r="J73" s="199">
        <f>IF(ISNUMBER(SEARCH('Карта учёта'!$B$19,Расходка[[#This Row],[Наименование расходного материала]])),MAX($J$1:J72)+1,0)</f>
        <v>0</v>
      </c>
      <c r="K73" s="199">
        <f>IF(ISNUMBER(SEARCH('Карта учёта'!$B$17,Расходка[[#This Row],[Наименование расходного материала]])),MAX($K$1:K72)+1,0)</f>
        <v>0</v>
      </c>
      <c r="L73" s="199">
        <f>IF(ISNUMBER(SEARCH('Карта учёта'!$B$18,Расходка[[#This Row],[Наименование расходного материала]])),MAX($L$1:L72)+1,0)</f>
        <v>0</v>
      </c>
      <c r="M73" s="199">
        <f>IF(ISNUMBER(SEARCH('Карта учёта'!$B$20,Расходка[[#This Row],[Наименование расходного материала]])),MAX($M$1:M72)+1,0)</f>
        <v>0</v>
      </c>
      <c r="N73" s="199">
        <f>IF(ISNUMBER(SEARCH('Карта учёта'!$B$22,Расходка[[#This Row],[Наименование расходного материала]])),MAX($N$1:N72)+1,0)</f>
        <v>0</v>
      </c>
      <c r="O73" s="199">
        <f>IF(ISNUMBER(SEARCH('Карта учёта'!$B$23,Расходка[[#This Row],[Наименование расходного материала]])),MAX($O$1:O72)+1,0)</f>
        <v>0</v>
      </c>
      <c r="P73" s="199">
        <f>IF(ISNUMBER(SEARCH('Карта учёта'!$B$24,Расходка[[#This Row],[Наименование расходного материала]])),MAX($P$1:P72)+1,0)</f>
        <v>0</v>
      </c>
      <c r="Q73" s="199">
        <f>IF(ISNUMBER(SEARCH('Карта учёта'!$B$25,Расходка[[#This Row],[Наименование расходного материала]])),MAX($Q$1:Q72)+1,0)</f>
        <v>0</v>
      </c>
      <c r="R73" s="200" t="str">
        <f>IFERROR(INDEX(Расходка[Наименование расходного материала],MATCH(Расходка[[#This Row],[№]],Поиск_расходки[Индекс1],0)),"")</f>
        <v/>
      </c>
      <c r="S73" s="200" t="str">
        <f>IFERROR(INDEX(Расходка[Наименование расходного материала],MATCH(Расходка[[#This Row],[№]],Поиск_расходки[Индекс2],0)),"")</f>
        <v/>
      </c>
      <c r="T73" s="200" t="str">
        <f>IFERROR(INDEX(Расходка[Наименование расходного материала],MATCH(Расходка[[#This Row],[№]],Поиск_расходки[Индекс3],0)),"")</f>
        <v/>
      </c>
      <c r="U73" s="200" t="str">
        <f>IFERROR(INDEX(Расходка[Наименование расходного материала],MATCH(Расходка[[#This Row],[№]],Поиск_расходки[Индекс4],0)),"")</f>
        <v/>
      </c>
      <c r="V73" s="200" t="str">
        <f>IFERROR(INDEX(Расходка[Наименование расходного материала],MATCH(Расходка[[#This Row],[№]],Поиск_расходки[Индекс5],0)),"")</f>
        <v/>
      </c>
      <c r="W73" s="200" t="str">
        <f>IFERROR(INDEX(Расходка[Наименование расходного материала],MATCH(Расходка[[#This Row],[№]],Поиск_расходки[Индекс6],0)),"")</f>
        <v/>
      </c>
      <c r="X73" s="200" t="str">
        <f>IFERROR(INDEX(Расходка[Наименование расходного материала],MATCH(Расходка[[#This Row],[№]],Поиск_расходки[Индекс7],0)),"")</f>
        <v/>
      </c>
      <c r="Y73" s="200" t="str">
        <f>IFERROR(INDEX(Расходка[Наименование расходного материала],MATCH(Расходка[[#This Row],[№]],Поиск_расходки[Индекс8],0)),"")</f>
        <v/>
      </c>
      <c r="Z73" s="200" t="str">
        <f>IFERROR(INDEX(Расходка[Наименование расходного материала],MATCH(Расходка[[#This Row],[№]],Поиск_расходки[Индекс9],0)),"")</f>
        <v/>
      </c>
      <c r="AA73" s="200" t="str">
        <f>IFERROR(INDEX(Расходка[Наименование расходного материала],MATCH(Расходка[[#This Row],[№]],Поиск_расходки[Индекс10],0)),"")</f>
        <v/>
      </c>
      <c r="AB73" s="200" t="str">
        <f>IFERROR(INDEX(Расходка[Наименование расходного материала],MATCH(Расходка[[#This Row],[№]],Поиск_расходки[Индекс11],0)),"")</f>
        <v/>
      </c>
      <c r="AC73" s="200" t="str">
        <f>IFERROR(INDEX(Расходка[Наименование расходного материала],MATCH(Расходка[[#This Row],[№]],Поиск_расходки[Индекс12],0)),"")</f>
        <v/>
      </c>
      <c r="AD73" s="200" t="str">
        <f>IFERROR(INDEX(Расходка[Наименование расходного материала],MATCH(Расходка[[#This Row],[№]],Поиск_расходки[Индекс13],0)),"")</f>
        <v/>
      </c>
      <c r="AF73" s="4" t="s">
        <v>6</v>
      </c>
      <c r="AG73" s="4" t="s">
        <v>421</v>
      </c>
    </row>
    <row r="74" spans="1:33">
      <c r="A74">
        <v>73</v>
      </c>
      <c r="E74" s="199">
        <f>IF(ISNUMBER(SEARCH('Карта учёта'!$B$13,Расходка[[#This Row],[Наименование расходного материала]])),MAX($E$1:E73)+1,0)</f>
        <v>0</v>
      </c>
      <c r="F74" s="199">
        <f>IF(ISNUMBER(SEARCH('Карта учёта'!$B$14,Расходка[[#This Row],[Наименование расходного материала]])),MAX($F$1:F73)+1,0)</f>
        <v>0</v>
      </c>
      <c r="G74" s="199">
        <f>IF(ISNUMBER(SEARCH('Карта учёта'!$B$15,Расходка[[#This Row],[Наименование расходного материала]])),MAX($G$1:G73)+1,0)</f>
        <v>0</v>
      </c>
      <c r="H74" s="199">
        <f>IF(ISNUMBER(SEARCH('Карта учёта'!$B$16,Расходка[[#This Row],[Наименование расходного материала]])),MAX($H$1:H73)+1,0)</f>
        <v>0</v>
      </c>
      <c r="I74" s="199">
        <f>IF(ISNUMBER(SEARCH('Карта учёта'!$B$21,Расходка[[#This Row],[Наименование расходного материала]])),MAX($I$1:I73)+1,0)</f>
        <v>0</v>
      </c>
      <c r="J74" s="199">
        <f>IF(ISNUMBER(SEARCH('Карта учёта'!$B$19,Расходка[[#This Row],[Наименование расходного материала]])),MAX($J$1:J73)+1,0)</f>
        <v>0</v>
      </c>
      <c r="K74" s="199">
        <f>IF(ISNUMBER(SEARCH('Карта учёта'!$B$17,Расходка[[#This Row],[Наименование расходного материала]])),MAX($K$1:K73)+1,0)</f>
        <v>0</v>
      </c>
      <c r="L74" s="199">
        <f>IF(ISNUMBER(SEARCH('Карта учёта'!$B$18,Расходка[[#This Row],[Наименование расходного материала]])),MAX($L$1:L73)+1,0)</f>
        <v>0</v>
      </c>
      <c r="M74" s="199">
        <f>IF(ISNUMBER(SEARCH('Карта учёта'!$B$20,Расходка[[#This Row],[Наименование расходного материала]])),MAX($M$1:M73)+1,0)</f>
        <v>0</v>
      </c>
      <c r="N74" s="199">
        <f>IF(ISNUMBER(SEARCH('Карта учёта'!$B$22,Расходка[[#This Row],[Наименование расходного материала]])),MAX($N$1:N73)+1,0)</f>
        <v>0</v>
      </c>
      <c r="O74" s="199">
        <f>IF(ISNUMBER(SEARCH('Карта учёта'!$B$23,Расходка[[#This Row],[Наименование расходного материала]])),MAX($O$1:O73)+1,0)</f>
        <v>0</v>
      </c>
      <c r="P74" s="199">
        <f>IF(ISNUMBER(SEARCH('Карта учёта'!$B$24,Расходка[[#This Row],[Наименование расходного материала]])),MAX($P$1:P73)+1,0)</f>
        <v>0</v>
      </c>
      <c r="Q74" s="199">
        <f>IF(ISNUMBER(SEARCH('Карта учёта'!$B$25,Расходка[[#This Row],[Наименование расходного материала]])),MAX($Q$1:Q73)+1,0)</f>
        <v>0</v>
      </c>
      <c r="R74" s="200" t="str">
        <f>IFERROR(INDEX(Расходка[Наименование расходного материала],MATCH(Расходка[[#This Row],[№]],Поиск_расходки[Индекс1],0)),"")</f>
        <v/>
      </c>
      <c r="S74" s="200" t="str">
        <f>IFERROR(INDEX(Расходка[Наименование расходного материала],MATCH(Расходка[[#This Row],[№]],Поиск_расходки[Индекс2],0)),"")</f>
        <v/>
      </c>
      <c r="T74" s="200" t="str">
        <f>IFERROR(INDEX(Расходка[Наименование расходного материала],MATCH(Расходка[[#This Row],[№]],Поиск_расходки[Индекс3],0)),"")</f>
        <v/>
      </c>
      <c r="U74" s="200" t="str">
        <f>IFERROR(INDEX(Расходка[Наименование расходного материала],MATCH(Расходка[[#This Row],[№]],Поиск_расходки[Индекс4],0)),"")</f>
        <v/>
      </c>
      <c r="V74" s="200" t="str">
        <f>IFERROR(INDEX(Расходка[Наименование расходного материала],MATCH(Расходка[[#This Row],[№]],Поиск_расходки[Индекс5],0)),"")</f>
        <v/>
      </c>
      <c r="W74" s="200" t="str">
        <f>IFERROR(INDEX(Расходка[Наименование расходного материала],MATCH(Расходка[[#This Row],[№]],Поиск_расходки[Индекс6],0)),"")</f>
        <v/>
      </c>
      <c r="X74" s="200" t="str">
        <f>IFERROR(INDEX(Расходка[Наименование расходного материала],MATCH(Расходка[[#This Row],[№]],Поиск_расходки[Индекс7],0)),"")</f>
        <v/>
      </c>
      <c r="Y74" s="200" t="str">
        <f>IFERROR(INDEX(Расходка[Наименование расходного материала],MATCH(Расходка[[#This Row],[№]],Поиск_расходки[Индекс8],0)),"")</f>
        <v/>
      </c>
      <c r="Z74" s="200" t="str">
        <f>IFERROR(INDEX(Расходка[Наименование расходного материала],MATCH(Расходка[[#This Row],[№]],Поиск_расходки[Индекс9],0)),"")</f>
        <v/>
      </c>
      <c r="AA74" s="200" t="str">
        <f>IFERROR(INDEX(Расходка[Наименование расходного материала],MATCH(Расходка[[#This Row],[№]],Поиск_расходки[Индекс10],0)),"")</f>
        <v/>
      </c>
      <c r="AB74" s="200" t="str">
        <f>IFERROR(INDEX(Расходка[Наименование расходного материала],MATCH(Расходка[[#This Row],[№]],Поиск_расходки[Индекс11],0)),"")</f>
        <v/>
      </c>
      <c r="AC74" s="200" t="str">
        <f>IFERROR(INDEX(Расходка[Наименование расходного материала],MATCH(Расходка[[#This Row],[№]],Поиск_расходки[Индекс12],0)),"")</f>
        <v/>
      </c>
      <c r="AD74" s="200" t="str">
        <f>IFERROR(INDEX(Расходка[Наименование расходного материала],MATCH(Расходка[[#This Row],[№]],Поиск_расходки[Индекс13],0)),"")</f>
        <v/>
      </c>
      <c r="AF74" s="4" t="s">
        <v>6</v>
      </c>
      <c r="AG74" s="4" t="s">
        <v>467</v>
      </c>
    </row>
    <row r="75" spans="1:33">
      <c r="AF75" s="4" t="s">
        <v>6</v>
      </c>
      <c r="AG75" s="4" t="s">
        <v>468</v>
      </c>
    </row>
    <row r="76" spans="1:33">
      <c r="AF76" s="4" t="s">
        <v>6</v>
      </c>
      <c r="AG76" s="4" t="s">
        <v>469</v>
      </c>
    </row>
    <row r="77" spans="1:33">
      <c r="AF77" s="4" t="s">
        <v>6</v>
      </c>
      <c r="AG77" s="4" t="s">
        <v>470</v>
      </c>
    </row>
    <row r="78" spans="1:33">
      <c r="AF78" s="4" t="s">
        <v>6</v>
      </c>
      <c r="AG78" s="4" t="s">
        <v>471</v>
      </c>
    </row>
    <row r="79" spans="1:33">
      <c r="AF79" s="4" t="s">
        <v>6</v>
      </c>
      <c r="AG79" s="4" t="s">
        <v>472</v>
      </c>
    </row>
    <row r="80" spans="1:33">
      <c r="AF80" s="4" t="s">
        <v>6</v>
      </c>
      <c r="AG80" s="4" t="s">
        <v>473</v>
      </c>
    </row>
    <row r="81" spans="32:33">
      <c r="AF81" s="4" t="s">
        <v>6</v>
      </c>
      <c r="AG81" s="4" t="s">
        <v>474</v>
      </c>
    </row>
    <row r="82" spans="32:33">
      <c r="AF82" s="4" t="s">
        <v>6</v>
      </c>
      <c r="AG82" s="4" t="s">
        <v>475</v>
      </c>
    </row>
    <row r="83" spans="32:33">
      <c r="AF83" s="4" t="s">
        <v>6</v>
      </c>
      <c r="AG83" s="4" t="s">
        <v>476</v>
      </c>
    </row>
    <row r="84" spans="32:33">
      <c r="AF84" s="4" t="s">
        <v>6</v>
      </c>
      <c r="AG84" s="4" t="s">
        <v>427</v>
      </c>
    </row>
    <row r="85" spans="32:33">
      <c r="AF85" s="4" t="s">
        <v>6</v>
      </c>
      <c r="AG85" s="4" t="s">
        <v>428</v>
      </c>
    </row>
    <row r="86" spans="32:33">
      <c r="AF86" s="4" t="s">
        <v>6</v>
      </c>
      <c r="AG86" s="4" t="s">
        <v>477</v>
      </c>
    </row>
    <row r="87" spans="32:33">
      <c r="AF87" s="4" t="s">
        <v>6</v>
      </c>
      <c r="AG87" s="4" t="s">
        <v>478</v>
      </c>
    </row>
    <row r="88" spans="32:33">
      <c r="AF88" s="4" t="s">
        <v>6</v>
      </c>
      <c r="AG88" s="4" t="s">
        <v>479</v>
      </c>
    </row>
    <row r="89" spans="32:33">
      <c r="AF89" s="4" t="s">
        <v>6</v>
      </c>
      <c r="AG89" s="4" t="s">
        <v>480</v>
      </c>
    </row>
    <row r="90" spans="32:33">
      <c r="AF90" s="4" t="s">
        <v>6</v>
      </c>
      <c r="AG90" s="4" t="s">
        <v>481</v>
      </c>
    </row>
    <row r="91" spans="32:33">
      <c r="AF91" s="4" t="s">
        <v>6</v>
      </c>
      <c r="AG91" s="4" t="s">
        <v>482</v>
      </c>
    </row>
    <row r="92" spans="32:33">
      <c r="AF92" s="4" t="s">
        <v>6</v>
      </c>
      <c r="AG92" s="4" t="s">
        <v>483</v>
      </c>
    </row>
    <row r="93" spans="32:33">
      <c r="AF93" s="4" t="s">
        <v>6</v>
      </c>
      <c r="AG93" s="4" t="s">
        <v>484</v>
      </c>
    </row>
    <row r="94" spans="32:33">
      <c r="AF94" s="4" t="s">
        <v>6</v>
      </c>
      <c r="AG94" s="4" t="s">
        <v>431</v>
      </c>
    </row>
    <row r="95" spans="32:33">
      <c r="AF95" s="4" t="s">
        <v>6</v>
      </c>
      <c r="AG95" s="4" t="s">
        <v>432</v>
      </c>
    </row>
    <row r="96" spans="32:33">
      <c r="AF96" s="4" t="s">
        <v>6</v>
      </c>
      <c r="AG96" s="4" t="s">
        <v>485</v>
      </c>
    </row>
    <row r="97" spans="32:33">
      <c r="AF97" s="4" t="s">
        <v>6</v>
      </c>
      <c r="AG97" s="4" t="s">
        <v>486</v>
      </c>
    </row>
  </sheetData>
  <sheetProtection sheet="1" objects="1" scenarios="1" formatCells="0" formatColumns="0"/>
  <phoneticPr fontId="13" type="noConversion"/>
  <dataValidations count="1">
    <dataValidation type="list" allowBlank="1" showInputMessage="1" showErrorMessage="1" sqref="B2:B74">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zoomScale="90" zoomScaleNormal="90" workbookViewId="0">
      <selection activeCell="C21" sqref="C21"/>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6"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122</v>
      </c>
      <c r="C15" t="str">
        <f t="shared" si="0"/>
        <v>Старшая мед.сетра: О.Н. Черткова</v>
      </c>
    </row>
    <row r="16" spans="1:5">
      <c r="A16" t="s">
        <v>123</v>
      </c>
      <c r="B16" t="s">
        <v>349</v>
      </c>
      <c r="C16" t="str">
        <f t="shared" si="0"/>
        <v xml:space="preserve">И/О старшей мед.сетры: А.А. Нефёдова </v>
      </c>
    </row>
    <row r="17" spans="1:3">
      <c r="A17" t="s">
        <v>123</v>
      </c>
      <c r="B17" t="s">
        <v>348</v>
      </c>
      <c r="C17" t="str">
        <f>CONCATENATE(A17,B17)</f>
        <v>И/О старшей мед.сетры: А.М. Казанцева</v>
      </c>
    </row>
    <row r="20" spans="1:3">
      <c r="A20" t="s">
        <v>175</v>
      </c>
      <c r="B20" t="s">
        <v>174</v>
      </c>
    </row>
    <row r="21" spans="1:3">
      <c r="A21" t="s">
        <v>170</v>
      </c>
      <c r="B21" t="s">
        <v>267</v>
      </c>
    </row>
    <row r="22" spans="1:3">
      <c r="A22" t="s">
        <v>170</v>
      </c>
      <c r="B22" t="s">
        <v>176</v>
      </c>
    </row>
    <row r="23" spans="1:3">
      <c r="A23" t="s">
        <v>170</v>
      </c>
      <c r="B23" t="s">
        <v>304</v>
      </c>
    </row>
    <row r="24" spans="1:3">
      <c r="A24" t="s">
        <v>170</v>
      </c>
      <c r="B24" t="s">
        <v>250</v>
      </c>
    </row>
    <row r="25" spans="1:3">
      <c r="A25" t="s">
        <v>170</v>
      </c>
      <c r="B25" t="s">
        <v>264</v>
      </c>
    </row>
    <row r="26" spans="1:3">
      <c r="A26" t="s">
        <v>170</v>
      </c>
      <c r="B26" t="s">
        <v>268</v>
      </c>
    </row>
    <row r="27" spans="1:3">
      <c r="A27" t="s">
        <v>170</v>
      </c>
      <c r="B27" t="s">
        <v>256</v>
      </c>
    </row>
    <row r="28" spans="1:3">
      <c r="A28" t="s">
        <v>170</v>
      </c>
      <c r="B28" t="s">
        <v>255</v>
      </c>
    </row>
    <row r="29" spans="1:3">
      <c r="A29" t="s">
        <v>170</v>
      </c>
      <c r="B29" t="s">
        <v>302</v>
      </c>
    </row>
    <row r="30" spans="1:3">
      <c r="A30" t="s">
        <v>170</v>
      </c>
      <c r="B30" t="s">
        <v>254</v>
      </c>
    </row>
    <row r="31" spans="1:3">
      <c r="A31" t="s">
        <v>170</v>
      </c>
      <c r="B31" t="s">
        <v>270</v>
      </c>
    </row>
    <row r="32" spans="1:3">
      <c r="A32" t="s">
        <v>170</v>
      </c>
      <c r="B32" t="s">
        <v>352</v>
      </c>
    </row>
    <row r="33" spans="1:2">
      <c r="A33" t="s">
        <v>170</v>
      </c>
      <c r="B33" t="s">
        <v>263</v>
      </c>
    </row>
    <row r="34" spans="1:2">
      <c r="A34" t="s">
        <v>170</v>
      </c>
      <c r="B34" t="s">
        <v>249</v>
      </c>
    </row>
    <row r="35" spans="1:2">
      <c r="A35" t="s">
        <v>170</v>
      </c>
      <c r="B35" t="s">
        <v>253</v>
      </c>
    </row>
    <row r="36" spans="1:2">
      <c r="A36" t="s">
        <v>170</v>
      </c>
      <c r="B36" t="s">
        <v>248</v>
      </c>
    </row>
    <row r="37" spans="1:2">
      <c r="A37" t="s">
        <v>170</v>
      </c>
      <c r="B37" t="s">
        <v>365</v>
      </c>
    </row>
    <row r="38" spans="1:2">
      <c r="A38" t="s">
        <v>170</v>
      </c>
      <c r="B38" t="s">
        <v>508</v>
      </c>
    </row>
    <row r="39" spans="1:2">
      <c r="A39" t="s">
        <v>170</v>
      </c>
      <c r="B39" t="s">
        <v>266</v>
      </c>
    </row>
    <row r="40" spans="1:2">
      <c r="A40" t="s">
        <v>170</v>
      </c>
      <c r="B40" t="s">
        <v>265</v>
      </c>
    </row>
    <row r="41" spans="1:2">
      <c r="A41" t="s">
        <v>170</v>
      </c>
      <c r="B41" t="s">
        <v>257</v>
      </c>
    </row>
    <row r="42" spans="1:2">
      <c r="A42" t="s">
        <v>170</v>
      </c>
      <c r="B42" t="s">
        <v>251</v>
      </c>
    </row>
    <row r="43" spans="1:2">
      <c r="A43" t="s">
        <v>170</v>
      </c>
      <c r="B43" t="s">
        <v>252</v>
      </c>
    </row>
    <row r="44" spans="1:2">
      <c r="A44" t="s">
        <v>303</v>
      </c>
      <c r="B44" t="s">
        <v>260</v>
      </c>
    </row>
    <row r="45" spans="1:2">
      <c r="A45" t="s">
        <v>303</v>
      </c>
      <c r="B45" t="s">
        <v>261</v>
      </c>
    </row>
    <row r="46" spans="1:2">
      <c r="A46" t="s">
        <v>303</v>
      </c>
      <c r="B46" t="s">
        <v>262</v>
      </c>
    </row>
    <row r="47" spans="1:2">
      <c r="A47" t="s">
        <v>303</v>
      </c>
      <c r="B47" t="s">
        <v>178</v>
      </c>
    </row>
    <row r="48" spans="1:2">
      <c r="A48" t="s">
        <v>303</v>
      </c>
      <c r="B48" t="s">
        <v>258</v>
      </c>
    </row>
    <row r="49" spans="1:2">
      <c r="A49" t="s">
        <v>303</v>
      </c>
      <c r="B49" t="s">
        <v>269</v>
      </c>
    </row>
    <row r="50" spans="1:2">
      <c r="A50" t="s">
        <v>303</v>
      </c>
      <c r="B50" t="s">
        <v>177</v>
      </c>
    </row>
    <row r="51" spans="1:2">
      <c r="A51" t="s">
        <v>303</v>
      </c>
      <c r="B51" t="s">
        <v>506</v>
      </c>
    </row>
    <row r="52" spans="1:2">
      <c r="A52" t="s">
        <v>303</v>
      </c>
      <c r="B52" t="s">
        <v>259</v>
      </c>
    </row>
    <row r="53" spans="1:2">
      <c r="A53" t="s">
        <v>303</v>
      </c>
      <c r="B53" t="s">
        <v>370</v>
      </c>
    </row>
    <row r="54" spans="1:2">
      <c r="A54" t="s">
        <v>303</v>
      </c>
      <c r="B54" t="s">
        <v>366</v>
      </c>
    </row>
    <row r="55" spans="1:2">
      <c r="A55" t="s">
        <v>171</v>
      </c>
      <c r="B55" t="s">
        <v>144</v>
      </c>
    </row>
    <row r="56" spans="1:2">
      <c r="A56" t="s">
        <v>171</v>
      </c>
      <c r="B56" t="s">
        <v>147</v>
      </c>
    </row>
    <row r="57" spans="1:2">
      <c r="A57" t="s">
        <v>171</v>
      </c>
      <c r="B57" t="s">
        <v>150</v>
      </c>
    </row>
    <row r="58" spans="1:2">
      <c r="A58" t="s">
        <v>171</v>
      </c>
      <c r="B58" t="s">
        <v>153</v>
      </c>
    </row>
    <row r="59" spans="1:2">
      <c r="A59" t="s">
        <v>171</v>
      </c>
      <c r="B59" t="s">
        <v>156</v>
      </c>
    </row>
    <row r="60" spans="1:2">
      <c r="A60" t="s">
        <v>171</v>
      </c>
      <c r="B60" t="s">
        <v>159</v>
      </c>
    </row>
    <row r="61" spans="1:2">
      <c r="A61" t="s">
        <v>171</v>
      </c>
      <c r="B61" t="s">
        <v>164</v>
      </c>
    </row>
    <row r="62" spans="1:2">
      <c r="A62" t="s">
        <v>171</v>
      </c>
      <c r="B62" t="s">
        <v>275</v>
      </c>
    </row>
    <row r="63" spans="1:2">
      <c r="A63" t="s">
        <v>171</v>
      </c>
      <c r="B63" t="s">
        <v>166</v>
      </c>
    </row>
    <row r="64" spans="1:2">
      <c r="A64" t="s">
        <v>171</v>
      </c>
      <c r="B64" t="s">
        <v>167</v>
      </c>
    </row>
    <row r="65" spans="1:2">
      <c r="A65" t="s">
        <v>171</v>
      </c>
      <c r="B65" t="s">
        <v>168</v>
      </c>
    </row>
    <row r="66" spans="1:2">
      <c r="A66" t="s">
        <v>171</v>
      </c>
      <c r="B66" t="s">
        <v>169</v>
      </c>
    </row>
    <row r="67" spans="1:2">
      <c r="A67" t="s">
        <v>171</v>
      </c>
      <c r="B67" t="s">
        <v>141</v>
      </c>
    </row>
    <row r="68" spans="1:2">
      <c r="A68" t="s">
        <v>171</v>
      </c>
      <c r="B68" t="s">
        <v>185</v>
      </c>
    </row>
    <row r="69" spans="1:2">
      <c r="A69" t="s">
        <v>172</v>
      </c>
      <c r="B69" t="s">
        <v>341</v>
      </c>
    </row>
    <row r="70" spans="1:2">
      <c r="A70" t="s">
        <v>172</v>
      </c>
      <c r="B70" t="s">
        <v>143</v>
      </c>
    </row>
    <row r="71" spans="1:2">
      <c r="A71" t="s">
        <v>172</v>
      </c>
      <c r="B71" t="s">
        <v>368</v>
      </c>
    </row>
    <row r="72" spans="1:2">
      <c r="A72" t="s">
        <v>172</v>
      </c>
      <c r="B72" t="s">
        <v>146</v>
      </c>
    </row>
    <row r="73" spans="1:2">
      <c r="A73" t="s">
        <v>172</v>
      </c>
      <c r="B73" t="s">
        <v>140</v>
      </c>
    </row>
    <row r="74" spans="1:2">
      <c r="A74" t="s">
        <v>172</v>
      </c>
      <c r="B74" t="s">
        <v>149</v>
      </c>
    </row>
    <row r="75" spans="1:2">
      <c r="A75" t="s">
        <v>172</v>
      </c>
      <c r="B75" t="s">
        <v>152</v>
      </c>
    </row>
    <row r="76" spans="1:2">
      <c r="A76" t="s">
        <v>172</v>
      </c>
      <c r="B76" t="s">
        <v>155</v>
      </c>
    </row>
    <row r="77" spans="1:2">
      <c r="A77" t="s">
        <v>172</v>
      </c>
      <c r="B77" t="s">
        <v>158</v>
      </c>
    </row>
    <row r="78" spans="1:2">
      <c r="A78" t="s">
        <v>172</v>
      </c>
      <c r="B78" t="s">
        <v>161</v>
      </c>
    </row>
    <row r="79" spans="1:2">
      <c r="A79" t="s">
        <v>172</v>
      </c>
      <c r="B79" t="s">
        <v>163</v>
      </c>
    </row>
    <row r="80" spans="1:2">
      <c r="A80" t="s">
        <v>184</v>
      </c>
      <c r="B80" t="s">
        <v>142</v>
      </c>
    </row>
    <row r="81" spans="1:2">
      <c r="A81" t="s">
        <v>184</v>
      </c>
      <c r="B81" t="s">
        <v>274</v>
      </c>
    </row>
    <row r="82" spans="1:2">
      <c r="A82" t="s">
        <v>184</v>
      </c>
      <c r="B82" t="s">
        <v>145</v>
      </c>
    </row>
    <row r="83" spans="1:2">
      <c r="A83" t="s">
        <v>184</v>
      </c>
      <c r="B83" t="s">
        <v>148</v>
      </c>
    </row>
    <row r="84" spans="1:2">
      <c r="A84" t="s">
        <v>184</v>
      </c>
      <c r="B84" t="s">
        <v>151</v>
      </c>
    </row>
    <row r="85" spans="1:2">
      <c r="A85" t="s">
        <v>184</v>
      </c>
      <c r="B85" t="s">
        <v>154</v>
      </c>
    </row>
    <row r="86" spans="1:2">
      <c r="A86" t="s">
        <v>184</v>
      </c>
      <c r="B86" t="s">
        <v>160</v>
      </c>
    </row>
    <row r="87" spans="1:2">
      <c r="A87" t="s">
        <v>184</v>
      </c>
      <c r="B87" t="s">
        <v>157</v>
      </c>
    </row>
    <row r="88" spans="1:2">
      <c r="A88" t="s">
        <v>184</v>
      </c>
      <c r="B88" t="s">
        <v>162</v>
      </c>
    </row>
    <row r="89" spans="1:2">
      <c r="A89" t="s">
        <v>184</v>
      </c>
      <c r="B89" t="s">
        <v>165</v>
      </c>
    </row>
  </sheetData>
  <sheetProtection sheet="1" objects="1" scenarios="1"/>
  <phoneticPr fontId="13" type="noConversion"/>
  <dataValidations count="1">
    <dataValidation type="list" allowBlank="1" showInputMessage="1" showErrorMessage="1" sqref="A21:A89">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5" sqref="F5"/>
    </sheetView>
  </sheetViews>
  <sheetFormatPr defaultRowHeight="15"/>
  <cols>
    <col min="1" max="1" width="73.7109375" bestFit="1" customWidth="1"/>
  </cols>
  <sheetData>
    <row r="1" spans="1:1" ht="61.9" customHeight="1">
      <c r="A1" s="192" t="s">
        <v>384</v>
      </c>
    </row>
    <row r="2" spans="1:1">
      <c r="A2" t="s">
        <v>381</v>
      </c>
    </row>
    <row r="3" spans="1:1">
      <c r="A3" t="s">
        <v>385</v>
      </c>
    </row>
    <row r="4" spans="1:1">
      <c r="A4" t="s">
        <v>386</v>
      </c>
    </row>
    <row r="5" spans="1:1">
      <c r="A5" t="s">
        <v>382</v>
      </c>
    </row>
    <row r="6" spans="1:1">
      <c r="A6" t="s">
        <v>383</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A16" sqref="A16"/>
    </sheetView>
  </sheetViews>
  <sheetFormatPr defaultRowHeight="15"/>
  <cols>
    <col min="1" max="1" width="88.7109375" bestFit="1" customWidth="1"/>
    <col min="2" max="2" width="30.5703125" bestFit="1" customWidth="1"/>
  </cols>
  <sheetData>
    <row r="1" spans="1:1" ht="75">
      <c r="A1" s="1" t="str">
        <f>CONCATENATE(КАГ!A18," ",КАГ!B18,". ",КАГ!A20," ",КАГ!B20,". ",КАГ!A22," ",КАГ!B22,". ")</f>
        <v xml:space="preserve">Тип: Правый. Ствол ЛКА: проходим, неровности контуров. Бассейн ПНА: стентирование среднего сегмента ПНА от 25.10.23 (1DES Res/Int 3.5-38). На настоящей каг определяется субокклюзирующий нестабильный стеноз проксимального сегмента 90%, TTG1, антеградный кровоток по ПНА  TIMI II. Рестеноз in stent до 30%, стенозы дистального сегмента до 50%. Стеноз устья и проксимальной трети ДВ до 70%.. </v>
      </c>
    </row>
    <row r="4" spans="1:1">
      <c r="A4" s="1"/>
    </row>
    <row r="12" spans="1:1">
      <c r="A12" s="1"/>
    </row>
    <row r="18" spans="1:1">
      <c r="A18" s="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vt:i4>
      </vt:variant>
    </vt:vector>
  </HeadingPairs>
  <TitlesOfParts>
    <vt:vector size="10" baseType="lpstr">
      <vt:lpstr>КАГ</vt:lpstr>
      <vt:lpstr>ЧКВ</vt:lpstr>
      <vt:lpstr>Карта учёта</vt:lpstr>
      <vt:lpstr>Вмешательства</vt:lpstr>
      <vt:lpstr>Расходный материал</vt:lpstr>
      <vt:lpstr>Сотрудники</vt:lpstr>
      <vt:lpstr>Остальное</vt:lpstr>
      <vt:lpstr>Лист1</vt:lpstr>
      <vt:lpstr>КАГ!Область_печати</vt:lpstr>
      <vt:lpstr>'Карта учёта'!Область_печати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2024-02-12T18:02:19Z</cp:lastPrinted>
  <dcterms:created xsi:type="dcterms:W3CDTF">2015-06-05T18:19:34Z</dcterms:created>
  <dcterms:modified xsi:type="dcterms:W3CDTF">2024-02-13T03:45:51Z</dcterms:modified>
</cp:coreProperties>
</file>