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5" i="1"/>
  <c r="S76" i="1"/>
  <c r="S77" i="1"/>
  <c r="S78" i="1"/>
  <c r="S79" i="1"/>
  <c r="S80" i="1"/>
  <c r="S81" i="1"/>
  <c r="S82" i="1"/>
  <c r="T75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1" i="1"/>
  <c r="F72" i="1"/>
  <c r="G71" i="1"/>
  <c r="G72" i="1"/>
  <c r="H71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9" i="1" l="1"/>
  <c r="P10" i="1" s="1"/>
  <c r="P11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75" i="1" s="1"/>
  <c r="W65" i="1"/>
  <c r="W73" i="1"/>
  <c r="W58" i="1"/>
  <c r="W43" i="1"/>
  <c r="W68" i="1"/>
  <c r="W39" i="1"/>
  <c r="W42" i="1"/>
  <c r="W64" i="1"/>
  <c r="H70" i="1"/>
  <c r="U75" i="1" s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W72" i="1" l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74" i="1"/>
  <c r="W56" i="1"/>
  <c r="W54" i="1"/>
  <c r="W41" i="1"/>
  <c r="W59" i="1"/>
  <c r="U63" i="1"/>
  <c r="U2" i="1"/>
  <c r="U54" i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S3" i="1" s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1" i="1" l="1"/>
  <c r="X75" i="1" s="1"/>
  <c r="S57" i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47" i="1"/>
  <c r="X45" i="1"/>
  <c r="X46" i="1"/>
  <c r="X67" i="1"/>
  <c r="X41" i="1"/>
  <c r="X62" i="1"/>
  <c r="X71" i="1"/>
  <c r="X59" i="1"/>
  <c r="X54" i="1"/>
  <c r="X55" i="1"/>
  <c r="X43" i="1"/>
  <c r="X63" i="1"/>
  <c r="X73" i="1"/>
  <c r="X42" i="1"/>
  <c r="X58" i="1"/>
  <c r="X39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5" i="1"/>
  <c r="X28" i="1"/>
  <c r="X16" i="1"/>
  <c r="X29" i="1"/>
  <c r="X21" i="1"/>
  <c r="X30" i="1" l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69" i="1" l="1"/>
  <c r="N70" i="1"/>
  <c r="N71" i="1" s="1"/>
  <c r="AA54" i="1"/>
  <c r="G65" i="1"/>
  <c r="M56" i="1"/>
  <c r="M57" i="1" s="1"/>
  <c r="L54" i="1"/>
  <c r="AA28" i="1" l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M68" i="1" l="1"/>
  <c r="AC67" i="1"/>
  <c r="P68" i="1"/>
  <c r="M69" i="1" l="1"/>
  <c r="AC68" i="1"/>
  <c r="P69" i="1"/>
  <c r="P70" i="1" s="1"/>
  <c r="P71" i="1" s="1"/>
  <c r="AC70" i="1"/>
  <c r="AC69" i="1"/>
  <c r="M70" i="1" l="1"/>
  <c r="Z27" i="1"/>
  <c r="Z64" i="1"/>
  <c r="Z20" i="1"/>
  <c r="Z24" i="1"/>
  <c r="Z3" i="1"/>
  <c r="Z35" i="1"/>
  <c r="Z36" i="1"/>
  <c r="Z43" i="1"/>
  <c r="Z67" i="1"/>
  <c r="Z66" i="1"/>
  <c r="Z22" i="1"/>
  <c r="Z18" i="1"/>
  <c r="Z11" i="1"/>
  <c r="Z33" i="1"/>
  <c r="Z39" i="1"/>
  <c r="Z25" i="1"/>
  <c r="AC28" i="1"/>
  <c r="AC73" i="1"/>
  <c r="AC74" i="1"/>
  <c r="Z44" i="1"/>
  <c r="M71" i="1"/>
  <c r="Z55" i="1"/>
  <c r="AC55" i="1"/>
  <c r="AC44" i="1"/>
  <c r="AC71" i="1"/>
  <c r="AC72" i="1"/>
  <c r="AC54" i="1"/>
  <c r="Z70" i="1" l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<sst xmlns="http://schemas.openxmlformats.org/spreadsheetml/2006/main" count="878" uniqueCount="532">
  <si>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</si>
  <si>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</si>
  <si>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</si>
  <si>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</si>
  <si>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</si>
  <si>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</si>
  <si>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</si>
  <si>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</si>
  <si>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</si>
  <si>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</si>
  <si>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</si>
  <si>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</si>
  <si>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</si>
  <si>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</si>
  <si>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</si>
  <si>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</si>
  <si>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</si>
  <si>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</si>
  <si>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</si>
  <si>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</si>
  <si>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</si>
  <si>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</si>
  <si>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</si>
  <si>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</si>
  <si>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</si>
  <si>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</si>
  <si>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</si>
  <si>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</si>
  <si>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</si>
  <si>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</si>
  <si>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</si>
  <si>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</si>
  <si>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</si>
  <si>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</si>
  <si>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</si>
  <si>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</si>
  <si>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</si>
  <si>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</si>
  <si>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</si>
  <si>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</si>
  <si>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</si>
  <si>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</si>
  <si>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</si>
  <si>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</si>
  <si>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</si>
  <si>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</si>
  <si>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</si>
  <si>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</si>
  <si>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</si>
  <si>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</si>
  <si>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</si>
  <si>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</si>
  <si>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</si>
  <si>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</si>
  <si>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</si>
  <si>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</si>
  <si>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</si>
  <si>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</si>
  <si>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</si>
  <si>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</si>
  <si>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</si>
  <si>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</si>
  <si>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</si>
  <si>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</si>
  <si>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</si>
  <si>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</si>
  <si>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</si>
  <si>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</si>
  <si>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</si>
  <si>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</si>
  <si>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</si>
  <si>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</si>
  <si>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</si>
  <si>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</si>
  <si>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</si>
  <si>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</si>
  <si>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</si>
  <si>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</si>
  <si>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</si>
  <si>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</si>
  <si>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</si>
  <si>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</si>
  <si>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</si>
  <si>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</si>
  <si>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</si>
  <si>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</si>
  <si>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</si>
  <si>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</si>
  <si>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</si>
  <si>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</si>
  <si>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</si>
  <si>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</si>
  <si>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</si>
  <si>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</si>
  <si>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</si>
  <si>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</si>
  <si>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</si>
  <si>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</si>
  <si>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</si>
  <si>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</si>
  <si>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</si>
  <si>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</si>
  <si>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</si>
  <si>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</si>
  <si>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</si>
  <si>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</si>
  <si>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</si>
  <si>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</si>
  <si>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</si>
  <si>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</si>
  <si>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</si>
  <si>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</si>
  <si>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</si>
  <si>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</si>
  <si>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</si>
  <si>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</si>
  <si>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</si>
  <si>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</si>
  <si>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</si>
  <si>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</si>
  <si>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</si>
  <si>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</si>
  <si>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</si>
  <si>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</si>
  <si>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</si>
  <si>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</si>
  <si>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</si>
  <si>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</si>
  <si>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</si>
  <si>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</si>
  <si>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</si>
  <si>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</si>
  <si>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</si>
  <si>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</si>
  <si>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</si>
  <si>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</si>
  <si>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</si>
  <si>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</si>
  <si>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</si>
  <si>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</si>
  <si>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</si>
  <si>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</si>
  <si>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</si>
  <si>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</si>
  <si>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</si>
  <si>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</si>
  <si>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</si>
  <si>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</si>
  <si>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</si>
  <si>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</si>
  <si>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</si>
  <si>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</si>
  <si>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</si>
  <si>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</si>
  <si>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</si>
  <si>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</si>
  <si>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</si>
  <si>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</si>
  <si>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</si>
  <si>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</si>
  <si>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</si>
  <si>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</si>
  <si>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</si>
  <si>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</si>
  <si>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</si>
  <si>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</si>
  <si>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</si>
  <si>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</si>
  <si>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</si>
  <si>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</si>
  <si>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</si>
  <si>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</si>
  <si>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</si>
  <si>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</si>
  <si>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</si>
  <si>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</si>
  <si>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</si>
  <si>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</si>
  <si>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</si>
  <si>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</si>
  <si>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</si>
  <si>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</si>
  <si>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</si>
  <si>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</si>
  <si>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</si>
  <si>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</si>
  <si>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</si>
  <si>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</si>
  <si>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</si>
  <si>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</si>
  <si>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</si>
  <si>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</si>
  <si>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</si>
  <si>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</si>
  <si>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</si>
  <si>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</si>
  <si>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</si>
  <si>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</si>
  <si>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</si>
  <si>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</si>
  <si>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</si>
  <si>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</si>
  <si>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</si>
  <si>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</si>
  <si>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</si>
  <si>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</si>
  <si>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</si>
  <si>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</si>
  <si>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</si>
  <si>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</si>
  <si>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</si>
  <si>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</si>
  <si>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</si>
  <si>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</si>
  <si>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</si>
  <si>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</si>
  <si>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</si>
  <si>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</si>
  <si>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</si>
  <si>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</si>
  <si>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</si>
  <si>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</si>
  <si>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</si>
  <si>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</si>
  <si>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</si>
  <si>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</si>
  <si>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</si>
  <si>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</si>
  <si>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</si>
  <si>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</si>
  <si>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</si>
  <si>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</si>
  <si>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</si>
  <si>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</si>
  <si>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</si>
  <si>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</si>
  <si>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</si>
  <si>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</si>
  <si>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</si>
  <si>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</si>
  <si>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</si>
  <si>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</si>
  <si>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</si>
  <si>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</si>
  <si>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</si>
  <si>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</si>
  <si>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</si>
  <si>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</si>
  <si>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</si>
  <si>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</si>
  <si>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</si>
  <si>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</si>
  <si>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</si>
  <si>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</si>
  <si>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</si>
  <si>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</si>
  <si>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</si>
  <si>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</si>
  <si>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</si>
  <si>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</si>
  <si>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</si>
  <si>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</si>
  <si>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</si>
  <si>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</si>
  <si>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</si>
  <si>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</si>
  <si>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</si>
  <si>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</si>
  <si>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</si>
  <si>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</si>
  <si>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</si>
  <si>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</si>
  <si>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</si>
  <si>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</si>
  <si>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</si>
  <si>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</si>
  <si>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</si>
  <si>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</si>
  <si>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</si>
  <si>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</si>
  <si>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</si>
  <si>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</si>
  <si>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</si>
  <si>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</si>
  <si>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</si>
  <si>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</si>
  <si>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</si>
  <si>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</si>
  <si>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</si>
  <si>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</si>
  <si>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</si>
  <si>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</si>
  <si>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</si>
  <si>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</si>
  <si>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</si>
  <si>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</si>
  <si>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</si>
  <si>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</si>
  <si>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</si>
  <si>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</si>
  <si>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</si>
  <si>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</si>
  <si>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</si>
  <si>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</si>
  <si>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</si>
  <si>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</si>
  <si>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</si>
  <si>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</si>
  <si>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</si>
  <si>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</si>
  <si>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</si>
  <si>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</si>
  <si>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</si>
  <si>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</si>
  <si>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</si>
  <si>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</si>
  <si>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</si>
  <si>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</si>
  <si>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</si>
  <si>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</si>
  <si>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</si>
  <si>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</si>
  <si>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</si>
  <si>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</si>
  <si>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</si>
  <si>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</si>
  <si>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</si>
  <si>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</si>
  <si>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</si>
  <si>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</si>
  <si>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</si>
  <si>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</si>
  <si>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</si>
  <si>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</si>
  <si>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</si>
  <si>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</si>
  <si>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</si>
  <si>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</si>
  <si>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</si>
  <si>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</si>
  <si>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</si>
  <si>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</si>
  <si>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</si>
  <si>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</si>
  <si>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</si>
  <si>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</si>
  <si>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</si>
  <si>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</si>
  <si>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</si>
  <si>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</si>
  <si>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</si>
  <si>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</si>
  <si>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</si>
  <si>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</si>
  <si>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</si>
  <si>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</si>
  <si>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</si>
  <si>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</si>
  <si>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</si>
  <si>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</si>
  <si>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</si>
  <si>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</si>
  <si>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</si>
  <si>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</si>
  <si>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</si>
  <si>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</si>
  <si>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</si>
  <si>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</si>
  <si>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</si>
  <si>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</si>
  <si>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</si>
  <si>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</si>
  <si>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</si>
  <si>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</si>
  <si>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</si>
  <si>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</si>
  <si>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</si>
  <si>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</si>
  <si>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</si>
  <si>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</si>
  <si>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</si>
  <si>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</si>
  <si>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</si>
  <si>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</si>
  <si>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</si>
  <si>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</si>
  <si>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</si>
  <si>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</si>
  <si>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</si>
  <si>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</si>
  <si>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</si>
  <si>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</si>
  <si>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</si>
  <si>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</si>
  <si>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</si>
  <si>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</si>
  <si>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</si>
  <si>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</si>
  <si>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</si>
  <si>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</si>
  <si>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</si>
  <si>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</si>
  <si>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</si>
  <si>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</si>
  <si>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</si>
  <si>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</si>
  <si>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</si>
  <si>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</si>
  <si>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</si>
  <si>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</si>
  <si>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</si>
  <si>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</si>
  <si>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</si>
  <si>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</si>
  <si>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</si>
  <si>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</si>
  <si>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</si>
  <si>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</si>
  <si>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</si>
  <si>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</si>
  <si>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</si>
  <si>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</si>
  <si>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</si>
  <si>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</si>
  <si>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</si>
  <si>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</si>
  <si>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</si>
  <si>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</si>
  <si>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</si>
  <si>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</si>
  <si>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</si>
  <si>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</si>
  <si>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</si>
  <si>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</si>
  <si>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</si>
  <si>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</si>
  <si>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</si>
  <si>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</si>
  <si>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</si>
  <si>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</si>
  <si>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</si>
  <si>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</si>
  <si>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</si>
  <si>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</si>
  <si>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</si>
  <si>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</si>
  <si>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</si>
  <si>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</si>
  <si>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</si>
  <si>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</si>
  <si>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</si>
  <si>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</si>
  <si>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</si>
  <si>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</si>
  <si>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</si>
  <si>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</si>
  <si>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</si>
  <si>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</si>
  <si>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</si>
  <si>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</si>
  <si>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</si>
  <si>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</si>
  <si>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</si>
  <si>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</si>
  <si>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</si>
  <si>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</si>
  <si>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</si>
  <si>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</si>
  <si>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</si>
  <si>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</si>
  <si>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</si>
  <si>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</si>
  <si>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</si>
  <si>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</si>
  <si>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</si>
  <si>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</si>
  <si>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</si>
  <si>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</si>
  <si>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</si>
  <si>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</si>
  <si>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</si>
  <si>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</si>
  <si>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</si>
  <si>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</si>
  <si>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</si>
  <si>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</si>
  <si>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</si>
  <si>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</si>
  <si>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</si>
  <si>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</si>
  <si>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</si>
  <si>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</si>
  <si>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</si>
  <si>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</si>
  <si>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</si>
  <si>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</si>
  <si>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</si>
  <si>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</si>
  <si>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</si>
  <si>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</si>
  <si>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</si>
  <si>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</si>
  <si>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</si>
  <si>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</si>
  <si>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</si>
  <si>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</si>
  <si>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</si>
  <si>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</si>
  <si>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</si>
  <si>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</si>
  <si>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</si>
  <si>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</si>
  <si>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</si>
  <si>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</si>
  <si>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</si>
  <si>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</si>
  <si>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</si>
  <si>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</si>
  <si>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</si>
  <si>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50 ml</t>
  </si>
  <si>
    <t>Правый</t>
  </si>
  <si>
    <t xml:space="preserve">Совместно с д/кардиологом: с учетом клинических данных, ЭКГ и КАГ рекомендована ЧТКА ПНА. </t>
  </si>
  <si>
    <t>Ермилов Д.В.</t>
  </si>
  <si>
    <t>19:12</t>
  </si>
  <si>
    <t>Gaia First</t>
  </si>
  <si>
    <t>2,75 - 14</t>
  </si>
  <si>
    <t>проходим, сконтуры ровные</t>
  </si>
  <si>
    <t>стеноз проксимального сегмента не менее 75%.  Антеградный кровоток  TIMI III.</t>
  </si>
  <si>
    <r>
      <t>стенозы проксимального сегмента 30%, на границе проксимального и среднего сегментов тотальная окклюзия, TTG2</t>
    </r>
    <r>
      <rPr>
        <i/>
        <sz val="11"/>
        <color theme="1"/>
        <rFont val="Arial"/>
        <family val="2"/>
        <charset val="204"/>
      </rPr>
      <t xml:space="preserve">.   </t>
    </r>
    <r>
      <rPr>
        <sz val="11"/>
        <color theme="1"/>
        <rFont val="Arial"/>
        <family val="2"/>
        <charset val="204"/>
      </rPr>
      <t>Антеградный кровоток по ПНА TIMI 0. Слабые коллатерали из ПКА</t>
    </r>
  </si>
  <si>
    <t xml:space="preserve">стенозы среднего сегмента 40%. Антеградный кровоток  TIMI III. </t>
  </si>
  <si>
    <t>250 ml</t>
  </si>
  <si>
    <t>Устье ствола ЛКА катетеризировано проводниковым катетером Launcher EBU4/0 6Fr. Сложное проведение проводников (balancium, gaia first) через зону окклюзии в дистальный сегмент ПНА. Реканализация артерии выполнена аспирационным катетером Hunter и БК Колибри 2.0 - 15. В зону среднего сегмента  с полным покрытием остаточного значимого стеноза имплантированы DES Resolute Integrity  2,75-14 мм, давлением 16 атм. и  DES Resolute Integrity  3,0-22, давлением 14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ПНА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</si>
</sst>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9" formatCode="&quot;&quot;&quot;&quot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1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169" fontId="0" fillId="0" borderId="0" xfId="0" applyNumberFormat="1"/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L35" sqref="L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45334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0.73958333333333337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0.74513888888888891</v>
      </c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>
      <c r="A11" s="89" t="s">
        <v>192</v>
      </c>
      <c r="B11" s="200" t="s">
        <v>522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27784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48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4169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523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8570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16.283000000000001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526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528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527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529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521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199</v>
      </c>
      <c r="B51" s="63" t="s">
        <v>519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7" zoomScale="110" zoomScaleNormal="100" zoomScaleSheetLayoutView="110" zoomScalePageLayoutView="90" workbookViewId="0">
      <selection activeCell="C16" sqref="C1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39"/>
      <c r="D10" s="239"/>
      <c r="E10" s="239"/>
      <c r="F10" s="194"/>
      <c r="G10" s="118"/>
      <c r="H10" s="39"/>
    </row>
    <row r="11" spans="1:8">
      <c r="A11" s="193"/>
      <c r="B11" s="197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45334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0.74513888888888891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0.79861111111111116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5.3472222222222254E-2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Ермилов Д.В.</v>
      </c>
      <c r="C16" s="247">
        <f>LEN(КАГ!B11)</f>
        <v>12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27784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48</v>
      </c>
      <c r="H18" s="39"/>
    </row>
    <row r="19" spans="1:8" ht="14.45" customHeight="1">
      <c r="A19" s="15" t="s">
        <v>12</v>
      </c>
      <c r="B19" s="68">
        <f>КАГ!B14</f>
        <v>4169</v>
      </c>
      <c r="C19" s="69"/>
      <c r="D19" s="69"/>
      <c r="E19" s="69"/>
      <c r="F19" s="69"/>
      <c r="G19" s="166" t="s">
        <v>401</v>
      </c>
      <c r="H19" s="181" t="str">
        <f>КАГ!H15</f>
        <v>19:12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8570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16.283000000000001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0.74791666666666667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531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519</v>
      </c>
      <c r="C40" s="120"/>
      <c r="D40" s="240" t="s">
        <v>518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530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3" sqref="B23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45334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Ермилов Д.В.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27784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48</v>
      </c>
    </row>
    <row r="7" spans="1:4">
      <c r="A7" s="38"/>
      <c r="C7" s="101" t="s">
        <v>12</v>
      </c>
      <c r="D7" s="103">
        <f>КАГ!$B$14</f>
        <v>4169</v>
      </c>
    </row>
    <row r="8" spans="1:4">
      <c r="A8" s="195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6"/>
      <c r="B10" s="31"/>
      <c r="C10" s="151" t="s">
        <v>13</v>
      </c>
      <c r="D10" s="152">
        <f>КАГ!$B$8</f>
        <v>45334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513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5" t="s">
        <v>524</v>
      </c>
      <c r="C16" s="183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5" t="s">
        <v>310</v>
      </c>
      <c r="C17" s="183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6" t="s">
        <v>378</v>
      </c>
      <c r="C18" s="136" t="s">
        <v>408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458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323</v>
      </c>
      <c r="C20" s="136" t="s">
        <v>525</v>
      </c>
      <c r="D20" s="141">
        <v>1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1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5" t="str">
        <f>IFERROR(INDEX(Расходка[Наименование расходного материала],MATCH(Расходка[[#This Row],[№]],Поиск_расходки[Индекс3],0)),"")</f>
        <v>Lepu Medical Balancium</v>
      </c>
      <c r="U2" s="115" t="str">
        <f>IFERROR(INDEX(Расходка[Наименование расходного материала],MATCH(Расходка[[#This Row],[№]],Поиск_расходки[Индекс4],0)),"")</f>
        <v>Gaia First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Колибри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1</v>
      </c>
      <c r="M10" s="116">
        <f>IF(ISNUMBER(SEARCH('Карта учёта'!$B$20,Расходка[[#This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2</v>
      </c>
      <c r="M11" s="116">
        <f>IF(ISNUMBER(SEARCH('Карта учёта'!$B$20,Расходка[[#This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524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1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First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Gaia First</v>
      </c>
      <c r="AB28" s="115" t="str">
        <f>IFERROR(INDEX(Расходка[Наименование расходного материала],MATCH(Расходка[[#This Row],[№]],Поиск_расходки[Индекс11],0)),"")</f>
        <v>Gaia First</v>
      </c>
      <c r="AC28" s="115" t="str">
        <f>IFERROR(INDEX(Расходка[Наименование расходного материала],MATCH(Расходка[[#This Row],[№]],Поиск_расходки[Индекс12],0)),"")</f>
        <v>Gaia First</v>
      </c>
      <c r="AD28" s="115" t="str">
        <f>IFERROR(INDEX(Расходка[Наименование расходного материала],MATCH(Расходка[[#This Row],[№]],Поиск_расходки[Индекс13],0)),"")</f>
        <v>Gaia First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1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0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0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199" t="str">
        <f>IFERROR(INDEX(Расходка[Наименование расходного материала],MATCH(Расходка[[#This Row],[№]],Поиск_расходки[Индекс6],0)),"")</f>
        <v/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/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0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0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199" t="str">
        <f>IFERROR(INDEX(Расходка[Наименование расходного материала],MATCH(Расходка[[#This Row],[№]],Поиск_расходки[Индекс6],0)),"")</f>
        <v/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/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0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0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199" t="str">
        <f>IFERROR(INDEX(Расходка[Наименование расходного материала],MATCH(Расходка[[#This Row],[№]],Поиск_расходки[Индекс6],0)),"")</f>
        <v/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/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0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0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199" t="str">
        <f>IFERROR(INDEX(Расходка[Наименование расходного материала],MATCH(Расходка[[#This Row],[№]],Поиск_расходки[Индекс6],0)),"")</f>
        <v/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/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199" t="str">
        <f>IFERROR(INDEX(Расходка[Наименование расходного материала],MATCH(Расходка[[#This Row],[№]],Поиск_расходки[Индекс6],0)),"")</f>
        <v/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/>
      </c>
      <c r="AA71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проходим, сконтуры ровные. Бассейн ПНА: стенозы проксимального сегмента 30%, на границе проксимального и среднего сегментов тотальная окклюзия, TTG2.   Антеградный кровоток по ПНА TIMI 0. Слабые коллатерали из ПКА.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2024-02-12T16:36:07Z</cp:lastPrinted>
  <dcterms:created xsi:type="dcterms:W3CDTF">2015-06-05T18:19:34Z</dcterms:created>
  <dcterms:modified xsi:type="dcterms:W3CDTF">2024-02-13T03:45:14Z</dcterms:modified>
</cp:coreProperties>
</file>