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2\"/>
    </mc:Choice>
  </mc:AlternateContent>
  <bookViews>
    <workbookView xWindow="-120" yWindow="-120" windowWidth="29040" windowHeight="1584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  <sheet name="Лист1" sheetId="11" r:id="rId8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9" l="1"/>
  <c r="C11" i="6" l="1"/>
  <c r="H20" i="9" l="1"/>
  <c r="A1" i="11" l="1"/>
  <c r="A17" i="3" l="1"/>
  <c r="A18" i="3"/>
  <c r="E73" i="1" l="1"/>
  <c r="E74" i="1"/>
  <c r="F73" i="1"/>
  <c r="F74" i="1"/>
  <c r="G73" i="1"/>
  <c r="G74" i="1"/>
  <c r="H73" i="1"/>
  <c r="H74" i="1"/>
  <c r="I73" i="1"/>
  <c r="I74" i="1"/>
  <c r="V73" i="1" s="1"/>
  <c r="J73" i="1"/>
  <c r="J74" i="1"/>
  <c r="K73" i="1"/>
  <c r="K74" i="1"/>
  <c r="L73" i="1"/>
  <c r="L74" i="1"/>
  <c r="M73" i="1"/>
  <c r="M74" i="1"/>
  <c r="Z73" i="1" s="1"/>
  <c r="N73" i="1"/>
  <c r="N74" i="1"/>
  <c r="AA73" i="1" s="1"/>
  <c r="O73" i="1"/>
  <c r="O74" i="1"/>
  <c r="AB73" i="1" s="1"/>
  <c r="P73" i="1"/>
  <c r="P74" i="1"/>
  <c r="AC73" i="1" s="1"/>
  <c r="Q73" i="1"/>
  <c r="Q74" i="1"/>
  <c r="AD73" i="1" s="1"/>
  <c r="V74" i="1"/>
  <c r="Z74" i="1"/>
  <c r="AA74" i="1"/>
  <c r="AB74" i="1"/>
  <c r="AC74" i="1"/>
  <c r="AD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F16" i="1"/>
  <c r="F17" i="1" s="1"/>
  <c r="N16" i="1"/>
  <c r="N17" i="1" s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R72" i="1" l="1"/>
  <c r="R74" i="1"/>
  <c r="R73" i="1"/>
  <c r="AC60" i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55" i="1" l="1"/>
  <c r="V44" i="1"/>
  <c r="J70" i="1"/>
  <c r="W59" i="1" s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41" i="1" l="1"/>
  <c r="W70" i="1"/>
  <c r="W54" i="1"/>
  <c r="W65" i="1"/>
  <c r="W56" i="1"/>
  <c r="W71" i="1"/>
  <c r="W74" i="1"/>
  <c r="W73" i="1"/>
  <c r="W67" i="1"/>
  <c r="W48" i="1"/>
  <c r="W49" i="1"/>
  <c r="W58" i="1"/>
  <c r="W40" i="1"/>
  <c r="W53" i="1"/>
  <c r="W60" i="1"/>
  <c r="W43" i="1"/>
  <c r="W46" i="1"/>
  <c r="W51" i="1"/>
  <c r="W66" i="1"/>
  <c r="W68" i="1"/>
  <c r="W62" i="1"/>
  <c r="W61" i="1"/>
  <c r="W47" i="1"/>
  <c r="W39" i="1"/>
  <c r="W52" i="1"/>
  <c r="W57" i="1"/>
  <c r="W63" i="1"/>
  <c r="W42" i="1"/>
  <c r="W69" i="1"/>
  <c r="W50" i="1"/>
  <c r="W45" i="1"/>
  <c r="W64" i="1"/>
  <c r="W44" i="1"/>
  <c r="W55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4" i="1" l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S2" i="1" l="1"/>
  <c r="F70" i="1"/>
  <c r="S3" i="1" s="1"/>
  <c r="K70" i="1"/>
  <c r="X69" i="1" s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S57" i="1" l="1"/>
  <c r="S8" i="1"/>
  <c r="S9" i="1"/>
  <c r="S46" i="1"/>
  <c r="S74" i="1"/>
  <c r="S37" i="1"/>
  <c r="S44" i="1"/>
  <c r="S35" i="1"/>
  <c r="S43" i="1"/>
  <c r="S70" i="1"/>
  <c r="S33" i="1"/>
  <c r="S63" i="1"/>
  <c r="S23" i="1"/>
  <c r="S10" i="1"/>
  <c r="S12" i="1"/>
  <c r="S50" i="1"/>
  <c r="S48" i="1"/>
  <c r="S65" i="1"/>
  <c r="S32" i="1"/>
  <c r="S72" i="1"/>
  <c r="S22" i="1"/>
  <c r="S24" i="1"/>
  <c r="S14" i="1"/>
  <c r="S69" i="1"/>
  <c r="S56" i="1"/>
  <c r="S28" i="1"/>
  <c r="S18" i="1"/>
  <c r="S16" i="1"/>
  <c r="S7" i="1"/>
  <c r="S19" i="1"/>
  <c r="S42" i="1"/>
  <c r="S40" i="1"/>
  <c r="S20" i="1"/>
  <c r="S15" i="1"/>
  <c r="S13" i="1"/>
  <c r="S36" i="1"/>
  <c r="S25" i="1"/>
  <c r="S21" i="1"/>
  <c r="S6" i="1"/>
  <c r="S66" i="1"/>
  <c r="S59" i="1"/>
  <c r="S62" i="1"/>
  <c r="S49" i="1"/>
  <c r="S51" i="1"/>
  <c r="S61" i="1"/>
  <c r="S47" i="1"/>
  <c r="S64" i="1"/>
  <c r="S45" i="1"/>
  <c r="S60" i="1"/>
  <c r="S52" i="1"/>
  <c r="S71" i="1"/>
  <c r="S73" i="1"/>
  <c r="S17" i="1"/>
  <c r="S34" i="1"/>
  <c r="S58" i="1"/>
  <c r="S30" i="1"/>
  <c r="S38" i="1"/>
  <c r="S5" i="1"/>
  <c r="S53" i="1"/>
  <c r="S29" i="1"/>
  <c r="S31" i="1"/>
  <c r="S11" i="1"/>
  <c r="S4" i="1"/>
  <c r="S39" i="1"/>
  <c r="S54" i="1"/>
  <c r="S67" i="1"/>
  <c r="S41" i="1"/>
  <c r="S55" i="1"/>
  <c r="S68" i="1"/>
  <c r="S26" i="1"/>
  <c r="S27" i="1"/>
  <c r="X70" i="1"/>
  <c r="X66" i="1"/>
  <c r="X47" i="1"/>
  <c r="X61" i="1"/>
  <c r="X45" i="1"/>
  <c r="X72" i="1"/>
  <c r="X46" i="1"/>
  <c r="X49" i="1"/>
  <c r="X67" i="1"/>
  <c r="X40" i="1"/>
  <c r="X41" i="1"/>
  <c r="X44" i="1"/>
  <c r="X62" i="1"/>
  <c r="X68" i="1"/>
  <c r="X71" i="1"/>
  <c r="X51" i="1"/>
  <c r="X59" i="1"/>
  <c r="X52" i="1"/>
  <c r="X54" i="1"/>
  <c r="X56" i="1"/>
  <c r="X55" i="1"/>
  <c r="X57" i="1"/>
  <c r="X43" i="1"/>
  <c r="X50" i="1"/>
  <c r="X63" i="1"/>
  <c r="X64" i="1"/>
  <c r="X73" i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G64" i="1" s="1"/>
  <c r="AA67" i="1"/>
  <c r="M54" i="1"/>
  <c r="M55" i="1" s="1"/>
  <c r="L51" i="1"/>
  <c r="L52" i="1" s="1"/>
  <c r="L53" i="1" s="1"/>
  <c r="AA70" i="1" l="1"/>
  <c r="AA69" i="1"/>
  <c r="N70" i="1"/>
  <c r="AA54" i="1"/>
  <c r="G65" i="1"/>
  <c r="M56" i="1"/>
  <c r="M57" i="1" s="1"/>
  <c r="L54" i="1"/>
  <c r="AA71" i="1" l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T42" i="1"/>
  <c r="M63" i="1"/>
  <c r="M64" i="1" s="1"/>
  <c r="M65" i="1" s="1"/>
  <c r="T7" i="1" l="1"/>
  <c r="T19" i="1"/>
  <c r="T30" i="1"/>
  <c r="T29" i="1"/>
  <c r="T4" i="1"/>
  <c r="T23" i="1"/>
  <c r="T52" i="1"/>
  <c r="T46" i="1"/>
  <c r="T49" i="1"/>
  <c r="T62" i="1"/>
  <c r="T24" i="1"/>
  <c r="T53" i="1"/>
  <c r="T60" i="1"/>
  <c r="T9" i="1"/>
  <c r="T64" i="1"/>
  <c r="T3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Z58" i="1"/>
  <c r="Z7" i="1"/>
  <c r="Z17" i="1"/>
  <c r="Z25" i="1"/>
  <c r="Z5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  <c r="M68" i="1" l="1"/>
  <c r="Z40" i="1"/>
  <c r="Z30" i="1"/>
  <c r="Z15" i="1"/>
  <c r="Z27" i="1"/>
  <c r="Z35" i="1"/>
  <c r="Z16" i="1"/>
  <c r="Z4" i="1"/>
  <c r="Z64" i="1"/>
  <c r="Z60" i="1"/>
  <c r="AC67" i="1"/>
  <c r="P68" i="1"/>
  <c r="M69" i="1" l="1"/>
  <c r="M70" i="1" s="1"/>
  <c r="Z44" i="1" s="1"/>
  <c r="Z54" i="1"/>
  <c r="Z70" i="1"/>
  <c r="Z68" i="1"/>
  <c r="AC68" i="1"/>
  <c r="P69" i="1"/>
  <c r="P70" i="1" s="1"/>
  <c r="Z72" i="1"/>
  <c r="Z71" i="1"/>
  <c r="Z69" i="1"/>
  <c r="AC70" i="1"/>
  <c r="AC69" i="1"/>
  <c r="Z55" i="1" l="1"/>
  <c r="AC55" i="1"/>
  <c r="AC44" i="1"/>
  <c r="AC71" i="1"/>
  <c r="AC72" i="1"/>
  <c r="AC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<sst xmlns="http://schemas.openxmlformats.org/spreadsheetml/2006/main" count="871" uniqueCount="532">
  <si>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</si>
  <si>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</si>
  <si>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</si>
  <si>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</si>
  <si>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</si>
  <si>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</si>
  <si>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</si>
  <si>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</si>
  <si>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</si>
  <si>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</si>
  <si>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</si>
  <si>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</si>
  <si>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</si>
  <si>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</si>
  <si>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</si>
  <si>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</si>
  <si>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</si>
  <si>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</si>
  <si>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</si>
  <si>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</si>
  <si>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</si>
  <si>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</si>
  <si>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</si>
  <si>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</si>
  <si>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</si>
  <si>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</si>
  <si>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</si>
  <si>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</si>
  <si>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</si>
  <si>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</si>
  <si>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</si>
  <si>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</si>
  <si>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</si>
  <si>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</si>
  <si>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</si>
  <si>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</si>
  <si>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</si>
  <si>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</si>
  <si>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</si>
  <si>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</si>
  <si>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</si>
  <si>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</si>
  <si>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</si>
  <si>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</si>
  <si>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</si>
  <si>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</si>
  <si>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</si>
  <si>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</si>
  <si>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</si>
  <si>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</si>
  <si>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</si>
  <si>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</si>
  <si>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</si>
  <si>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</si>
  <si>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</si>
  <si>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</si>
  <si>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</si>
  <si>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</si>
  <si>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</si>
  <si>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</si>
  <si>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</si>
  <si>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</si>
  <si>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</si>
  <si>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</si>
  <si>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</si>
  <si>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</si>
  <si>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</si>
  <si>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</si>
  <si>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</si>
  <si>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</si>
  <si>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</si>
  <si>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</si>
  <si>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</si>
  <si>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</si>
  <si>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</si>
  <si>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</si>
  <si>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</si>
  <si>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</si>
  <si>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</si>
  <si>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</si>
  <si>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</si>
  <si>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</si>
  <si>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</si>
  <si>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</si>
  <si>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</si>
  <si>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</si>
  <si>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</si>
  <si>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</si>
  <si>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</si>
  <si>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</si>
  <si>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</si>
  <si>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</si>
  <si>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</si>
  <si>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</si>
  <si>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</si>
  <si>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</si>
  <si>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</si>
  <si>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</si>
  <si>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</si>
  <si>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</si>
  <si>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</si>
  <si>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</si>
  <si>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</si>
  <si>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</si>
  <si>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</si>
  <si>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</si>
  <si>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</si>
  <si>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</si>
  <si>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</si>
  <si>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</si>
  <si>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</si>
  <si>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</si>
  <si>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</si>
  <si>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</si>
  <si>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</si>
  <si>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</si>
  <si>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</si>
  <si>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</si>
  <si>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</si>
  <si>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</si>
  <si>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</si>
  <si>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</si>
  <si>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</si>
  <si>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</si>
  <si>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</si>
  <si>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</si>
  <si>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</si>
  <si>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</si>
  <si>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</si>
  <si>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</si>
  <si>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</si>
  <si>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</si>
  <si>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</si>
  <si>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</si>
  <si>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</si>
  <si>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</si>
  <si>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</si>
  <si>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</si>
  <si>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</si>
  <si>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</si>
  <si>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</si>
  <si>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</si>
  <si>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</si>
  <si>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</si>
  <si>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</si>
  <si>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</si>
  <si>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</si>
  <si>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</si>
  <si>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</si>
  <si>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</si>
  <si>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</si>
  <si>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</si>
  <si>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</si>
  <si>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</si>
  <si>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</si>
  <si>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</si>
  <si>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</si>
  <si>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</si>
  <si>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</si>
  <si>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</si>
  <si>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</si>
  <si>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</si>
  <si>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</si>
  <si>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</si>
  <si>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</si>
  <si>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</si>
  <si>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</si>
  <si>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</si>
  <si>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</si>
  <si>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</si>
  <si>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</si>
  <si>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</si>
  <si>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</si>
  <si>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</si>
  <si>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</si>
  <si>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</si>
  <si>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</si>
  <si>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</si>
  <si>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</si>
  <si>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</si>
  <si>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</si>
  <si>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</si>
  <si>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</si>
  <si>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</si>
  <si>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</si>
  <si>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</si>
  <si>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</si>
  <si>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</si>
  <si>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</si>
  <si>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</si>
  <si>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</si>
  <si>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</si>
  <si>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</si>
  <si>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</si>
  <si>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</si>
  <si>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</si>
  <si>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</si>
  <si>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</si>
  <si>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</si>
  <si>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</si>
  <si>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</si>
  <si>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</si>
  <si>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</si>
  <si>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</si>
  <si>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</si>
  <si>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</si>
  <si>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</si>
  <si>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</si>
  <si>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</si>
  <si>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</si>
  <si>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</si>
  <si>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</si>
  <si>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</si>
  <si>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</si>
  <si>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</si>
  <si>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</si>
  <si>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</si>
  <si>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</si>
  <si>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</si>
  <si>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</si>
  <si>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</si>
  <si>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</si>
  <si>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</si>
  <si>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</si>
  <si>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</si>
  <si>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</si>
  <si>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</si>
  <si>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</si>
  <si>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</si>
  <si>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</si>
  <si>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</si>
  <si>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</si>
  <si>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</si>
  <si>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</si>
  <si>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</si>
  <si>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</si>
  <si>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</si>
  <si>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</si>
  <si>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</si>
  <si>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</si>
  <si>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</si>
  <si>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</si>
  <si>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</si>
  <si>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</si>
  <si>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</si>
  <si>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</si>
  <si>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</si>
  <si>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</si>
  <si>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</si>
  <si>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</si>
  <si>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</si>
  <si>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</si>
  <si>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</si>
  <si>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</si>
  <si>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</si>
  <si>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</si>
  <si>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</si>
  <si>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</si>
  <si>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</si>
  <si>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</si>
  <si>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</si>
  <si>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</si>
  <si>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</si>
  <si>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</si>
  <si>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</si>
  <si>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</si>
  <si>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</si>
  <si>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</si>
  <si>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</si>
  <si>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</si>
  <si>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</si>
  <si>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</si>
  <si>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</si>
  <si>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</si>
  <si>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</si>
  <si>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</si>
  <si>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</si>
  <si>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</si>
  <si>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</si>
  <si>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</si>
  <si>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</si>
  <si>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</si>
  <si>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</si>
  <si>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</si>
  <si>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</si>
  <si>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</si>
  <si>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</si>
  <si>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</si>
  <si>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</si>
  <si>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</si>
  <si>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</si>
  <si>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</si>
  <si>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</si>
  <si>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</si>
  <si>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</si>
  <si>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</si>
  <si>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</si>
  <si>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</si>
  <si>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</si>
  <si>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</si>
  <si>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</si>
  <si>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</si>
  <si>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</si>
  <si>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</si>
  <si>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</si>
  <si>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</si>
  <si>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</si>
  <si>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</si>
  <si>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</si>
  <si>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</si>
  <si>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</si>
  <si>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</si>
  <si>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</si>
  <si>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</si>
  <si>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</si>
  <si>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</si>
  <si>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</si>
  <si>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</si>
  <si>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</si>
  <si>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</si>
  <si>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</si>
  <si>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</si>
  <si>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</si>
  <si>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</si>
  <si>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</si>
  <si>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</si>
  <si>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</si>
  <si>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</si>
  <si>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</si>
  <si>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</si>
  <si>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</si>
  <si>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</si>
  <si>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</si>
  <si>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</si>
  <si>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</si>
  <si>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</si>
  <si>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</si>
  <si>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</si>
  <si>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</si>
  <si>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</si>
  <si>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</si>
  <si>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</si>
  <si>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</si>
  <si>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</si>
  <si>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</si>
  <si>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</si>
  <si>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</si>
  <si>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</si>
  <si>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</si>
  <si>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</si>
  <si>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</si>
  <si>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</si>
  <si>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</si>
  <si>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</si>
  <si>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</si>
  <si>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</si>
  <si>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</si>
  <si>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</si>
  <si>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</si>
  <si>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</si>
  <si>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</si>
  <si>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</si>
  <si>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</si>
  <si>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</si>
  <si>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</si>
  <si>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</si>
  <si>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</si>
  <si>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</si>
  <si>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</si>
  <si>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</si>
  <si>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</si>
  <si>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</si>
  <si>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</si>
  <si>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</si>
  <si>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</si>
  <si>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</si>
  <si>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</si>
  <si>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</si>
  <si>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</si>
  <si>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</si>
  <si>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</si>
  <si>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</si>
  <si>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</si>
  <si>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</si>
  <si>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</si>
  <si>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</si>
  <si>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</si>
  <si>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</si>
  <si>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</si>
  <si>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</si>
  <si>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</si>
  <si>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</si>
  <si>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</si>
  <si>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</si>
  <si>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</si>
  <si>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</si>
  <si>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</si>
  <si>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</si>
  <si>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</si>
  <si>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</si>
  <si>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</si>
  <si>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</si>
  <si>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</si>
  <si>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</si>
  <si>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</si>
  <si>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</si>
  <si>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</si>
  <si>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</si>
  <si>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</si>
  <si>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</si>
  <si>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</si>
  <si>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</si>
  <si>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</si>
  <si>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</si>
  <si>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</si>
  <si>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</si>
  <si>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</si>
  <si>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</si>
  <si>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</si>
  <si>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</si>
  <si>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</si>
  <si>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</si>
  <si>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</si>
  <si>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</si>
  <si>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</si>
  <si>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</si>
  <si>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</si>
  <si>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</si>
  <si>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</si>
  <si>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</si>
  <si>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</si>
  <si>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</si>
  <si>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</si>
  <si>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</si>
  <si>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</si>
  <si>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</si>
  <si>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</si>
  <si>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</si>
  <si>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</si>
  <si>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</si>
  <si>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</si>
  <si>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</si>
  <si>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</si>
  <si>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</si>
  <si>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</si>
  <si>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</si>
  <si>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</si>
  <si>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</si>
  <si>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</si>
  <si>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</si>
  <si>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</si>
  <si>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</si>
  <si>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</si>
  <si>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</si>
  <si>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</si>
  <si>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</si>
  <si>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</si>
  <si>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</si>
  <si>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</si>
  <si>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</si>
  <si>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</si>
  <si>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</si>
  <si>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</si>
  <si>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</si>
  <si>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</si>
  <si>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</si>
  <si>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</si>
  <si>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</si>
  <si>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</si>
  <si>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</si>
  <si>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</si>
  <si>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</si>
  <si>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</si>
  <si>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</si>
  <si>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</si>
  <si>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</si>
  <si>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</si>
  <si>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</si>
  <si>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</si>
  <si>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</si>
  <si>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</si>
  <si>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</si>
  <si>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</si>
  <si>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</si>
  <si>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</si>
  <si>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</si>
  <si>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</si>
  <si>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</si>
  <si>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</si>
  <si>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</si>
  <si>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</si>
  <si>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</si>
  <si>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</si>
  <si>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</si>
  <si>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</si>
  <si>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</si>
  <si>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</si>
  <si>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</si>
  <si>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</si>
  <si>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</si>
  <si>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</si>
  <si>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</si>
  <si>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</si>
  <si>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</si>
  <si>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</si>
  <si>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</si>
  <si>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</si>
  <si>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</si>
  <si>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</si>
  <si>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</si>
  <si>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</si>
  <si>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Launcher 6F AL 3</t>
  </si>
  <si>
    <t xml:space="preserve">Заведующий отделения: Д.В. Карчевский </t>
  </si>
  <si>
    <t>Lepu Medical Balancium</t>
  </si>
  <si>
    <t>DES, Metafor</t>
  </si>
  <si>
    <t>Проводник коронарный  0,8g, Angioline</t>
  </si>
  <si>
    <t>100 ml</t>
  </si>
  <si>
    <t>30 ml</t>
  </si>
  <si>
    <t>лучевой</t>
  </si>
  <si>
    <t>Извлечён</t>
  </si>
  <si>
    <t xml:space="preserve">1) Строгий контроль места пункции! </t>
  </si>
  <si>
    <t>50 ml</t>
  </si>
  <si>
    <t>16:06</t>
  </si>
  <si>
    <t>Суриков А.К.</t>
  </si>
  <si>
    <t>Правый</t>
  </si>
  <si>
    <r>
      <t xml:space="preserve">проходим, стеноз тела ствола ЛКА </t>
    </r>
    <r>
      <rPr>
        <sz val="12"/>
        <color theme="1"/>
        <rFont val="Calibri"/>
        <family val="2"/>
        <charset val="204"/>
        <scheme val="minor"/>
      </rPr>
      <t>30%</t>
    </r>
  </si>
  <si>
    <t>бассейн гипоплазирован.   Антеградный кровоток  TIMI III.</t>
  </si>
  <si>
    <t xml:space="preserve">артерия крупная с приустьевы стенозом до 40%, неровности контуров среднего сегмента, стенозы дистального сегмента 30% . Антеградный кровоток  TIMI III. </t>
  </si>
  <si>
    <t xml:space="preserve">Совместно с д/кардиологом: с учетом клинических данных, ЭКГ и КАГ рекомендована ЧТКА ПНА. </t>
  </si>
  <si>
    <t>койлинг проксимальной/3 правой лучевой артерии.</t>
  </si>
  <si>
    <r>
      <t xml:space="preserve">субокклюзирующий стеноз проксимального сегмента. </t>
    </r>
    <r>
      <rPr>
        <b/>
        <sz val="11"/>
        <color theme="1"/>
        <rFont val="Arial"/>
        <family val="2"/>
        <charset val="204"/>
      </rPr>
      <t xml:space="preserve">ИМА: </t>
    </r>
    <r>
      <rPr>
        <sz val="11"/>
        <color theme="1"/>
        <rFont val="Arial"/>
        <family val="2"/>
        <charset val="204"/>
      </rPr>
      <t>проходима. Контуры ровные</t>
    </r>
    <r>
      <rPr>
        <i/>
        <sz val="11"/>
        <color theme="1"/>
        <rFont val="Arial"/>
        <family val="2"/>
        <charset val="204"/>
      </rPr>
      <t xml:space="preserve">.   </t>
    </r>
    <r>
      <rPr>
        <sz val="11"/>
        <color theme="1"/>
        <rFont val="Arial"/>
        <family val="2"/>
        <charset val="204"/>
      </rPr>
      <t>Антеградный кровоток по ПНА ближе к   TIMI III</t>
    </r>
  </si>
  <si>
    <t>Устье ствола ЛКА катетеризировано проводниковым катетером Launcher EBU3/5 6Fr. Коронарный проводник balancium (2 шт) проведен  в дистальный сегмент ПНА. В зону проксимальног сегмента  с полным покрытием значимого стеноза имплантирован DES Resolute Integrity  4,0-18 мм, давлением 12 атм.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ПНА восстановлен до TIMI III. Ангиографический результат удовлетворительный.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</si>
</sst>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  <font>
      <sz val="12"/>
      <color theme="1"/>
      <name val="Aharoni"/>
      <charset val="177"/>
    </font>
    <font>
      <b/>
      <sz val="12"/>
      <color theme="1"/>
      <name val="Aharoni"/>
      <charset val="177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i/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2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3" fillId="0" borderId="0" xfId="0" applyFont="1" applyAlignment="1">
      <alignment horizontal="centerContinuous" vertical="top" wrapText="1"/>
    </xf>
    <xf numFmtId="0" fontId="63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4" fillId="0" borderId="12" xfId="0" applyFont="1" applyBorder="1" applyAlignment="1" applyProtection="1">
      <alignment vertical="top" wrapText="1"/>
      <protection locked="0"/>
    </xf>
    <xf numFmtId="0" fontId="65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4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6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3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167" fontId="0" fillId="0" borderId="0" xfId="0" applyNumberFormat="1" applyAlignment="1">
      <alignment horizontal="left" vertical="center"/>
    </xf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1" fillId="0" borderId="0" xfId="0" applyFont="1" applyAlignment="1" applyProtection="1">
      <alignment horizontal="justify" vertical="top" wrapText="1"/>
      <protection locked="0"/>
    </xf>
    <xf numFmtId="0" fontId="71" fillId="0" borderId="13" xfId="0" applyFont="1" applyBorder="1" applyAlignment="1" applyProtection="1">
      <alignment horizontal="justify" vertical="top" wrapText="1"/>
      <protection locked="0"/>
    </xf>
    <xf numFmtId="0" fontId="71" fillId="0" borderId="3" xfId="0" applyFont="1" applyBorder="1" applyAlignment="1" applyProtection="1">
      <alignment horizontal="justify" vertical="top" wrapText="1"/>
      <protection locked="0"/>
    </xf>
    <xf numFmtId="0" fontId="71" fillId="0" borderId="9" xfId="0" applyFont="1" applyBorder="1" applyAlignment="1" applyProtection="1">
      <alignment horizontal="justify" vertical="top" wrapText="1"/>
      <protection locked="0"/>
    </xf>
    <xf numFmtId="0" fontId="72" fillId="0" borderId="5" xfId="0" applyFont="1" applyBorder="1" applyAlignment="1" applyProtection="1">
      <alignment horizontal="justify" vertical="top" wrapText="1"/>
      <protection locked="0"/>
    </xf>
    <xf numFmtId="0" fontId="73" fillId="0" borderId="5" xfId="0" applyFont="1" applyBorder="1" applyAlignment="1" applyProtection="1">
      <alignment horizontal="justify" vertical="top" wrapText="1"/>
      <protection locked="0"/>
    </xf>
    <xf numFmtId="0" fontId="73" fillId="0" borderId="11" xfId="0" applyFont="1" applyBorder="1" applyAlignment="1" applyProtection="1">
      <alignment horizontal="justify" vertical="top" wrapText="1"/>
      <protection locked="0"/>
    </xf>
    <xf numFmtId="0" fontId="73" fillId="0" borderId="0" xfId="0" applyFont="1" applyAlignment="1" applyProtection="1">
      <alignment horizontal="justify" vertical="top" wrapText="1"/>
      <protection locked="0"/>
    </xf>
    <xf numFmtId="0" fontId="73" fillId="0" borderId="13" xfId="0" applyFont="1" applyBorder="1" applyAlignment="1" applyProtection="1">
      <alignment horizontal="justify" vertical="top" wrapText="1"/>
      <protection locked="0"/>
    </xf>
    <xf numFmtId="0" fontId="73" fillId="0" borderId="3" xfId="0" applyFont="1" applyBorder="1" applyAlignment="1" applyProtection="1">
      <alignment horizontal="justify" vertical="top" wrapText="1"/>
      <protection locked="0"/>
    </xf>
    <xf numFmtId="0" fontId="7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67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  <xf numFmtId="167" fontId="0" fillId="0" borderId="0" xfId="0" applyNumberFormat="1"/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174220</xdr:colOff>
      <xdr:row>40</xdr:row>
      <xdr:rowOff>28575</xdr:rowOff>
    </xdr:from>
    <xdr:to>
      <xdr:col>1</xdr:col>
      <xdr:colOff>1086717</xdr:colOff>
      <xdr:row>49</xdr:row>
      <xdr:rowOff>12623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220" y="7735166"/>
          <a:ext cx="2168065" cy="1620616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zoomScaleNormal="100" zoomScaleSheetLayoutView="100" zoomScalePageLayoutView="90" workbookViewId="0">
      <selection activeCell="L20" sqref="K20:L2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2" t="s">
        <v>213</v>
      </c>
      <c r="B6" s="213"/>
      <c r="C6" s="213"/>
      <c r="D6" s="213"/>
      <c r="E6" s="213"/>
      <c r="F6" s="213"/>
      <c r="G6" s="213"/>
      <c r="H6" s="214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45334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0.59722222222222221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0.60416666666666663</v>
      </c>
      <c r="C10" s="55"/>
      <c r="D10" s="95" t="s">
        <v>173</v>
      </c>
      <c r="E10" s="93"/>
      <c r="F10" s="93"/>
      <c r="G10" s="24" t="s">
        <v>166</v>
      </c>
      <c r="H10" s="26"/>
    </row>
    <row r="11" spans="1:8" ht="17.25" thickTop="1" thickBot="1">
      <c r="A11" s="89" t="s">
        <v>192</v>
      </c>
      <c r="B11" s="201" t="s">
        <v>523</v>
      </c>
      <c r="C11" s="204">
        <f>LEN(КАГ!B11)</f>
        <v>12</v>
      </c>
      <c r="D11" s="95" t="s">
        <v>170</v>
      </c>
      <c r="E11" s="93"/>
      <c r="F11" s="93"/>
      <c r="G11" s="24" t="s">
        <v>249</v>
      </c>
      <c r="H11" s="26"/>
    </row>
    <row r="12" spans="1:8" ht="16.5" thickTop="1">
      <c r="A12" s="81" t="s">
        <v>8</v>
      </c>
      <c r="B12" s="82">
        <v>21303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>
      <c r="A13" s="15" t="s">
        <v>10</v>
      </c>
      <c r="B13" s="30">
        <f>DATEDIF(B12,B8,"y")</f>
        <v>65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4141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522</v>
      </c>
    </row>
    <row r="16" spans="1:8" ht="15.6" customHeight="1">
      <c r="A16" s="15" t="s">
        <v>106</v>
      </c>
      <c r="B16" s="19" t="s">
        <v>311</v>
      </c>
      <c r="D16" s="36"/>
      <c r="E16" s="36"/>
      <c r="F16" s="36"/>
      <c r="G16" s="167" t="s">
        <v>403</v>
      </c>
      <c r="H16" s="165">
        <v>2740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5.2060000000000004</v>
      </c>
    </row>
    <row r="18" spans="1:8" ht="14.45" customHeight="1">
      <c r="A18" s="57" t="s">
        <v>188</v>
      </c>
      <c r="B18" s="87" t="s">
        <v>524</v>
      </c>
      <c r="D18" s="28" t="s">
        <v>210</v>
      </c>
      <c r="E18" s="28"/>
      <c r="F18" s="28"/>
      <c r="G18" s="85" t="s">
        <v>189</v>
      </c>
      <c r="H18" s="86" t="s">
        <v>518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5" t="s">
        <v>525</v>
      </c>
      <c r="C20" s="216"/>
      <c r="D20" s="216"/>
      <c r="E20" s="216"/>
      <c r="F20" s="216"/>
      <c r="G20" s="216"/>
      <c r="H20" s="217"/>
    </row>
    <row r="21" spans="1:8">
      <c r="A21" s="58"/>
      <c r="B21" s="218"/>
      <c r="C21" s="218"/>
      <c r="D21" s="218"/>
      <c r="E21" s="218"/>
      <c r="F21" s="218"/>
      <c r="G21" s="218"/>
      <c r="H21" s="219"/>
    </row>
    <row r="22" spans="1:8" ht="15.6" customHeight="1">
      <c r="A22" s="59" t="s">
        <v>271</v>
      </c>
      <c r="B22" s="220" t="s">
        <v>530</v>
      </c>
      <c r="C22" s="221"/>
      <c r="D22" s="221"/>
      <c r="E22" s="221"/>
      <c r="F22" s="221"/>
      <c r="G22" s="221"/>
      <c r="H22" s="222"/>
    </row>
    <row r="23" spans="1:8" ht="14.45" customHeight="1">
      <c r="A23" s="38"/>
      <c r="B23" s="223"/>
      <c r="C23" s="223"/>
      <c r="D23" s="223"/>
      <c r="E23" s="223"/>
      <c r="F23" s="223"/>
      <c r="G23" s="223"/>
      <c r="H23" s="224"/>
    </row>
    <row r="24" spans="1:8" ht="14.45" customHeight="1">
      <c r="A24" s="60"/>
      <c r="B24" s="223"/>
      <c r="C24" s="223"/>
      <c r="D24" s="223"/>
      <c r="E24" s="223"/>
      <c r="F24" s="223"/>
      <c r="G24" s="223"/>
      <c r="H24" s="224"/>
    </row>
    <row r="25" spans="1:8" ht="14.45" customHeight="1">
      <c r="A25" s="38"/>
      <c r="B25" s="223"/>
      <c r="C25" s="223"/>
      <c r="D25" s="223"/>
      <c r="E25" s="223"/>
      <c r="F25" s="223"/>
      <c r="G25" s="223"/>
      <c r="H25" s="224"/>
    </row>
    <row r="26" spans="1:8" ht="14.45" customHeight="1">
      <c r="A26" s="40"/>
      <c r="B26" s="225"/>
      <c r="C26" s="225"/>
      <c r="D26" s="225"/>
      <c r="E26" s="225"/>
      <c r="F26" s="225"/>
      <c r="G26" s="225"/>
      <c r="H26" s="226"/>
    </row>
    <row r="27" spans="1:8" ht="14.45" customHeight="1">
      <c r="A27" s="59" t="s">
        <v>272</v>
      </c>
      <c r="B27" s="220" t="s">
        <v>526</v>
      </c>
      <c r="C27" s="221"/>
      <c r="D27" s="221"/>
      <c r="E27" s="221"/>
      <c r="F27" s="221"/>
      <c r="G27" s="221"/>
      <c r="H27" s="222"/>
    </row>
    <row r="28" spans="1:8" ht="15.6" customHeight="1">
      <c r="A28" s="38"/>
      <c r="B28" s="223"/>
      <c r="C28" s="223"/>
      <c r="D28" s="223"/>
      <c r="E28" s="223"/>
      <c r="F28" s="223"/>
      <c r="G28" s="223"/>
      <c r="H28" s="224"/>
    </row>
    <row r="29" spans="1:8" ht="14.45" customHeight="1">
      <c r="A29" s="38"/>
      <c r="B29" s="223"/>
      <c r="C29" s="223"/>
      <c r="D29" s="223"/>
      <c r="E29" s="223"/>
      <c r="F29" s="223"/>
      <c r="G29" s="223"/>
      <c r="H29" s="224"/>
    </row>
    <row r="30" spans="1:8" ht="14.45" customHeight="1">
      <c r="A30" s="32"/>
      <c r="B30" s="223"/>
      <c r="C30" s="223"/>
      <c r="D30" s="223"/>
      <c r="E30" s="223"/>
      <c r="F30" s="223"/>
      <c r="G30" s="223"/>
      <c r="H30" s="224"/>
    </row>
    <row r="31" spans="1:8" ht="14.45" customHeight="1">
      <c r="A31" s="33"/>
      <c r="B31" s="225"/>
      <c r="C31" s="225"/>
      <c r="D31" s="225"/>
      <c r="E31" s="225"/>
      <c r="F31" s="225"/>
      <c r="G31" s="225"/>
      <c r="H31" s="226"/>
    </row>
    <row r="32" spans="1:8" ht="14.45" customHeight="1">
      <c r="A32" s="59" t="s">
        <v>273</v>
      </c>
      <c r="B32" s="220" t="s">
        <v>527</v>
      </c>
      <c r="C32" s="221"/>
      <c r="D32" s="221"/>
      <c r="E32" s="221"/>
      <c r="F32" s="221"/>
      <c r="G32" s="221"/>
      <c r="H32" s="222"/>
    </row>
    <row r="33" spans="1:8" ht="14.45" customHeight="1">
      <c r="A33" s="38"/>
      <c r="B33" s="223"/>
      <c r="C33" s="223"/>
      <c r="D33" s="223"/>
      <c r="E33" s="223"/>
      <c r="F33" s="223"/>
      <c r="G33" s="223"/>
      <c r="H33" s="224"/>
    </row>
    <row r="34" spans="1:8" ht="15.6" customHeight="1">
      <c r="A34" s="38"/>
      <c r="B34" s="223"/>
      <c r="C34" s="223"/>
      <c r="D34" s="223"/>
      <c r="E34" s="223"/>
      <c r="F34" s="223"/>
      <c r="G34" s="223"/>
      <c r="H34" s="224"/>
    </row>
    <row r="35" spans="1:8" ht="14.45" customHeight="1">
      <c r="A35" s="38"/>
      <c r="B35" s="223"/>
      <c r="C35" s="223"/>
      <c r="D35" s="223"/>
      <c r="E35" s="223"/>
      <c r="F35" s="223"/>
      <c r="G35" s="223"/>
      <c r="H35" s="224"/>
    </row>
    <row r="36" spans="1:8" ht="15.6" customHeight="1">
      <c r="A36" s="38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38"/>
      <c r="D37" s="208" t="str">
        <f>IF($A$6=Вмешательства!$D$3,Вмешательства!$F$18,"")</f>
        <v/>
      </c>
      <c r="E37" s="208"/>
      <c r="F37" s="119"/>
      <c r="G37" s="119"/>
      <c r="H37" s="123"/>
    </row>
    <row r="38" spans="1:8" ht="14.45" customHeight="1">
      <c r="A38" s="38"/>
      <c r="C38" s="124"/>
      <c r="D38" s="209" t="s">
        <v>529</v>
      </c>
      <c r="E38" s="210"/>
      <c r="F38" s="210"/>
      <c r="G38" s="210"/>
      <c r="H38" s="211"/>
    </row>
    <row r="39" spans="1:8" ht="14.45" customHeight="1">
      <c r="A39" s="35"/>
      <c r="B39" s="119"/>
      <c r="C39" s="124"/>
      <c r="D39" s="210"/>
      <c r="E39" s="210"/>
      <c r="F39" s="210"/>
      <c r="G39" s="210"/>
      <c r="H39" s="211"/>
    </row>
    <row r="40" spans="1:8" ht="14.45" customHeight="1">
      <c r="A40" s="35"/>
      <c r="B40" s="119"/>
      <c r="C40" s="124"/>
      <c r="D40" s="210"/>
      <c r="E40" s="210"/>
      <c r="F40" s="210"/>
      <c r="G40" s="210"/>
      <c r="H40" s="211"/>
    </row>
    <row r="41" spans="1:8" ht="14.45" customHeight="1">
      <c r="A41" s="35"/>
      <c r="B41" s="119"/>
      <c r="C41" s="124"/>
      <c r="D41" s="210"/>
      <c r="E41" s="210"/>
      <c r="F41" s="210"/>
      <c r="G41" s="210"/>
      <c r="H41" s="211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5" t="s">
        <v>528</v>
      </c>
      <c r="E43" s="206"/>
      <c r="F43" s="206"/>
      <c r="G43" s="206"/>
      <c r="H43" s="207"/>
    </row>
    <row r="44" spans="1:8" ht="14.45" customHeight="1">
      <c r="A44" s="35"/>
      <c r="B44" s="119"/>
      <c r="C44" s="126"/>
      <c r="D44" s="206"/>
      <c r="E44" s="206"/>
      <c r="F44" s="206"/>
      <c r="G44" s="206"/>
      <c r="H44" s="207"/>
    </row>
    <row r="45" spans="1:8" ht="14.45" customHeight="1">
      <c r="A45" s="35"/>
      <c r="B45" s="119"/>
      <c r="C45" s="126"/>
      <c r="D45" s="206"/>
      <c r="E45" s="206"/>
      <c r="F45" s="206"/>
      <c r="G45" s="206"/>
      <c r="H45" s="207"/>
    </row>
    <row r="46" spans="1:8">
      <c r="A46" s="35"/>
      <c r="B46" s="119"/>
      <c r="C46" s="126"/>
      <c r="D46" s="206"/>
      <c r="E46" s="206"/>
      <c r="F46" s="206"/>
      <c r="G46" s="206"/>
      <c r="H46" s="207"/>
    </row>
    <row r="47" spans="1:8">
      <c r="A47" s="38"/>
      <c r="C47" s="126"/>
      <c r="D47" s="206"/>
      <c r="E47" s="206"/>
      <c r="F47" s="206"/>
      <c r="G47" s="206"/>
      <c r="H47" s="207"/>
    </row>
    <row r="48" spans="1:8">
      <c r="A48" s="38"/>
      <c r="C48" s="126"/>
      <c r="D48" s="206"/>
      <c r="E48" s="206"/>
      <c r="F48" s="206"/>
      <c r="G48" s="206"/>
      <c r="H48" s="207"/>
    </row>
    <row r="49" spans="1:13">
      <c r="A49" s="40"/>
      <c r="B49" s="31"/>
      <c r="C49" s="127"/>
      <c r="D49" s="206"/>
      <c r="E49" s="206"/>
      <c r="F49" s="206"/>
      <c r="G49" s="206"/>
      <c r="H49" s="207"/>
    </row>
    <row r="50" spans="1:13">
      <c r="A50" s="38"/>
      <c r="D50" s="206"/>
      <c r="E50" s="206"/>
      <c r="F50" s="206"/>
      <c r="G50" s="206"/>
      <c r="H50" s="207"/>
      <c r="M50" t="s">
        <v>211</v>
      </c>
    </row>
    <row r="51" spans="1:13">
      <c r="A51" s="62" t="s">
        <v>199</v>
      </c>
      <c r="B51" s="63" t="s">
        <v>521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519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tabSelected="1" showWhiteSpace="0" view="pageBreakPreview" zoomScale="110" zoomScaleNormal="100" zoomScaleSheetLayoutView="110" zoomScalePageLayoutView="90" workbookViewId="0">
      <selection activeCell="L19" sqref="L17:L19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7" t="s">
        <v>208</v>
      </c>
      <c r="B6" s="238"/>
      <c r="C6" s="238"/>
      <c r="D6" s="238"/>
      <c r="E6" s="238"/>
      <c r="F6" s="238"/>
      <c r="G6" s="238"/>
      <c r="H6" s="239"/>
    </row>
    <row r="7" spans="1:8" ht="21.6" customHeight="1">
      <c r="A7" s="237"/>
      <c r="B7" s="238"/>
      <c r="C7" s="238"/>
      <c r="D7" s="238"/>
      <c r="E7" s="238"/>
      <c r="F7" s="238"/>
      <c r="G7" s="238"/>
      <c r="H7" s="239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6" t="s">
        <v>221</v>
      </c>
      <c r="D8" s="236"/>
      <c r="E8" s="236"/>
      <c r="F8" s="191">
        <v>1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6"/>
      <c r="D9" s="236"/>
      <c r="E9" s="236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0"/>
      <c r="C10" s="240"/>
      <c r="D10" s="240"/>
      <c r="E10" s="240"/>
      <c r="F10" s="195"/>
      <c r="G10" s="118"/>
      <c r="H10" s="39"/>
    </row>
    <row r="11" spans="1:8">
      <c r="A11" s="193"/>
      <c r="B11" s="198"/>
      <c r="C11" s="194">
        <f>SUM(F8:F10)</f>
        <v>1</v>
      </c>
      <c r="H11" s="39"/>
    </row>
    <row r="12" spans="1:8" ht="18.75">
      <c r="A12" s="75" t="s">
        <v>191</v>
      </c>
      <c r="B12" s="20">
        <f>КАГ!B8</f>
        <v>45334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0.60416666666666663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0.63888888888888895</v>
      </c>
      <c r="C14" s="12"/>
      <c r="D14" s="95" t="s">
        <v>173</v>
      </c>
      <c r="E14" s="93"/>
      <c r="F14" s="93"/>
      <c r="G14" s="80" t="str">
        <f>КАГ!G10</f>
        <v>Стрельникова И.В.</v>
      </c>
      <c r="H14" s="91" t="str">
        <f>IF(ISBLANK(КАГ!H10),"",КАГ!H10)</f>
        <v/>
      </c>
    </row>
    <row r="15" spans="1:8" ht="16.5" thickBot="1">
      <c r="A15" s="164" t="s">
        <v>389</v>
      </c>
      <c r="B15" s="189">
        <f>IF(B14&lt;B13,B14+1,B14)-B13</f>
        <v>3.4722222222222321E-2</v>
      </c>
      <c r="D15" s="95" t="s">
        <v>170</v>
      </c>
      <c r="E15" s="93"/>
      <c r="F15" s="93"/>
      <c r="G15" s="80" t="str">
        <f>КАГ!G11</f>
        <v>Равинская Я.А.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Суриков А.К.</v>
      </c>
      <c r="C16" s="248">
        <f>LEN(КАГ!B11)</f>
        <v>12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21303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65</v>
      </c>
      <c r="H18" s="39"/>
    </row>
    <row r="19" spans="1:8" ht="14.45" customHeight="1">
      <c r="A19" s="15" t="s">
        <v>12</v>
      </c>
      <c r="B19" s="68">
        <f>КАГ!B14</f>
        <v>4141</v>
      </c>
      <c r="C19" s="69"/>
      <c r="D19" s="69"/>
      <c r="E19" s="69"/>
      <c r="F19" s="69"/>
      <c r="G19" s="166" t="s">
        <v>401</v>
      </c>
      <c r="H19" s="181" t="str">
        <f>КАГ!H15</f>
        <v>16:06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2740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8" t="s">
        <v>390</v>
      </c>
      <c r="H21" s="169">
        <f>КАГ!H17</f>
        <v>5.2060000000000004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/>
      </c>
      <c r="H22" s="186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4" t="s">
        <v>531</v>
      </c>
      <c r="B25" s="245"/>
      <c r="C25" s="245"/>
      <c r="D25" s="245"/>
      <c r="E25" s="245"/>
      <c r="F25" s="245"/>
      <c r="G25" s="245"/>
      <c r="H25" s="246"/>
    </row>
    <row r="26" spans="1:8" ht="14.45" customHeight="1">
      <c r="A26" s="247"/>
      <c r="B26" s="245"/>
      <c r="C26" s="245"/>
      <c r="D26" s="245"/>
      <c r="E26" s="245"/>
      <c r="F26" s="245"/>
      <c r="G26" s="245"/>
      <c r="H26" s="246"/>
    </row>
    <row r="27" spans="1:8" ht="14.45" customHeight="1">
      <c r="A27" s="247"/>
      <c r="B27" s="245"/>
      <c r="C27" s="245"/>
      <c r="D27" s="245"/>
      <c r="E27" s="245"/>
      <c r="F27" s="245"/>
      <c r="G27" s="245"/>
      <c r="H27" s="246"/>
    </row>
    <row r="28" spans="1:8" ht="14.45" customHeight="1">
      <c r="A28" s="247"/>
      <c r="B28" s="245"/>
      <c r="C28" s="245"/>
      <c r="D28" s="245"/>
      <c r="E28" s="245"/>
      <c r="F28" s="245"/>
      <c r="G28" s="245"/>
      <c r="H28" s="246"/>
    </row>
    <row r="29" spans="1:8" ht="14.45" customHeight="1">
      <c r="A29" s="247"/>
      <c r="B29" s="245"/>
      <c r="C29" s="245"/>
      <c r="D29" s="245"/>
      <c r="E29" s="245"/>
      <c r="F29" s="245"/>
      <c r="G29" s="245"/>
      <c r="H29" s="246"/>
    </row>
    <row r="30" spans="1:8" ht="14.45" customHeight="1">
      <c r="A30" s="247"/>
      <c r="B30" s="245"/>
      <c r="C30" s="245"/>
      <c r="D30" s="245"/>
      <c r="E30" s="245"/>
      <c r="F30" s="245"/>
      <c r="G30" s="245"/>
      <c r="H30" s="246"/>
    </row>
    <row r="31" spans="1:8" ht="14.45" customHeight="1">
      <c r="A31" s="247"/>
      <c r="B31" s="245"/>
      <c r="C31" s="245"/>
      <c r="D31" s="245"/>
      <c r="E31" s="245"/>
      <c r="F31" s="245"/>
      <c r="G31" s="245"/>
      <c r="H31" s="246"/>
    </row>
    <row r="32" spans="1:8" ht="14.45" customHeight="1">
      <c r="A32" s="247"/>
      <c r="B32" s="245"/>
      <c r="C32" s="245"/>
      <c r="D32" s="245"/>
      <c r="E32" s="245"/>
      <c r="F32" s="245"/>
      <c r="G32" s="245"/>
      <c r="H32" s="246"/>
    </row>
    <row r="33" spans="1:12" ht="14.45" customHeight="1">
      <c r="A33" s="247"/>
      <c r="B33" s="245"/>
      <c r="C33" s="245"/>
      <c r="D33" s="245"/>
      <c r="E33" s="245"/>
      <c r="F33" s="245"/>
      <c r="G33" s="245"/>
      <c r="H33" s="246"/>
    </row>
    <row r="34" spans="1:12" ht="14.45" customHeight="1">
      <c r="A34" s="247"/>
      <c r="B34" s="245"/>
      <c r="C34" s="245"/>
      <c r="D34" s="245"/>
      <c r="E34" s="245"/>
      <c r="F34" s="245"/>
      <c r="G34" s="245"/>
      <c r="H34" s="246"/>
    </row>
    <row r="35" spans="1:12" ht="14.45" customHeight="1">
      <c r="A35" s="247"/>
      <c r="B35" s="245"/>
      <c r="C35" s="245"/>
      <c r="D35" s="245"/>
      <c r="E35" s="245"/>
      <c r="F35" s="245"/>
      <c r="G35" s="245"/>
      <c r="H35" s="246"/>
    </row>
    <row r="36" spans="1:12" ht="14.45" customHeight="1">
      <c r="A36" s="247"/>
      <c r="B36" s="245"/>
      <c r="C36" s="245"/>
      <c r="D36" s="245"/>
      <c r="E36" s="245"/>
      <c r="F36" s="245"/>
      <c r="G36" s="245"/>
      <c r="H36" s="246"/>
    </row>
    <row r="37" spans="1:12" ht="14.45" customHeight="1">
      <c r="A37" s="247"/>
      <c r="B37" s="245"/>
      <c r="C37" s="245"/>
      <c r="D37" s="245"/>
      <c r="E37" s="245"/>
      <c r="F37" s="245"/>
      <c r="G37" s="245"/>
      <c r="H37" s="246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517</v>
      </c>
      <c r="C40" s="120"/>
      <c r="D40" s="241" t="s">
        <v>520</v>
      </c>
      <c r="E40" s="242"/>
      <c r="F40" s="242"/>
      <c r="G40" s="242"/>
      <c r="H40" s="243"/>
    </row>
    <row r="41" spans="1:12" ht="14.45" customHeight="1">
      <c r="A41" s="32"/>
      <c r="B41" s="28"/>
      <c r="C41" s="120"/>
      <c r="D41" s="242"/>
      <c r="E41" s="242"/>
      <c r="F41" s="242"/>
      <c r="G41" s="242"/>
      <c r="H41" s="243"/>
    </row>
    <row r="42" spans="1:12" ht="14.45" customHeight="1">
      <c r="A42" s="32"/>
      <c r="B42" s="28"/>
      <c r="C42" s="120"/>
      <c r="D42" s="242"/>
      <c r="E42" s="242"/>
      <c r="F42" s="242"/>
      <c r="G42" s="242"/>
      <c r="H42" s="243"/>
    </row>
    <row r="43" spans="1:12" ht="14.45" customHeight="1">
      <c r="A43" s="32"/>
      <c r="B43" s="28"/>
      <c r="C43" s="120"/>
      <c r="D43" s="242"/>
      <c r="E43" s="242"/>
      <c r="F43" s="242"/>
      <c r="G43" s="242"/>
      <c r="H43" s="243"/>
    </row>
    <row r="44" spans="1:12" ht="14.45" customHeight="1">
      <c r="A44" s="32"/>
      <c r="B44" s="28"/>
      <c r="C44" s="120"/>
      <c r="D44" s="242"/>
      <c r="E44" s="242"/>
      <c r="F44" s="242"/>
      <c r="G44" s="242"/>
      <c r="H44" s="243"/>
      <c r="L44" s="161"/>
    </row>
    <row r="45" spans="1:12" ht="14.45" customHeight="1">
      <c r="A45" s="32"/>
      <c r="B45" s="28"/>
      <c r="C45" s="120"/>
      <c r="D45" s="242"/>
      <c r="E45" s="242"/>
      <c r="F45" s="242"/>
      <c r="G45" s="242"/>
      <c r="H45" s="243"/>
    </row>
    <row r="46" spans="1:12" ht="14.45" customHeight="1">
      <c r="A46" s="32"/>
      <c r="B46" s="28"/>
      <c r="C46" s="120"/>
      <c r="D46" s="242"/>
      <c r="E46" s="242"/>
      <c r="F46" s="242"/>
      <c r="G46" s="242"/>
      <c r="H46" s="243"/>
    </row>
    <row r="47" spans="1:12" ht="14.45" customHeight="1">
      <c r="A47" s="38"/>
      <c r="C47" s="120"/>
      <c r="D47" s="242"/>
      <c r="E47" s="242"/>
      <c r="F47" s="242"/>
      <c r="G47" s="242"/>
      <c r="H47" s="243"/>
    </row>
    <row r="48" spans="1:12" ht="14.45" customHeight="1">
      <c r="A48" s="38"/>
      <c r="C48" s="120"/>
      <c r="D48" s="242"/>
      <c r="E48" s="242"/>
      <c r="F48" s="242"/>
      <c r="G48" s="242"/>
      <c r="H48" s="243"/>
    </row>
    <row r="49" spans="1:8" ht="14.45" customHeight="1">
      <c r="A49" s="38"/>
      <c r="C49" s="120"/>
      <c r="D49" s="242"/>
      <c r="E49" s="242"/>
      <c r="F49" s="242"/>
      <c r="G49" s="242"/>
      <c r="H49" s="243"/>
    </row>
    <row r="50" spans="1:8">
      <c r="A50" s="62" t="s">
        <v>199</v>
      </c>
      <c r="B50" s="63" t="s">
        <v>516</v>
      </c>
      <c r="H50" s="39"/>
    </row>
    <row r="51" spans="1:8">
      <c r="A51" s="65" t="s">
        <v>206</v>
      </c>
      <c r="B51" s="66" t="s">
        <v>519</v>
      </c>
      <c r="G51" s="74" t="str">
        <f>$G$13</f>
        <v>Щербаков А.С.</v>
      </c>
      <c r="H51" s="64"/>
    </row>
    <row r="52" spans="1:8">
      <c r="A52" s="227" t="s">
        <v>374</v>
      </c>
      <c r="B52" s="228"/>
      <c r="C52" s="228"/>
      <c r="D52" s="228"/>
      <c r="E52" s="228"/>
      <c r="F52" s="229"/>
      <c r="H52" s="39"/>
    </row>
    <row r="53" spans="1:8" ht="15" customHeight="1">
      <c r="A53" s="230"/>
      <c r="B53" s="231"/>
      <c r="C53" s="231"/>
      <c r="D53" s="231"/>
      <c r="E53" s="231"/>
      <c r="F53" s="232"/>
      <c r="G53" s="74" t="str">
        <f>IF(ISBLANK(H13),"",H13)</f>
        <v/>
      </c>
      <c r="H53" s="64"/>
    </row>
    <row r="54" spans="1:8">
      <c r="A54" s="233"/>
      <c r="B54" s="234"/>
      <c r="C54" s="234"/>
      <c r="D54" s="234"/>
      <c r="E54" s="234"/>
      <c r="F54" s="235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10">
    <dataValidation type="list" allowBlank="1" showInputMessage="1" showErrorMessage="1" sqref="B40">
      <formula1>"50 ml,100 ml,150 ml,200 ml,250 ml,300 ml,350 ml,400 ml,30 ml,20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50">
      <formula1>"30 ml,100 ml,150 ml,200 ml,250 ml,300 ml,350 ml,400 ml,450 ml,500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K18" sqref="K18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45334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Суриков А.К.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21303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65</v>
      </c>
    </row>
    <row r="7" spans="1:4">
      <c r="A7" s="38"/>
      <c r="C7" s="101" t="s">
        <v>12</v>
      </c>
      <c r="D7" s="103">
        <f>КАГ!$B$14</f>
        <v>4141</v>
      </c>
    </row>
    <row r="8" spans="1:4">
      <c r="A8" s="196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47</v>
      </c>
      <c r="C9" s="105" t="s">
        <v>106</v>
      </c>
      <c r="D9" s="103" t="str">
        <f>КАГ!$B$16</f>
        <v>ОКС БПST</v>
      </c>
    </row>
    <row r="10" spans="1:4">
      <c r="A10" s="197"/>
      <c r="B10" s="31"/>
      <c r="C10" s="151" t="s">
        <v>13</v>
      </c>
      <c r="D10" s="152">
        <f>КАГ!$B$8</f>
        <v>45334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6" t="s">
        <v>325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513</v>
      </c>
      <c r="C15" s="136"/>
      <c r="D15" s="141">
        <v>2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5" t="s">
        <v>323</v>
      </c>
      <c r="C16" s="183" t="s">
        <v>477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55"/>
      <c r="C17" s="183"/>
      <c r="D17" s="141"/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6"/>
      <c r="C18" s="136"/>
      <c r="D18" s="141"/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512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6" sqref="V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0" zoomScaleNormal="100" workbookViewId="0">
      <selection activeCell="AI41" sqref="AI4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1</v>
      </c>
      <c r="L2" s="116">
        <f>IF(ISNUMBER(SEARCH('Карта учёта'!$B$18,Расходка[[#This Row],[Наименование расходного материала]])),MAX($L$1:L1)+1,0)</f>
        <v>1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Lepu Medical Balancium</v>
      </c>
      <c r="U2" s="115" t="str">
        <f>IFERROR(INDEX(Расходка[Наименование расходного материала],MATCH(Расходка[[#This Row],[№]],Поиск_расходки[Индекс4],0)),"")</f>
        <v>DES, Resolute Integtity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2</v>
      </c>
      <c r="L3" s="116">
        <f>IF(ISNUMBER(SEARCH('Карта учёта'!$B$18,Расходка[[#This Row],[Наименование расходного материала]])),MAX($L$1:L2)+1,0)</f>
        <v>2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3</v>
      </c>
      <c r="L4" s="116">
        <f>IF(ISNUMBER(SEARCH('Карта учёта'!$B$18,Расходка[[#This Row],[Наименование расходного материала]])),MAX($L$1:L3)+1,0)</f>
        <v>3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4</v>
      </c>
      <c r="L5" s="116">
        <f>IF(ISNUMBER(SEARCH('Карта учёта'!$B$18,Расходка[[#This Row],[Наименование расходного материала]])),MAX($L$1:L4)+1,0)</f>
        <v>4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5</v>
      </c>
      <c r="L6" s="116">
        <f>IF(ISNUMBER(SEARCH('Карта учёта'!$B$18,Расходка[[#This Row],[Наименование расходного материала]])),MAX($L$1:L5)+1,0)</f>
        <v>5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6</v>
      </c>
      <c r="L7" s="116">
        <f>IF(ISNUMBER(SEARCH('Карта учёта'!$B$18,Расходка[[#This Row],[Наименование расходного материала]])),MAX($L$1:L6)+1,0)</f>
        <v>6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7</v>
      </c>
      <c r="L8" s="116">
        <f>IF(ISNUMBER(SEARCH('Карта учёта'!$B$18,Расходка[[#This Row],[Наименование расходного материала]])),MAX($L$1:L7)+1,0)</f>
        <v>7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8</v>
      </c>
      <c r="L9" s="116">
        <f>IF(ISNUMBER(SEARCH('Карта учёта'!$B$18,Расходка[[#This Row],[Наименование расходного материала]])),MAX($L$1:L8)+1,0)</f>
        <v>8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9</v>
      </c>
      <c r="L10" s="116">
        <f>IF(ISNUMBER(SEARCH('Карта учёта'!$B$18,Расходка[[#This Row],[Наименование расходного материала]])),MAX($L$1:L9)+1,0)</f>
        <v>9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10</v>
      </c>
      <c r="L11" s="116">
        <f>IF(ISNUMBER(SEARCH('Карта учёта'!$B$18,Расходка[[#This Row],[Наименование расходного материала]])),MAX($L$1:L10)+1,0)</f>
        <v>10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11</v>
      </c>
      <c r="L12" s="116">
        <f>IF(ISNUMBER(SEARCH('Карта учёта'!$B$18,Расходка[[#This Row],[Наименование расходного материала]])),MAX($L$1:L11)+1,0)</f>
        <v>11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>Nitrex 260</v>
      </c>
      <c r="Y12" s="115" t="str">
        <f>IFERROR(INDEX(Расходка[Наименование расходного материала],MATCH(Расходка[[#This Row],[№]],Поиск_расходки[Индекс8],0)),"")</f>
        <v>Nitrex 260</v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12</v>
      </c>
      <c r="L13" s="116">
        <f>IF(ISNUMBER(SEARCH('Карта учёта'!$B$18,Расходка[[#This Row],[Наименование расходного материала]])),MAX($L$1:L12)+1,0)</f>
        <v>12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>RadiFocus</v>
      </c>
      <c r="Y13" s="115" t="str">
        <f>IFERROR(INDEX(Расходка[Наименование расходного материала],MATCH(Расходка[[#This Row],[№]],Поиск_расходки[Индекс8],0)),"")</f>
        <v>RadiFocus</v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306</v>
      </c>
      <c r="C14" t="s">
        <v>332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13</v>
      </c>
      <c r="L14" s="116">
        <f>IF(ISNUMBER(SEARCH('Карта учёта'!$B$18,Расходка[[#This Row],[Наименование расходного материала]])),MAX($L$1:L13)+1,0)</f>
        <v>13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>BasixCOMPAK</v>
      </c>
      <c r="Y14" s="115" t="str">
        <f>IFERROR(INDEX(Расходка[Наименование расходного материала],MATCH(Расходка[[#This Row],[№]],Поиск_расходки[Индекс8],0)),"")</f>
        <v>BasixCOMPAK</v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364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14</v>
      </c>
      <c r="L15" s="116">
        <f>IF(ISNUMBER(SEARCH('Карта учёта'!$B$18,Расходка[[#This Row],[Наименование расходного материала]])),MAX($L$1:L14)+1,0)</f>
        <v>14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>BasixTOUCH</v>
      </c>
      <c r="Y15" s="115" t="str">
        <f>IFERROR(INDEX(Расходка[Наименование расходного материала],MATCH(Расходка[[#This Row],[№]],Поиск_расходки[Индекс8],0)),"")</f>
        <v>BasixTOUCH</v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354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15</v>
      </c>
      <c r="L16" s="116">
        <f>IF(ISNUMBER(SEARCH('Карта учёта'!$B$18,Расходка[[#This Row],[Наименование расходного материала]])),MAX($L$1:L15)+1,0)</f>
        <v>15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>Dolphin</v>
      </c>
      <c r="Y16" s="115" t="str">
        <f>IFERROR(INDEX(Расходка[Наименование расходного материала],MATCH(Расходка[[#This Row],[№]],Поиск_расходки[Индекс8],0)),"")</f>
        <v>Dolphin</v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16</v>
      </c>
      <c r="L17" s="116">
        <f>IF(ISNUMBER(SEARCH('Карта учёта'!$B$18,Расходка[[#This Row],[Наименование расходного материала]])),MAX($L$1:L16)+1,0)</f>
        <v>16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>Lepu Medical</v>
      </c>
      <c r="Y17" s="115" t="str">
        <f>IFERROR(INDEX(Расходка[Наименование расходного материала],MATCH(Расходка[[#This Row],[№]],Поиск_расходки[Индекс8],0)),"")</f>
        <v>Lepu Medical</v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17</v>
      </c>
      <c r="L18" s="116">
        <f>IF(ISNUMBER(SEARCH('Карта учёта'!$B$18,Расходка[[#This Row],[Наименование расходного материала]])),MAX($L$1:L17)+1,0)</f>
        <v>17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8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507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18</v>
      </c>
      <c r="L19" s="116">
        <f>IF(ISNUMBER(SEARCH('Карта учёта'!$B$18,Расходка[[#This Row],[Наименование расходного материала]])),MAX($L$1:L18)+1,0)</f>
        <v>18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>Demax</v>
      </c>
      <c r="Y19" s="115" t="str">
        <f>IFERROR(INDEX(Расходка[Наименование расходного материала],MATCH(Расходка[[#This Row],[№]],Поиск_расходки[Индекс8],0)),"")</f>
        <v>Demax</v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206</v>
      </c>
      <c r="C20" s="1" t="s">
        <v>338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19</v>
      </c>
      <c r="L20" s="116">
        <f>IF(ISNUMBER(SEARCH('Карта учёта'!$B$18,Расходка[[#This Row],[Наименование расходного материала]])),MAX($L$1:L19)+1,0)</f>
        <v>19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>Oscor 7F</v>
      </c>
      <c r="Y20" s="115" t="str">
        <f>IFERROR(INDEX(Расходка[Наименование расходного материала],MATCH(Расходка[[#This Row],[№]],Поиск_расходки[Индекс8],0)),"")</f>
        <v>Oscor 7F</v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306</v>
      </c>
      <c r="C21" s="1" t="s">
        <v>509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20</v>
      </c>
      <c r="L21" s="116">
        <f>IF(ISNUMBER(SEARCH('Карта учёта'!$B$18,Расходка[[#This Row],[Наименование расходного материала]])),MAX($L$1:L20)+1,0)</f>
        <v>20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1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21</v>
      </c>
      <c r="L22" s="116">
        <f>IF(ISNUMBER(SEARCH('Карта учёта'!$B$18,Расходка[[#This Row],[Наименование расходного материала]])),MAX($L$1:L21)+1,0)</f>
        <v>21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 xml:space="preserve">SCW Индефлятор </v>
      </c>
      <c r="Y22" s="115" t="str">
        <f>IFERROR(INDEX(Расходка[Наименование расходного материала],MATCH(Расходка[[#This Row],[№]],Поиск_расходки[Индекс8],0)),"")</f>
        <v xml:space="preserve">SCW Индефлятор </v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423</v>
      </c>
    </row>
    <row r="23" spans="1:35">
      <c r="A23">
        <v>22</v>
      </c>
      <c r="B23" t="s">
        <v>3</v>
      </c>
      <c r="C23" t="s">
        <v>321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22</v>
      </c>
      <c r="L23" s="116">
        <f>IF(ISNUMBER(SEARCH('Карта учёта'!$B$18,Расходка[[#This Row],[Наименование расходного материала]])),MAX($L$1:L22)+1,0)</f>
        <v>22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3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342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23</v>
      </c>
      <c r="L24" s="116">
        <f>IF(ISNUMBER(SEARCH('Карта учёта'!$B$18,Расходка[[#This Row],[Наименование расходного материала]])),MAX($L$1:L23)+1,0)</f>
        <v>23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4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314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24</v>
      </c>
      <c r="L25" s="116">
        <f>IF(ISNUMBER(SEARCH('Карта учёта'!$B$18,Расходка[[#This Row],[Наименование расходного материала]])),MAX($L$1:L24)+1,0)</f>
        <v>24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>Fielder</v>
      </c>
      <c r="Y25" s="115" t="str">
        <f>IFERROR(INDEX(Расходка[Наименование расходного материала],MATCH(Расходка[[#This Row],[№]],Поиск_расходки[Индекс8],0)),"")</f>
        <v>Fielder</v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376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25</v>
      </c>
      <c r="L26" s="116">
        <f>IF(ISNUMBER(SEARCH('Карта учёта'!$B$18,Расходка[[#This Row],[Наименование расходного материала]])),MAX($L$1:L25)+1,0)</f>
        <v>25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>Fielder XT-A</v>
      </c>
      <c r="Y26" s="115" t="str">
        <f>IFERROR(INDEX(Расходка[Наименование расходного материала],MATCH(Расходка[[#This Row],[№]],Поиск_расходки[Индекс8],0)),"")</f>
        <v>Fielder XT-A</v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377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26</v>
      </c>
      <c r="L27" s="116">
        <f>IF(ISNUMBER(SEARCH('Карта учёта'!$B$18,Расходка[[#This Row],[Наименование расходного материала]])),MAX($L$1:L26)+1,0)</f>
        <v>26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>Fielder XT-R</v>
      </c>
      <c r="Y27" s="115" t="str">
        <f>IFERROR(INDEX(Расходка[Наименование расходного материала],MATCH(Расходка[[#This Row],[№]],Поиск_расходки[Индекс8],0)),"")</f>
        <v>Fielder XT-R</v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s="1" t="s">
        <v>359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27</v>
      </c>
      <c r="L28" s="116">
        <f>IF(ISNUMBER(SEARCH('Карта учёта'!$B$18,Расходка[[#This Row],[Наименование расходного материала]])),MAX($L$1:L27)+1,0)</f>
        <v>27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>Gaia Second</v>
      </c>
      <c r="Y28" s="115" t="str">
        <f>IFERROR(INDEX(Расходка[Наименование расходного материала],MATCH(Расходка[[#This Row],[№]],Поиск_расходки[Индекс8],0)),"")</f>
        <v>Gaia Second</v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372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28</v>
      </c>
      <c r="L29" s="116">
        <f>IF(ISNUMBER(SEARCH('Карта учёта'!$B$18,Расходка[[#This Row],[Наименование расходного материала]])),MAX($L$1:L28)+1,0)</f>
        <v>28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>Gaia Third</v>
      </c>
      <c r="Y29" s="115" t="str">
        <f>IFERROR(INDEX(Расходка[Наименование расходного материала],MATCH(Расходка[[#This Row],[№]],Поиск_расходки[Индекс8],0)),"")</f>
        <v>Gaia Third</v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322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29</v>
      </c>
      <c r="L30" s="116">
        <f>IF(ISNUMBER(SEARCH('Карта учёта'!$B$18,Расходка[[#This Row],[Наименование расходного материала]])),MAX($L$1:L29)+1,0)</f>
        <v>29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>Intuition</v>
      </c>
      <c r="Y30" s="115" t="str">
        <f>IFERROR(INDEX(Расходка[Наименование расходного материала],MATCH(Расходка[[#This Row],[№]],Поиск_расходки[Индекс8],0)),"")</f>
        <v>Intuition</v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t="s">
        <v>318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30</v>
      </c>
      <c r="L31" s="116">
        <f>IF(ISNUMBER(SEARCH('Карта учёта'!$B$18,Расходка[[#This Row],[Наименование расходного материала]])),MAX($L$1:L30)+1,0)</f>
        <v>30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1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319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31</v>
      </c>
      <c r="L32" s="116">
        <f>IF(ISNUMBER(SEARCH('Карта учёта'!$B$18,Расходка[[#This Row],[Наименование расходного материала]])),MAX($L$1:L31)+1,0)</f>
        <v>31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2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320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32</v>
      </c>
      <c r="L33" s="116">
        <f>IF(ISNUMBER(SEARCH('Карта учёта'!$B$18,Расходка[[#This Row],[Наименование расходного материала]])),MAX($L$1:L32)+1,0)</f>
        <v>32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3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316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33</v>
      </c>
      <c r="L34" s="116">
        <f>IF(ISNUMBER(SEARCH('Карта учёта'!$B$18,Расходка[[#This Row],[Наименование расходного материала]])),MAX($L$1:L33)+1,0)</f>
        <v>33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>Rinato</v>
      </c>
      <c r="Y34" s="115" t="str">
        <f>IFERROR(INDEX(Расходка[Наименование расходного материала],MATCH(Расходка[[#This Row],[№]],Поиск_расходки[Индекс8],0)),"")</f>
        <v>Rinato</v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s="1" t="s">
        <v>353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34</v>
      </c>
      <c r="L35" s="116">
        <f>IF(ISNUMBER(SEARCH('Карта учёта'!$B$18,Расходка[[#This Row],[Наименование расходного материала]])),MAX($L$1:L34)+1,0)</f>
        <v>34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5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361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35</v>
      </c>
      <c r="L36" s="116">
        <f>IF(ISNUMBER(SEARCH('Карта учёта'!$B$18,Расходка[[#This Row],[Наименование расходного материала]])),MAX($L$1:L35)+1,0)</f>
        <v>35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6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360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36</v>
      </c>
      <c r="L37" s="116">
        <f>IF(ISNUMBER(SEARCH('Карта учёта'!$B$18,Расходка[[#This Row],[Наименование расходного материала]])),MAX($L$1:L36)+1,0)</f>
        <v>36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37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t="s">
        <v>315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37</v>
      </c>
      <c r="L38" s="116">
        <f>IF(ISNUMBER(SEARCH('Карта учёта'!$B$18,Расходка[[#This Row],[Наименование расходного материала]])),MAX($L$1:L37)+1,0)</f>
        <v>37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>Sion</v>
      </c>
      <c r="Y38" s="115" t="str">
        <f>IFERROR(INDEX(Расходка[Наименование расходного материала],MATCH(Расходка[[#This Row],[№]],Поиск_расходки[Индекс8],0)),"")</f>
        <v>Sion</v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380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38</v>
      </c>
      <c r="L39" s="116">
        <f>IF(ISNUMBER(SEARCH('Карта учёта'!$B$18,Расходка[[#This Row],[Наименование расходного материала]])),MAX($L$1:L38)+1,0)</f>
        <v>38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>Sion Black</v>
      </c>
      <c r="Y39" s="115" t="str">
        <f>IFERROR(INDEX(Расходка[Наименование расходного материала],MATCH(Расходка[[#This Row],[№]],Поиск_расходки[Индекс8],0)),"")</f>
        <v>Sion Black</v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375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39</v>
      </c>
      <c r="L40" s="116">
        <f>IF(ISNUMBER(SEARCH('Карта учёта'!$B$18,Расходка[[#This Row],[Наименование расходного материала]])),MAX($L$1:L39)+1,0)</f>
        <v>39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>Sion Blue</v>
      </c>
      <c r="Y40" s="115" t="str">
        <f>IFERROR(INDEX(Расходка[Наименование расходного материала],MATCH(Расходка[[#This Row],[№]],Поиск_расходки[Индекс8],0)),"")</f>
        <v>Sion Blue</v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317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40</v>
      </c>
      <c r="L41" s="116">
        <f>IF(ISNUMBER(SEARCH('Карта учёта'!$B$18,Расходка[[#This Row],[Наименование расходного материала]])),MAX($L$1:L40)+1,0)</f>
        <v>40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>Thunder</v>
      </c>
      <c r="Y41" s="115" t="str">
        <f>IFERROR(INDEX(Расходка[Наименование расходного материала],MATCH(Расходка[[#This Row],[№]],Поиск_расходки[Индекс8],0)),"")</f>
        <v>Thunder</v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362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41</v>
      </c>
      <c r="L42" s="116">
        <f>IF(ISNUMBER(SEARCH('Карта учёта'!$B$18,Расходка[[#This Row],[Наименование расходного материала]])),MAX($L$1:L41)+1,0)</f>
        <v>41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>Whisper MS</v>
      </c>
      <c r="Y42" s="115" t="str">
        <f>IFERROR(INDEX(Расходка[Наименование расходного материала],MATCH(Расходка[[#This Row],[№]],Поиск_расходки[Индекс8],0)),"")</f>
        <v>Whisper MS</v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42</v>
      </c>
      <c r="L43" s="116">
        <f>IF(ISNUMBER(SEARCH('Карта учёта'!$B$18,Расходка[[#This Row],[Наименование расходного материала]])),MAX($L$1:L42)+1,0)</f>
        <v>42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>Winn 200T</v>
      </c>
      <c r="Y43" s="115" t="str">
        <f>IFERROR(INDEX(Расходка[Наименование расходного материала],MATCH(Расходка[[#This Row],[№]],Поиск_расходки[Индекс8],0)),"")</f>
        <v>Winn 200T</v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515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43</v>
      </c>
      <c r="L44" s="116">
        <f>IF(ISNUMBER(SEARCH('Карта учёта'!$B$18,Расходка[[#This Row],[Наименование расходного материала]])),MAX($L$1:L43)+1,0)</f>
        <v>43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4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4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346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44</v>
      </c>
      <c r="L45" s="116">
        <f>IF(ISNUMBER(SEARCH('Карта учёта'!$B$18,Расходка[[#This Row],[Наименование расходного материала]])),MAX($L$1:L44)+1,0)</f>
        <v>44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5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5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45</v>
      </c>
      <c r="L46" s="116">
        <f>IF(ISNUMBER(SEARCH('Карта учёта'!$B$18,Расходка[[#This Row],[Наименование расходного материала]])),MAX($L$1:L45)+1,0)</f>
        <v>45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6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46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513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1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46</v>
      </c>
      <c r="L47" s="116">
        <f>IF(ISNUMBER(SEARCH('Карта учёта'!$B$18,Расходка[[#This Row],[Наименование расходного материала]])),MAX($L$1:L46)+1,0)</f>
        <v>46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7" s="115" t="str">
        <f>IFERROR(INDEX(Расходка[Наименование расходного материала],MATCH(Расходка[[#This Row],[№]],Поиск_расходки[Индекс7],0)),"")</f>
        <v>Lepu Medical Balancium</v>
      </c>
      <c r="Y47" s="115" t="str">
        <f>IFERROR(INDEX(Расходка[Наименование расходного материала],MATCH(Расходка[[#This Row],[№]],Поиск_расходки[Индекс8],0)),"")</f>
        <v>Lepu Medical Balancium</v>
      </c>
      <c r="Z47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7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443</v>
      </c>
    </row>
    <row r="48" spans="1:33">
      <c r="A48">
        <v>47</v>
      </c>
      <c r="B48" t="s">
        <v>6</v>
      </c>
      <c r="C48" s="1" t="s">
        <v>278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47</v>
      </c>
      <c r="L48" s="116">
        <f>IF(ISNUMBER(SEARCH('Карта учёта'!$B$18,Расходка[[#This Row],[Наименование расходного материала]])),MAX($L$1:L47)+1,0)</f>
        <v>47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BMS, Integtity</v>
      </c>
      <c r="W48" s="115" t="str">
        <f>IFERROR(INDEX(Расходка[Наименование расходного материала],MATCH(Расходка[[#This Row],[№]],Поиск_расходки[Индекс6],0)),"")</f>
        <v>BMS, Integtity</v>
      </c>
      <c r="X48" s="115" t="str">
        <f>IFERROR(INDEX(Расходка[Наименование расходного материала],MATCH(Расходка[[#This Row],[№]],Поиск_расходки[Индекс7],0)),"")</f>
        <v>BMS, Integtity</v>
      </c>
      <c r="Y48" s="115" t="str">
        <f>IFERROR(INDEX(Расходка[Наименование расходного материала],MATCH(Расходка[[#This Row],[№]],Поиск_расходки[Индекс8],0)),"")</f>
        <v>BMS, Integtity</v>
      </c>
      <c r="Z48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8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58" t="s">
        <v>345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48</v>
      </c>
      <c r="L49" s="116">
        <f>IF(ISNUMBER(SEARCH('Карта учёта'!$B$18,Расходка[[#This Row],[Наименование расходного материала]])),MAX($L$1:L48)+1,0)</f>
        <v>48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Calipso</v>
      </c>
      <c r="W49" s="115" t="str">
        <f>IFERROR(INDEX(Расходка[Наименование расходного материала],MATCH(Расходка[[#This Row],[№]],Поиск_расходки[Индекс6],0)),"")</f>
        <v>DES, Calipso</v>
      </c>
      <c r="X49" s="115" t="str">
        <f>IFERROR(INDEX(Расходка[Наименование расходного материала],MATCH(Расходка[[#This Row],[№]],Поиск_расходки[Индекс7],0)),"")</f>
        <v>DES, Calipso</v>
      </c>
      <c r="Y49" s="115" t="str">
        <f>IFERROR(INDEX(Расходка[Наименование расходного материала],MATCH(Расходка[[#This Row],[№]],Поиск_расходки[Индекс8],0)),"")</f>
        <v>DES, Calipso</v>
      </c>
      <c r="Z49" s="115" t="str">
        <f>IFERROR(INDEX(Расходка[Наименование расходного материала],MATCH(Расходка[[#This Row],[№]],Поиск_расходки[Индекс9],0)),"")</f>
        <v>DES, Calipso</v>
      </c>
      <c r="AA49" s="115" t="str">
        <f>IFERROR(INDEX(Расходка[Наименование расходного материала],MATCH(Расходка[[#This Row],[№]],Поиск_расходки[Индекс10],0)),"")</f>
        <v>DES, Calipso</v>
      </c>
      <c r="AB49" s="115" t="str">
        <f>IFERROR(INDEX(Расходка[Наименование расходного материала],MATCH(Расходка[[#This Row],[№]],Поиск_расходки[Индекс11],0)),"")</f>
        <v>DES, Calipso</v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58" t="s">
        <v>344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49</v>
      </c>
      <c r="L50" s="116">
        <f>IF(ISNUMBER(SEARCH('Карта учёта'!$B$18,Расходка[[#This Row],[Наименование расходного материала]])),MAX($L$1:L49)+1,0)</f>
        <v>49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NanoMed</v>
      </c>
      <c r="W50" s="115" t="str">
        <f>IFERROR(INDEX(Расходка[Наименование расходного материала],MATCH(Расходка[[#This Row],[№]],Поиск_расходки[Индекс6],0)),"")</f>
        <v>DES, NanoMed</v>
      </c>
      <c r="X50" s="115" t="str">
        <f>IFERROR(INDEX(Расходка[Наименование расходного материала],MATCH(Расходка[[#This Row],[№]],Поиск_расходки[Индекс7],0)),"")</f>
        <v>DES, NanoMed</v>
      </c>
      <c r="Y50" s="115" t="str">
        <f>IFERROR(INDEX(Расходка[Наименование расходного материала],MATCH(Расходка[[#This Row],[№]],Поиск_расходки[Индекс8],0)),"")</f>
        <v>DES, NanoMed</v>
      </c>
      <c r="Z50" s="115" t="str">
        <f>IFERROR(INDEX(Расходка[Наименование расходного материала],MATCH(Расходка[[#This Row],[№]],Поиск_расходки[Индекс9],0)),"")</f>
        <v>DES, NanoMed</v>
      </c>
      <c r="AA50" s="115" t="str">
        <f>IFERROR(INDEX(Расходка[Наименование расходного материала],MATCH(Расходка[[#This Row],[№]],Поиск_расходки[Индекс10],0)),"")</f>
        <v>DES, NanoMed</v>
      </c>
      <c r="AB50" s="115" t="str">
        <f>IFERROR(INDEX(Расходка[Наименование расходного материала],MATCH(Расходка[[#This Row],[№]],Поиск_расходки[Индекс11],0)),"")</f>
        <v>DES, NanoMed</v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31" t="s">
        <v>323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1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50</v>
      </c>
      <c r="L51" s="116">
        <f>IF(ISNUMBER(SEARCH('Карта учёта'!$B$18,Расходка[[#This Row],[Наименование расходного материала]])),MAX($L$1:L50)+1,0)</f>
        <v>50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1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1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1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1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t="s">
        <v>357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51</v>
      </c>
      <c r="L52" s="116">
        <f>IF(ISNUMBER(SEARCH('Карта учёта'!$B$18,Расходка[[#This Row],[Наименование расходного материала]])),MAX($L$1:L51)+1,0)</f>
        <v>51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2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2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2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2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162" t="s">
        <v>388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52</v>
      </c>
      <c r="L53" s="116">
        <f>IF(ISNUMBER(SEARCH('Карта учёта'!$B$18,Расходка[[#This Row],[Наименование расходного материала]])),MAX($L$1:L52)+1,0)</f>
        <v>52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Firehawk</v>
      </c>
      <c r="W53" s="115" t="str">
        <f>IFERROR(INDEX(Расходка[Наименование расходного материала],MATCH(Расходка[[#This Row],[№]],Поиск_расходки[Индекс6],0)),"")</f>
        <v>DES, Firehawk</v>
      </c>
      <c r="X53" s="115" t="str">
        <f>IFERROR(INDEX(Расходка[Наименование расходного материала],MATCH(Расходка[[#This Row],[№]],Поиск_расходки[Индекс7],0)),"")</f>
        <v>DES, Firehawk</v>
      </c>
      <c r="Y53" s="115" t="str">
        <f>IFERROR(INDEX(Расходка[Наименование расходного материала],MATCH(Расходка[[#This Row],[№]],Поиск_расходки[Индекс8],0)),"")</f>
        <v>DES, Firehawk</v>
      </c>
      <c r="Z53" s="115" t="str">
        <f>IFERROR(INDEX(Расходка[Наименование расходного материала],MATCH(Расходка[[#This Row],[№]],Поиск_расходки[Индекс9],0)),"")</f>
        <v>DES, Firehawk</v>
      </c>
      <c r="AA53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t="s">
        <v>387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53</v>
      </c>
      <c r="L54" s="116">
        <f>IF(ISNUMBER(SEARCH('Карта учёта'!$B$18,Расходка[[#This Row],[Наименование расходного материала]])),MAX($L$1:L53)+1,0)</f>
        <v>53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4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54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4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514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54</v>
      </c>
      <c r="L55" s="116">
        <f>IF(ISNUMBER(SEARCH('Карта учёта'!$B$18,Расходка[[#This Row],[Наименование расходного материала]])),MAX($L$1:L54)+1,0)</f>
        <v>54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Metafor</v>
      </c>
      <c r="W55" s="115" t="str">
        <f>IFERROR(INDEX(Расходка[Наименование расходного материала],MATCH(Расходка[[#This Row],[№]],Поиск_расходки[Индекс6],0)),"")</f>
        <v>DES, Metafor</v>
      </c>
      <c r="X55" s="115" t="str">
        <f>IFERROR(INDEX(Расходка[Наименование расходного материала],MATCH(Расходка[[#This Row],[№]],Поиск_расходки[Индекс7],0)),"")</f>
        <v>DES, Metafor</v>
      </c>
      <c r="Y55" s="115" t="str">
        <f>IFERROR(INDEX(Расходка[Наименование расходного материала],MATCH(Расходка[[#This Row],[№]],Поиск_расходки[Индекс8],0)),"")</f>
        <v>DES, Metafor</v>
      </c>
      <c r="Z55" s="115" t="str">
        <f>IFERROR(INDEX(Расходка[Наименование расходного материала],MATCH(Расходка[[#This Row],[№]],Поиск_расходки[Индекс9],0)),"")</f>
        <v>DES, Metafor</v>
      </c>
      <c r="AA55" s="115" t="str">
        <f>IFERROR(INDEX(Расходка[Наименование расходного материала],MATCH(Расходка[[#This Row],[№]],Поиск_расходки[Индекс10],0)),"")</f>
        <v>DES, Metafor</v>
      </c>
      <c r="AB55" s="115" t="str">
        <f>IFERROR(INDEX(Расходка[Наименование расходного материала],MATCH(Расходка[[#This Row],[№]],Поиск_расходки[Индекс11],0)),"")</f>
        <v>DES, Metafor</v>
      </c>
      <c r="AC55" s="115" t="str">
        <f>IFERROR(INDEX(Расходка[Наименование расходного материала],MATCH(Расходка[[#This Row],[№]],Поиск_расходки[Индекс12],0)),"")</f>
        <v>DES, Metafor</v>
      </c>
      <c r="AD55" s="115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451</v>
      </c>
    </row>
    <row r="56" spans="1:33">
      <c r="A56">
        <v>55</v>
      </c>
      <c r="B56" t="s">
        <v>95</v>
      </c>
      <c r="C56" s="1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55</v>
      </c>
      <c r="L56" s="116">
        <f>IF(ISNUMBER(SEARCH('Карта учёта'!$B$18,Расходка[[#This Row],[Наименование расходного материала]])),MAX($L$1:L55)+1,0)</f>
        <v>55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6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6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56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56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6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6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343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56</v>
      </c>
      <c r="L57" s="116">
        <f>IF(ISNUMBER(SEARCH('Карта учёта'!$B$18,Расходка[[#This Row],[Наименование расходного материала]])),MAX($L$1:L56)+1,0)</f>
        <v>56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7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7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57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57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7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7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453</v>
      </c>
    </row>
    <row r="58" spans="1:33">
      <c r="A58">
        <v>57</v>
      </c>
      <c r="B58" t="s">
        <v>4</v>
      </c>
      <c r="C58" t="s">
        <v>350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57</v>
      </c>
      <c r="L58" s="116">
        <f>IF(ISNUMBER(SEARCH('Карта учёта'!$B$18,Расходка[[#This Row],[Наименование расходного материала]])),MAX($L$1:L57)+1,0)</f>
        <v>57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8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8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58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58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351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58</v>
      </c>
      <c r="L59" s="116">
        <f>IF(ISNUMBER(SEARCH('Карта учёта'!$B$18,Расходка[[#This Row],[Наименование расходного материала]])),MAX($L$1:L58)+1,0)</f>
        <v>58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9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9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59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59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511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59</v>
      </c>
      <c r="L60" s="116">
        <f>IF(ISNUMBER(SEARCH('Карта учёта'!$B$18,Расходка[[#This Row],[Наименование расходного материала]])),MAX($L$1:L59)+1,0)</f>
        <v>59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0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60" s="115" t="str">
        <f>IFERROR(INDEX(Расходка[Наименование расходного материала],MATCH(Расходка[[#This Row],[№]],Поиск_расходки[Индекс7],0)),"")</f>
        <v>Launcher 6F AL 3</v>
      </c>
      <c r="Y60" s="115" t="str">
        <f>IFERROR(INDEX(Расходка[Наименование расходного материала],MATCH(Расходка[[#This Row],[№]],Поиск_расходки[Индекс8],0)),"")</f>
        <v>Launcher 6F AL 3</v>
      </c>
      <c r="Z60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325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1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60</v>
      </c>
      <c r="L61" s="116">
        <f>IF(ISNUMBER(SEARCH('Карта учёта'!$B$18,Расходка[[#This Row],[Наименование расходного материала]])),MAX($L$1:L60)+1,0)</f>
        <v>60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1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1" s="115" t="str">
        <f>IFERROR(INDEX(Расходка[Наименование расходного материала],MATCH(Расходка[[#This Row],[№]],Поиск_расходки[Индекс7],0)),"")</f>
        <v>Launcher 6F EBU 3.5</v>
      </c>
      <c r="Y61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1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326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61</v>
      </c>
      <c r="L62" s="116">
        <f>IF(ISNUMBER(SEARCH('Карта учёта'!$B$18,Расходка[[#This Row],[Наименование расходного материала]])),MAX($L$1:L61)+1,0)</f>
        <v>61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2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2" s="115" t="str">
        <f>IFERROR(INDEX(Расходка[Наименование расходного материала],MATCH(Расходка[[#This Row],[№]],Поиск_расходки[Индекс7],0)),"")</f>
        <v>Launcher 6F EBU 4.0</v>
      </c>
      <c r="Y62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62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327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62</v>
      </c>
      <c r="L63" s="116">
        <f>IF(ISNUMBER(SEARCH('Карта учёта'!$B$18,Расходка[[#This Row],[Наименование расходного материала]])),MAX($L$1:L62)+1,0)</f>
        <v>62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3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3" s="115" t="str">
        <f>IFERROR(INDEX(Расходка[Наименование расходного материала],MATCH(Расходка[[#This Row],[№]],Поиск_расходки[Индекс7],0)),"")</f>
        <v>Launcher 6F JL 3.5</v>
      </c>
      <c r="Y63" s="115" t="str">
        <f>IFERROR(INDEX(Расходка[Наименование расходного материала],MATCH(Расходка[[#This Row],[№]],Поиск_расходки[Индекс8],0)),"")</f>
        <v>Launcher 6F JL 3.5</v>
      </c>
      <c r="Z63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328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63</v>
      </c>
      <c r="L64" s="116">
        <f>IF(ISNUMBER(SEARCH('Карта учёта'!$B$18,Расходка[[#This Row],[Наименование расходного материала]])),MAX($L$1:L63)+1,0)</f>
        <v>63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4" s="115" t="str">
        <f>IFERROR(INDEX(Расходка[Наименование расходного материала],MATCH(Расходка[[#This Row],[№]],Поиск_расходки[Индекс7],0)),"")</f>
        <v>Launcher 6F JL 4.0</v>
      </c>
      <c r="Y64" s="115" t="str">
        <f>IFERROR(INDEX(Расходка[Наименование расходного материала],MATCH(Расходка[[#This Row],[№]],Поиск_расходки[Индекс8],0)),"")</f>
        <v>Launcher 6F JL 4.0</v>
      </c>
      <c r="Z64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334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64</v>
      </c>
      <c r="L65" s="116">
        <f>IF(ISNUMBER(SEARCH('Карта учёта'!$B$18,Расходка[[#This Row],[Наименование расходного материала]])),MAX($L$1:L64)+1,0)</f>
        <v>64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5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5" s="115" t="str">
        <f>IFERROR(INDEX(Расходка[Наименование расходного материала],MATCH(Расходка[[#This Row],[№]],Поиск_расходки[Индекс7],0)),"")</f>
        <v>Launcher 6F JL 4.5</v>
      </c>
      <c r="Y65" s="115" t="str">
        <f>IFERROR(INDEX(Расходка[Наименование расходного материала],MATCH(Расходка[[#This Row],[№]],Поиск_расходки[Индекс8],0)),"")</f>
        <v>Launcher 6F JL 4.5</v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329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65</v>
      </c>
      <c r="L66" s="116">
        <f>IF(ISNUMBER(SEARCH('Карта учёта'!$B$18,Расходка[[#This Row],[Наименование расходного материала]])),MAX($L$1:L65)+1,0)</f>
        <v>65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6" s="115" t="str">
        <f>IFERROR(INDEX(Расходка[Наименование расходного материала],MATCH(Расходка[[#This Row],[№]],Поиск_расходки[Индекс7],0)),"")</f>
        <v>Launcher 6F JR 3.5</v>
      </c>
      <c r="Y66" s="115" t="str">
        <f>IFERROR(INDEX(Расходка[Наименование расходного материала],MATCH(Расходка[[#This Row],[№]],Поиск_расходки[Индекс8],0)),"")</f>
        <v>Launcher 6F JR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330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66</v>
      </c>
      <c r="K67" s="199">
        <f>IF(ISNUMBER(SEARCH('Карта учёта'!$B$17,Расходка[[#This Row],[Наименование расходного материала]])),MAX($K$1:K66)+1,0)</f>
        <v>66</v>
      </c>
      <c r="L67" s="199">
        <f>IF(ISNUMBER(SEARCH('Карта учёта'!$B$18,Расходка[[#This Row],[Наименование расходного материала]])),MAX($L$1:L66)+1,0)</f>
        <v>66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6F JR 4.0</v>
      </c>
      <c r="W67" s="200" t="str">
        <f>IFERROR(INDEX(Расходка[Наименование расходного материала],MATCH(Расходка[[#This Row],[№]],Поиск_расходки[Индекс6],0)),"")</f>
        <v>Launcher 6F JR 4.0</v>
      </c>
      <c r="X67" s="200" t="str">
        <f>IFERROR(INDEX(Расходка[Наименование расходного материала],MATCH(Расходка[[#This Row],[№]],Поиск_расходки[Индекс7],0)),"")</f>
        <v>Launcher 6F JR 4.0</v>
      </c>
      <c r="Y67" s="200" t="str">
        <f>IFERROR(INDEX(Расходка[Наименование расходного материала],MATCH(Расходка[[#This Row],[№]],Поиск_расходки[Индекс8],0)),"")</f>
        <v>Launcher 6F JR 4.0</v>
      </c>
      <c r="Z67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340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67</v>
      </c>
      <c r="K68" s="199">
        <f>IF(ISNUMBER(SEARCH('Карта учёта'!$B$17,Расходка[[#This Row],[Наименование расходного материала]])),MAX($K$1:K67)+1,0)</f>
        <v>67</v>
      </c>
      <c r="L68" s="199">
        <f>IF(ISNUMBER(SEARCH('Карта учёта'!$B$18,Расходка[[#This Row],[Наименование расходного материала]])),MAX($L$1:L67)+1,0)</f>
        <v>67</v>
      </c>
      <c r="M68" s="199">
        <f>IF(ISNUMBER(SEARCH('Карта учёта'!$B$20,Расходка[[#This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8" s="200" t="str">
        <f>IFERROR(INDEX(Расходка[Наименование расходного материала],MATCH(Расходка[[#This Row],[№]],Поиск_расходки[Индекс6],0)),"")</f>
        <v>Launcher 7F JL 3.5</v>
      </c>
      <c r="X68" s="200" t="str">
        <f>IFERROR(INDEX(Расходка[Наименование расходного материала],MATCH(Расходка[[#This Row],[№]],Поиск_расходки[Индекс7],0)),"")</f>
        <v>Launcher 7F JL 3.5</v>
      </c>
      <c r="Y68" s="200" t="str">
        <f>IFERROR(INDEX(Расходка[Наименование расходного материала],MATCH(Расходка[[#This Row],[№]],Поиск_расходки[Индекс8],0)),"")</f>
        <v>Launcher 7F JL 3.5</v>
      </c>
      <c r="Z68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339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68</v>
      </c>
      <c r="K69" s="199">
        <f>IF(ISNUMBER(SEARCH('Карта учёта'!$B$17,Расходка[[#This Row],[Наименование расходного материала]])),MAX($K$1:K68)+1,0)</f>
        <v>68</v>
      </c>
      <c r="L69" s="199">
        <f>IF(ISNUMBER(SEARCH('Карта учёта'!$B$18,Расходка[[#This Row],[Наименование расходного материала]])),MAX($L$1:L68)+1,0)</f>
        <v>68</v>
      </c>
      <c r="M69" s="199">
        <f>IF(ISNUMBER(SEARCH('Карта учёта'!$B$20,Расходка[[#This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9" s="200" t="str">
        <f>IFERROR(INDEX(Расходка[Наименование расходного материала],MATCH(Расходка[[#This Row],[№]],Поиск_расходки[Индекс6],0)),"")</f>
        <v>Launcher 7F JL 4.0</v>
      </c>
      <c r="X69" s="200" t="str">
        <f>IFERROR(INDEX(Расходка[Наименование расходного материала],MATCH(Расходка[[#This Row],[№]],Поиск_расходки[Индекс7],0)),"")</f>
        <v>Launcher 7F JL 4.0</v>
      </c>
      <c r="Y69" s="200" t="str">
        <f>IFERROR(INDEX(Расходка[Наименование расходного материала],MATCH(Расходка[[#This Row],[№]],Поиск_расходки[Индекс8],0)),"")</f>
        <v>Launcher 7F JL 4.0</v>
      </c>
      <c r="Z69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464</v>
      </c>
    </row>
    <row r="70" spans="1:33">
      <c r="A70">
        <v>69</v>
      </c>
      <c r="B70" t="s">
        <v>301</v>
      </c>
      <c r="C70" s="1" t="s">
        <v>331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69</v>
      </c>
      <c r="J70" s="199">
        <f>IF(ISNUMBER(SEARCH('Карта учёта'!$B$19,Расходка[[#This Row],[Наименование расходного материала]])),MAX($J$1:J69)+1,0)</f>
        <v>69</v>
      </c>
      <c r="K70" s="199">
        <f>IF(ISNUMBER(SEARCH('Карта учёта'!$B$17,Расходка[[#This Row],[Наименование расходного материала]])),MAX($K$1:K69)+1,0)</f>
        <v>69</v>
      </c>
      <c r="L70" s="199">
        <f>IF(ISNUMBER(SEARCH('Карта учёта'!$B$18,Расходка[[#This Row],[Наименование расходного материала]])),MAX($L$1:L69)+1,0)</f>
        <v>69</v>
      </c>
      <c r="M70" s="199">
        <f>IF(ISNUMBER(SEARCH('Карта учёта'!$B$20,Расходка[[#This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70" s="200" t="str">
        <f>IFERROR(INDEX(Расходка[Наименование расходного материала],MATCH(Расходка[[#This Row],[№]],Поиск_расходки[Индекс6],0)),"")</f>
        <v>Angio-Seal™ VIP</v>
      </c>
      <c r="X70" s="200" t="str">
        <f>IFERROR(INDEX(Расходка[Наименование расходного материала],MATCH(Расходка[[#This Row],[№]],Поиск_расходки[Индекс7],0)),"")</f>
        <v>Angio-Seal™ VIP</v>
      </c>
      <c r="Y70" s="200" t="str">
        <f>IFERROR(INDEX(Расходка[Наименование расходного материала],MATCH(Расходка[[#This Row],[№]],Поиск_расходки[Индекс8],0)),"")</f>
        <v>Angio-Seal™ VIP</v>
      </c>
      <c r="Z70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465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420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F75" s="4" t="s">
        <v>6</v>
      </c>
      <c r="AG75" s="4" t="s">
        <v>468</v>
      </c>
    </row>
    <row r="76" spans="1:33">
      <c r="AF76" s="4" t="s">
        <v>6</v>
      </c>
      <c r="AG76" s="4" t="s">
        <v>469</v>
      </c>
    </row>
    <row r="77" spans="1:33">
      <c r="AF77" s="4" t="s">
        <v>6</v>
      </c>
      <c r="AG77" s="4" t="s">
        <v>470</v>
      </c>
    </row>
    <row r="78" spans="1:33"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C21" sqref="C2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5" sqref="F5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16" sqref="A16"/>
    </sheetView>
  </sheetViews>
  <sheetFormatPr defaultRowHeight="15"/>
  <cols>
    <col min="1" max="1" width="88.7109375" bestFit="1" customWidth="1"/>
    <col min="2" max="2" width="30.5703125" bestFit="1" customWidth="1"/>
  </cols>
  <sheetData>
    <row r="1" spans="1:1" ht="45">
      <c r="A1" s="1" t="str">
        <f>CONCATENATE(КАГ!A18," ",КАГ!B18,". ",КАГ!A20," ",КАГ!B20,". ",КАГ!A22," ",КАГ!B22,". ")</f>
        <v xml:space="preserve">Тип: Правый. Ствол ЛКА: проходим, стеноз тела ствола ЛКА 30%. Бассейн ПНА: субокклюзирующий стеноз проксимального сегмента. ИМА: проходима. Контуры ровные.   Антеградный кровоток по ПНА ближе к   TIMI III. </v>
      </c>
    </row>
    <row r="4" spans="1:1">
      <c r="A4" s="1"/>
    </row>
    <row r="12" spans="1:1">
      <c r="A12" s="1"/>
    </row>
    <row r="18" spans="1:1">
      <c r="A18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Лист1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2024-02-12T12:40:42Z</cp:lastPrinted>
  <dcterms:created xsi:type="dcterms:W3CDTF">2015-06-05T18:19:34Z</dcterms:created>
  <dcterms:modified xsi:type="dcterms:W3CDTF">2024-02-13T03:42:30Z</dcterms:modified>
</cp:coreProperties>
</file>