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S72" i="1"/>
  <c r="F70" i="1"/>
  <c r="F71" i="1" s="1"/>
  <c r="S66" i="1" s="1"/>
  <c r="V72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V2" i="1" l="1"/>
  <c r="W71" i="1"/>
  <c r="W61" i="1"/>
  <c r="W43" i="1"/>
  <c r="W39" i="1"/>
  <c r="W59" i="1"/>
  <c r="W68" i="1"/>
  <c r="W53" i="1"/>
  <c r="W66" i="1"/>
  <c r="W60" i="1"/>
  <c r="W48" i="1"/>
  <c r="V65" i="1"/>
  <c r="W69" i="1"/>
  <c r="W42" i="1"/>
  <c r="W40" i="1"/>
  <c r="W56" i="1"/>
  <c r="W57" i="1"/>
  <c r="W52" i="1"/>
  <c r="W46" i="1"/>
  <c r="W51" i="1"/>
  <c r="W49" i="1"/>
  <c r="V67" i="1"/>
  <c r="V66" i="1"/>
  <c r="W54" i="1"/>
  <c r="W67" i="1"/>
  <c r="W58" i="1"/>
  <c r="W45" i="1"/>
  <c r="W64" i="1"/>
  <c r="W50" i="1"/>
  <c r="W63" i="1"/>
  <c r="W55" i="1"/>
  <c r="W62" i="1"/>
  <c r="W41" i="1"/>
  <c r="W44" i="1"/>
  <c r="V63" i="1"/>
  <c r="V42" i="1"/>
  <c r="V54" i="1"/>
  <c r="V40" i="1"/>
  <c r="V50" i="1"/>
  <c r="V58" i="1"/>
  <c r="V48" i="1"/>
  <c r="V46" i="1"/>
  <c r="V60" i="1"/>
  <c r="V53" i="1"/>
  <c r="S43" i="1"/>
  <c r="S60" i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0" i="1"/>
  <c r="X22" i="1" l="1"/>
  <c r="X11" i="1"/>
  <c r="X14" i="1"/>
  <c r="X33" i="1"/>
  <c r="X34" i="1"/>
  <c r="X10" i="1"/>
  <c r="X26" i="1"/>
  <c r="X27" i="1"/>
  <c r="X23" i="1"/>
  <c r="X24" i="1"/>
  <c r="X35" i="1"/>
  <c r="X25" i="1"/>
  <c r="X5" i="1"/>
  <c r="X4" i="1"/>
  <c r="X12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N69" i="1" l="1"/>
  <c r="G64" i="1"/>
  <c r="M54" i="1"/>
  <c r="M55" i="1" s="1"/>
  <c r="L51" i="1"/>
  <c r="L52" i="1" s="1"/>
  <c r="L53" i="1" s="1"/>
  <c r="N70" i="1" l="1"/>
  <c r="G65" i="1"/>
  <c r="G66" i="1" s="1"/>
  <c r="G67" i="1" s="1"/>
  <c r="G68" i="1" s="1"/>
  <c r="G69" i="1" s="1"/>
  <c r="G70" i="1" s="1"/>
  <c r="G71" i="1" s="1"/>
  <c r="M56" i="1"/>
  <c r="M57" i="1" s="1"/>
  <c r="L54" i="1"/>
  <c r="N71" i="1" l="1"/>
  <c r="AA72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A12" i="1" l="1"/>
  <c r="AA3" i="1"/>
  <c r="AA71" i="1"/>
  <c r="AA66" i="1"/>
  <c r="AA15" i="1"/>
  <c r="AA18" i="1"/>
  <c r="AA31" i="1"/>
  <c r="AA64" i="1"/>
  <c r="AA42" i="1"/>
  <c r="AA32" i="1"/>
  <c r="AA51" i="1"/>
  <c r="AA21" i="1"/>
  <c r="AA38" i="1"/>
  <c r="AA63" i="1"/>
  <c r="AA11" i="1"/>
  <c r="AA19" i="1"/>
  <c r="AA9" i="1"/>
  <c r="AA44" i="1"/>
  <c r="AA22" i="1"/>
  <c r="AA55" i="1"/>
  <c r="AA41" i="1"/>
  <c r="AA6" i="1"/>
  <c r="AA36" i="1"/>
  <c r="AA49" i="1"/>
  <c r="AA26" i="1"/>
  <c r="AA10" i="1"/>
  <c r="AA4" i="1"/>
  <c r="AA13" i="1"/>
  <c r="AA5" i="1"/>
  <c r="AA30" i="1"/>
  <c r="AA56" i="1"/>
  <c r="AA45" i="1"/>
  <c r="AA16" i="1"/>
  <c r="AA61" i="1"/>
  <c r="AA33" i="1"/>
  <c r="AA7" i="1"/>
  <c r="AA59" i="1"/>
  <c r="AA14" i="1"/>
  <c r="AA70" i="1"/>
  <c r="AA69" i="1"/>
  <c r="AA58" i="1"/>
  <c r="AA8" i="1"/>
  <c r="AA39" i="1"/>
  <c r="AA68" i="1"/>
  <c r="AA29" i="1"/>
  <c r="AA50" i="1"/>
  <c r="AA48" i="1"/>
  <c r="AA23" i="1"/>
  <c r="AA37" i="1"/>
  <c r="AA62" i="1"/>
  <c r="AA24" i="1"/>
  <c r="AA28" i="1"/>
  <c r="AA43" i="1"/>
  <c r="AA60" i="1"/>
  <c r="AA27" i="1"/>
  <c r="AA35" i="1"/>
  <c r="AA17" i="1"/>
  <c r="AA40" i="1"/>
  <c r="AA25" i="1"/>
  <c r="AA34" i="1"/>
  <c r="AA65" i="1"/>
  <c r="AA46" i="1"/>
  <c r="AA53" i="1"/>
  <c r="AA47" i="1"/>
  <c r="AA20" i="1"/>
  <c r="AA54" i="1"/>
  <c r="AA52" i="1"/>
  <c r="AA67" i="1"/>
  <c r="AA57" i="1"/>
  <c r="L67" i="1"/>
  <c r="M61" i="1"/>
  <c r="L68" i="1" l="1"/>
  <c r="M62" i="1"/>
  <c r="Y2" i="1"/>
  <c r="L69" i="1" l="1"/>
  <c r="M63" i="1"/>
  <c r="M64" i="1" s="1"/>
  <c r="M65" i="1" s="1"/>
  <c r="M66" i="1" s="1"/>
  <c r="L70" i="1" l="1"/>
  <c r="M67" i="1"/>
  <c r="L71" i="1" l="1"/>
  <c r="Y3" i="1" s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M68" i="1"/>
  <c r="Y70" i="1" l="1"/>
  <c r="Y71" i="1"/>
  <c r="Y4" i="1"/>
  <c r="Y13" i="1"/>
  <c r="Y30" i="1"/>
  <c r="Y9" i="1"/>
  <c r="Y24" i="1"/>
  <c r="Y50" i="1"/>
  <c r="Y33" i="1"/>
  <c r="Y15" i="1"/>
  <c r="Y45" i="1"/>
  <c r="Y42" i="1"/>
  <c r="Y23" i="1"/>
  <c r="Y17" i="1"/>
  <c r="Y56" i="1"/>
  <c r="Y65" i="1"/>
  <c r="Y66" i="1"/>
  <c r="Y47" i="1"/>
  <c r="Y51" i="1"/>
  <c r="Y10" i="1"/>
  <c r="Y14" i="1"/>
  <c r="Y37" i="1"/>
  <c r="Y39" i="1"/>
  <c r="Y36" i="1"/>
  <c r="Y43" i="1"/>
  <c r="Y19" i="1"/>
  <c r="Y38" i="1"/>
  <c r="Y48" i="1"/>
  <c r="Y27" i="1"/>
  <c r="Y16" i="1"/>
  <c r="Y64" i="1"/>
  <c r="Y20" i="1"/>
  <c r="Y63" i="1"/>
  <c r="Y69" i="1"/>
  <c r="Y31" i="1"/>
  <c r="M69" i="1"/>
  <c r="M70" i="1" l="1"/>
  <c r="Z3" i="1" l="1"/>
  <c r="M71" i="1"/>
  <c r="Z69" i="1" s="1"/>
  <c r="Z72" i="1"/>
  <c r="Z71" i="1" l="1"/>
  <c r="Z31" i="1"/>
  <c r="Z70" i="1"/>
  <c r="Z50" i="1"/>
  <c r="Z55" i="1"/>
  <c r="Z21" i="1"/>
  <c r="Z49" i="1"/>
  <c r="Z5" i="1"/>
  <c r="Z23" i="1"/>
  <c r="Z62" i="1"/>
  <c r="Z65" i="1"/>
  <c r="Z25" i="1"/>
  <c r="Z45" i="1"/>
  <c r="Z24" i="1"/>
  <c r="Z58" i="1"/>
  <c r="Z22" i="1"/>
  <c r="Z30" i="1"/>
  <c r="Z37" i="1"/>
  <c r="Z34" i="1"/>
  <c r="Z56" i="1"/>
  <c r="Z15" i="1"/>
  <c r="Z59" i="1"/>
  <c r="Z26" i="1"/>
  <c r="Z6" i="1"/>
  <c r="Z35" i="1"/>
  <c r="Z54" i="1"/>
  <c r="Z52" i="1"/>
  <c r="Z8" i="1"/>
  <c r="Z67" i="1"/>
  <c r="Z47" i="1"/>
  <c r="Z11" i="1"/>
  <c r="Z18" i="1"/>
  <c r="Z63" i="1"/>
  <c r="Z12" i="1"/>
  <c r="Z7" i="1"/>
  <c r="Z36" i="1"/>
  <c r="Z16" i="1"/>
  <c r="Z66" i="1"/>
  <c r="Z10" i="1"/>
  <c r="Z19" i="1"/>
  <c r="Z32" i="1"/>
  <c r="Z41" i="1"/>
  <c r="Z51" i="1"/>
  <c r="Z4" i="1"/>
  <c r="Z46" i="1"/>
  <c r="Z9" i="1"/>
  <c r="Z38" i="1"/>
  <c r="Z48" i="1"/>
  <c r="Z39" i="1"/>
  <c r="Z43" i="1"/>
  <c r="Z20" i="1"/>
  <c r="Z27" i="1"/>
  <c r="Z17" i="1"/>
  <c r="Z57" i="1"/>
  <c r="Z29" i="1"/>
  <c r="Z33" i="1"/>
  <c r="Z44" i="1"/>
  <c r="Z60" i="1"/>
  <c r="Z64" i="1"/>
  <c r="Z42" i="1"/>
  <c r="Z14" i="1"/>
  <c r="Z53" i="1"/>
  <c r="Z40" i="1"/>
  <c r="Z61" i="1"/>
  <c r="Z28" i="1"/>
  <c r="Z13" i="1"/>
  <c r="Z6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<sst xmlns="http://schemas.openxmlformats.org/spreadsheetml/2006/main" count="872" uniqueCount="533">
  <si>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</si>
  <si>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</si>
  <si>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</si>
  <si>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</si>
  <si>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</si>
  <si>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</si>
  <si>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</si>
  <si>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</si>
  <si>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</si>
  <si>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</si>
  <si>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</si>
  <si>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</si>
  <si>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</si>
  <si>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</si>
  <si>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</si>
  <si>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</si>
  <si>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</si>
  <si>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</si>
  <si>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</si>
  <si>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</si>
  <si>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</si>
  <si>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</si>
  <si>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</si>
  <si>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</si>
  <si>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</si>
  <si>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</si>
  <si>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</si>
  <si>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</si>
  <si>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</si>
  <si>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</si>
  <si>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</si>
  <si>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</si>
  <si>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</si>
  <si>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</si>
  <si>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</si>
  <si>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</si>
  <si>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</si>
  <si>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</si>
  <si>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</si>
  <si>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</si>
  <si>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</si>
  <si>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</si>
  <si>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</si>
  <si>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</si>
  <si>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</si>
  <si>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</si>
  <si>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</si>
  <si>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</si>
  <si>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</si>
  <si>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</si>
  <si>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</si>
  <si>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</si>
  <si>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</si>
  <si>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</si>
  <si>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</si>
  <si>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</si>
  <si>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</si>
  <si>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</si>
  <si>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</si>
  <si>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</si>
  <si>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</si>
  <si>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</si>
  <si>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</si>
  <si>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</si>
  <si>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</si>
  <si>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</si>
  <si>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</si>
  <si>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</si>
  <si>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</si>
  <si>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</si>
  <si>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</si>
  <si>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</si>
  <si>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</si>
  <si>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</si>
  <si>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</si>
  <si>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</si>
  <si>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</si>
  <si>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</si>
  <si>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</si>
  <si>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</si>
  <si>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</si>
  <si>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</si>
  <si>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</si>
  <si>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</si>
  <si>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</si>
  <si>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</si>
  <si>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</si>
  <si>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</si>
  <si>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</si>
  <si>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</si>
  <si>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</si>
  <si>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</si>
  <si>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</si>
  <si>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</si>
  <si>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</si>
  <si>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</si>
  <si>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</si>
  <si>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</si>
  <si>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</si>
  <si>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</si>
  <si>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</si>
  <si>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</si>
  <si>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</si>
  <si>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</si>
  <si>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</si>
  <si>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</si>
  <si>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</si>
  <si>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</si>
  <si>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</si>
  <si>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</si>
  <si>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</si>
  <si>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</si>
  <si>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</si>
  <si>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</si>
  <si>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</si>
  <si>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</si>
  <si>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</si>
  <si>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</si>
  <si>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</si>
  <si>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</si>
  <si>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</si>
  <si>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</si>
  <si>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</si>
  <si>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</si>
  <si>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</si>
  <si>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</si>
  <si>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</si>
  <si>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</si>
  <si>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</si>
  <si>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</si>
  <si>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</si>
  <si>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</si>
  <si>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</si>
  <si>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</si>
  <si>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</si>
  <si>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</si>
  <si>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</si>
  <si>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</si>
  <si>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</si>
  <si>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</si>
  <si>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</si>
  <si>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</si>
  <si>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</si>
  <si>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</si>
  <si>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</si>
  <si>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</si>
  <si>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</si>
  <si>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</si>
  <si>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</si>
  <si>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</si>
  <si>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</si>
  <si>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</si>
  <si>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</si>
  <si>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</si>
  <si>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</si>
  <si>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</si>
  <si>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</si>
  <si>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</si>
  <si>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</si>
  <si>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</si>
  <si>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</si>
  <si>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</si>
  <si>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</si>
  <si>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</si>
  <si>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</si>
  <si>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</si>
  <si>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</si>
  <si>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</si>
  <si>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</si>
  <si>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</si>
  <si>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</si>
  <si>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</si>
  <si>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</si>
  <si>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</si>
  <si>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</si>
  <si>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</si>
  <si>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</si>
  <si>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</si>
  <si>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</si>
  <si>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</si>
  <si>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</si>
  <si>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</si>
  <si>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</si>
  <si>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</si>
  <si>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</si>
  <si>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</si>
  <si>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</si>
  <si>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</si>
  <si>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</si>
  <si>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</si>
  <si>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</si>
  <si>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</si>
  <si>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</si>
  <si>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</si>
  <si>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</si>
  <si>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</si>
  <si>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</si>
  <si>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</si>
  <si>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</si>
  <si>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</si>
  <si>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</si>
  <si>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</si>
  <si>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</si>
  <si>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</si>
  <si>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</si>
  <si>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</si>
  <si>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</si>
  <si>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</si>
  <si>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</si>
  <si>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</si>
  <si>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</si>
  <si>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</si>
  <si>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</si>
  <si>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</si>
  <si>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</si>
  <si>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</si>
  <si>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</si>
  <si>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</si>
  <si>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</si>
  <si>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</si>
  <si>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</si>
  <si>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</si>
  <si>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</si>
  <si>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</si>
  <si>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</si>
  <si>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</si>
  <si>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</si>
  <si>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</si>
  <si>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</si>
  <si>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</si>
  <si>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</si>
  <si>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</si>
  <si>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</si>
  <si>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</si>
  <si>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</si>
  <si>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</si>
  <si>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</si>
  <si>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</si>
  <si>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</si>
  <si>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</si>
  <si>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</si>
  <si>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</si>
  <si>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</si>
  <si>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</si>
  <si>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</si>
  <si>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</si>
  <si>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</si>
  <si>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</si>
  <si>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</si>
  <si>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</si>
  <si>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</si>
  <si>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</si>
  <si>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</si>
  <si>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</si>
  <si>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</si>
  <si>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</si>
  <si>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</si>
  <si>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</si>
  <si>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</si>
  <si>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</si>
  <si>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</si>
  <si>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</si>
  <si>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</si>
  <si>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</si>
  <si>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</si>
  <si>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</si>
  <si>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</si>
  <si>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</si>
  <si>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</si>
  <si>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</si>
  <si>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</si>
  <si>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</si>
  <si>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</si>
  <si>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</si>
  <si>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</si>
  <si>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</si>
  <si>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</si>
  <si>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</si>
  <si>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</si>
  <si>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</si>
  <si>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</si>
  <si>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</si>
  <si>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</si>
  <si>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</si>
  <si>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</si>
  <si>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</si>
  <si>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</si>
  <si>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</si>
  <si>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</si>
  <si>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</si>
  <si>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</si>
  <si>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</si>
  <si>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</si>
  <si>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</si>
  <si>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</si>
  <si>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</si>
  <si>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</si>
  <si>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</si>
  <si>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</si>
  <si>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</si>
  <si>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</si>
  <si>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</si>
  <si>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</si>
  <si>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</si>
  <si>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</si>
  <si>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</si>
  <si>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</si>
  <si>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</si>
  <si>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</si>
  <si>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</si>
  <si>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</si>
  <si>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</si>
  <si>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</si>
  <si>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</si>
  <si>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</si>
  <si>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</si>
  <si>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</si>
  <si>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</si>
  <si>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</si>
  <si>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</si>
  <si>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</si>
  <si>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</si>
  <si>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</si>
  <si>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</si>
  <si>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</si>
  <si>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</si>
  <si>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</si>
  <si>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</si>
  <si>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</si>
  <si>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</si>
  <si>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</si>
  <si>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</si>
  <si>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</si>
  <si>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</si>
  <si>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</si>
  <si>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</si>
  <si>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</si>
  <si>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</si>
  <si>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</si>
  <si>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</si>
  <si>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</si>
  <si>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</si>
  <si>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</si>
  <si>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</si>
  <si>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</si>
  <si>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</si>
  <si>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</si>
  <si>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</si>
  <si>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</si>
  <si>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</si>
  <si>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</si>
  <si>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</si>
  <si>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</si>
  <si>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</si>
  <si>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</si>
  <si>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</si>
  <si>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</si>
  <si>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</si>
  <si>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</si>
  <si>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</si>
  <si>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</si>
  <si>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</si>
  <si>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</si>
  <si>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</si>
  <si>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</si>
  <si>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</si>
  <si>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</si>
  <si>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</si>
  <si>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</si>
  <si>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</si>
  <si>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</si>
  <si>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</si>
  <si>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</si>
  <si>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</si>
  <si>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</si>
  <si>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</si>
  <si>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</si>
  <si>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</si>
  <si>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</si>
  <si>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</si>
  <si>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</si>
  <si>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</si>
  <si>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</si>
  <si>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</si>
  <si>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</si>
  <si>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</si>
  <si>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</si>
  <si>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</si>
  <si>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</si>
  <si>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</si>
  <si>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</si>
  <si>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</si>
  <si>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</si>
  <si>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</si>
  <si>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</si>
  <si>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</si>
  <si>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</si>
  <si>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</si>
  <si>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</si>
  <si>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</si>
  <si>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</si>
  <si>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</si>
  <si>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</si>
  <si>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</si>
  <si>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</si>
  <si>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</si>
  <si>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</si>
  <si>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</si>
  <si>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</si>
  <si>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</si>
  <si>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</si>
  <si>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</si>
  <si>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</si>
  <si>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</si>
  <si>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</si>
  <si>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</si>
  <si>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</si>
  <si>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</si>
  <si>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</si>
  <si>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</si>
  <si>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</si>
  <si>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</si>
  <si>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</si>
  <si>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</si>
  <si>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</si>
  <si>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</si>
  <si>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</si>
  <si>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</si>
  <si>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</si>
  <si>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</si>
  <si>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</si>
  <si>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</si>
  <si>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</si>
  <si>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</si>
  <si>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</si>
  <si>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</si>
  <si>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</si>
  <si>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</si>
  <si>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</si>
  <si>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</si>
  <si>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</si>
  <si>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</si>
  <si>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</si>
  <si>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</si>
  <si>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</si>
  <si>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</si>
  <si>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</si>
  <si>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</si>
  <si>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</si>
  <si>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</si>
  <si>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</si>
  <si>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</si>
  <si>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</si>
  <si>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</si>
  <si>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</si>
  <si>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</si>
  <si>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</si>
  <si>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</si>
  <si>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</si>
  <si>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</si>
  <si>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</si>
  <si>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</si>
  <si>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</si>
  <si>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</si>
  <si>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</si>
  <si>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</si>
  <si>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</si>
  <si>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</si>
  <si>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</si>
  <si>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</si>
  <si>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</si>
  <si>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</si>
  <si>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</si>
  <si>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</si>
  <si>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</si>
  <si>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</si>
  <si>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</si>
  <si>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</si>
  <si>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</si>
  <si>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</si>
  <si>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</si>
  <si>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</si>
  <si>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</si>
  <si>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</si>
  <si>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</si>
  <si>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</si>
  <si>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</si>
  <si>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</si>
  <si>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</si>
  <si>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</si>
  <si>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</si>
  <si>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</si>
  <si>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</si>
  <si>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</si>
  <si>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</si>
  <si>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</si>
  <si>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</si>
  <si>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</si>
  <si>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</si>
  <si>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</si>
  <si>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</si>
  <si>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</si>
  <si>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</si>
  <si>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</si>
  <si>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</si>
  <si>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</si>
  <si>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</si>
  <si>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</si>
  <si>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</si>
  <si>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</si>
  <si>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</si>
  <si>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</si>
  <si>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</si>
  <si>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</si>
  <si>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</si>
  <si>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</si>
  <si>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</si>
  <si>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</si>
  <si>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</si>
  <si>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</si>
  <si>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</si>
  <si>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</si>
  <si>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30 ml</t>
  </si>
  <si>
    <t>DES, Калипсо/Calipso</t>
  </si>
  <si>
    <t>Совместно с д/кардиологом: с учетом клинических данных, ЭКГ и КАГ рекомендована ЧКВ бассейна ПКА.</t>
  </si>
  <si>
    <t>100 ml</t>
  </si>
  <si>
    <t>09:18</t>
  </si>
  <si>
    <t>Кошаева Ю.С.</t>
  </si>
  <si>
    <t>проходим, контуры ровные.</t>
  </si>
  <si>
    <r>
      <rPr>
        <sz val="12"/>
        <color theme="1"/>
        <rFont val="Arial Narrow"/>
        <family val="2"/>
        <charset val="204"/>
      </rPr>
      <t xml:space="preserve">проходим, контуры ровные.. Антеградный кровоток  TIMI III.              </t>
    </r>
    <r>
      <rPr>
        <sz val="11"/>
        <color theme="1"/>
        <rFont val="Arial Narrow"/>
        <family val="2"/>
        <charset val="204"/>
      </rPr>
      <t xml:space="preserve">             </t>
    </r>
  </si>
  <si>
    <t xml:space="preserve">проходим, контуры ровные.. Антеградный кровоток  TIMI III.              </t>
  </si>
  <si>
    <t>в зоне проксимального сегмента определяется пристеночный неоккюзирующий тромб, тромботическая дистальная эмболия ЗБВ1,2. Антеградный кровоток до дистальной эмболии  ПКА TIMI II.</t>
  </si>
  <si>
    <t>Устье ПКА катетеризировано проводниковым катетером Launcher JR  3.5 6Fr. Коронарный проводник Gaia First проведён в дистальный сегмент ПКА. С учётом тромбоза коронарной артерии с дистальной тромбоэмболии в ЗБВ принято решение в пользу к интраоперационному ведению блокаторов IIb/IIIa рецепторов тромбоцитов для оказания неотложной медицинской помощи - 1 флакон. Аспирационным катером Hunter удалось аспирировать пристеночный тромб из проксимального сегмента ПКА.   На контрольных съемках тромб проксимального сегмент не определяется, дистальная эмболия ЗБВ1,2 сохраняется. 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</si>
</sst>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2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4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8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70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3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" fillId="0" borderId="0" xfId="0" applyFont="1"/>
    <xf numFmtId="0" fontId="60" fillId="0" borderId="0" xfId="0" applyFont="1" applyAlignment="1" applyProtection="1">
      <alignment horizontal="justify" vertical="top" wrapText="1"/>
      <protection locked="0"/>
    </xf>
    <xf numFmtId="0" fontId="7" fillId="0" borderId="0" xfId="0" applyFont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1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2" fillId="0" borderId="11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72" fillId="0" borderId="13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  <xf numFmtId="0" fontId="54" fillId="0" borderId="11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54" fillId="0" borderId="3" xfId="0" applyFont="1" applyBorder="1" applyAlignment="1" applyProtection="1">
      <alignment horizontal="justify" vertical="top" wrapText="1"/>
      <protection locked="0"/>
    </xf>
    <xf numFmtId="0" fontId="54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K38" sqref="K3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4" t="s">
        <v>213</v>
      </c>
      <c r="B6" s="215"/>
      <c r="C6" s="215"/>
      <c r="D6" s="215"/>
      <c r="E6" s="215"/>
      <c r="F6" s="215"/>
      <c r="G6" s="215"/>
      <c r="H6" s="216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45431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0.25486111111111109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5" t="s">
        <v>527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>
      <c r="A12" s="81" t="s">
        <v>8</v>
      </c>
      <c r="B12" s="82">
        <v>30672</v>
      </c>
      <c r="C12" s="12"/>
      <c r="D12" s="95" t="s">
        <v>303</v>
      </c>
      <c r="E12" s="93"/>
      <c r="F12" s="93"/>
      <c r="G12" s="24" t="s">
        <v>369</v>
      </c>
      <c r="H12" s="26"/>
    </row>
    <row r="13" spans="1:8" ht="15.75">
      <c r="A13" s="15" t="s">
        <v>10</v>
      </c>
      <c r="B13" s="30">
        <f>DATEDIF(B12,B8,"y")</f>
        <v>40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14159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7" t="s">
        <v>400</v>
      </c>
      <c r="H15" s="171" t="s">
        <v>526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8" t="s">
        <v>403</v>
      </c>
      <c r="H16" s="166">
        <v>5660</v>
      </c>
    </row>
    <row r="17" spans="1:8" ht="14.45" customHeight="1">
      <c r="A17" s="40"/>
      <c r="B17" s="31"/>
      <c r="C17" s="31"/>
      <c r="D17" s="88"/>
      <c r="E17" s="88"/>
      <c r="F17" s="88"/>
      <c r="G17" s="169" t="s">
        <v>389</v>
      </c>
      <c r="H17" s="170">
        <f>H16*0.0019</f>
        <v>10.754</v>
      </c>
    </row>
    <row r="18" spans="1:8" ht="14.45" customHeight="1">
      <c r="A18" s="57" t="s">
        <v>188</v>
      </c>
      <c r="B18" s="87" t="s">
        <v>519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7" t="s">
        <v>528</v>
      </c>
      <c r="C20" s="218"/>
      <c r="D20" s="218"/>
      <c r="E20" s="218"/>
      <c r="F20" s="218"/>
      <c r="G20" s="218"/>
      <c r="H20" s="219"/>
    </row>
    <row r="21" spans="1:8">
      <c r="A21" s="58"/>
      <c r="B21" s="220"/>
      <c r="C21" s="220"/>
      <c r="D21" s="220"/>
      <c r="E21" s="220"/>
      <c r="F21" s="220"/>
      <c r="G21" s="220"/>
      <c r="H21" s="221"/>
    </row>
    <row r="22" spans="1:8" ht="15.6" customHeight="1">
      <c r="A22" s="59" t="s">
        <v>271</v>
      </c>
      <c r="B22" s="222" t="s">
        <v>529</v>
      </c>
      <c r="C22" s="222"/>
      <c r="D22" s="222"/>
      <c r="E22" s="222"/>
      <c r="F22" s="222"/>
      <c r="G22" s="222"/>
      <c r="H22" s="223"/>
    </row>
    <row r="23" spans="1:8" ht="14.45" customHeight="1">
      <c r="A23" s="38"/>
      <c r="B23" s="224"/>
      <c r="C23" s="224"/>
      <c r="D23" s="224"/>
      <c r="E23" s="224"/>
      <c r="F23" s="224"/>
      <c r="G23" s="224"/>
      <c r="H23" s="225"/>
    </row>
    <row r="24" spans="1:8" ht="14.45" customHeight="1">
      <c r="A24" s="60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38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40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59" t="s">
        <v>272</v>
      </c>
      <c r="B27" s="228" t="s">
        <v>530</v>
      </c>
      <c r="C27" s="228"/>
      <c r="D27" s="228"/>
      <c r="E27" s="228"/>
      <c r="F27" s="228"/>
      <c r="G27" s="228"/>
      <c r="H27" s="254"/>
    </row>
    <row r="28" spans="1:8" ht="15.6" customHeight="1">
      <c r="A28" s="38"/>
      <c r="B28" s="217"/>
      <c r="C28" s="217"/>
      <c r="D28" s="217"/>
      <c r="E28" s="217"/>
      <c r="F28" s="217"/>
      <c r="G28" s="217"/>
      <c r="H28" s="255"/>
    </row>
    <row r="29" spans="1:8" ht="14.45" customHeight="1">
      <c r="A29" s="38"/>
      <c r="B29" s="217"/>
      <c r="C29" s="217"/>
      <c r="D29" s="217"/>
      <c r="E29" s="217"/>
      <c r="F29" s="217"/>
      <c r="G29" s="217"/>
      <c r="H29" s="255"/>
    </row>
    <row r="30" spans="1:8" ht="14.45" customHeight="1">
      <c r="A30" s="32"/>
      <c r="B30" s="217"/>
      <c r="C30" s="217"/>
      <c r="D30" s="217"/>
      <c r="E30" s="217"/>
      <c r="F30" s="217"/>
      <c r="G30" s="217"/>
      <c r="H30" s="255"/>
    </row>
    <row r="31" spans="1:8" ht="14.45" customHeight="1">
      <c r="A31" s="33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59" t="s">
        <v>273</v>
      </c>
      <c r="B32" s="228" t="s">
        <v>531</v>
      </c>
      <c r="C32" s="229"/>
      <c r="D32" s="229"/>
      <c r="E32" s="229"/>
      <c r="F32" s="229"/>
      <c r="G32" s="229"/>
      <c r="H32" s="230"/>
    </row>
    <row r="33" spans="1:8" ht="14.45" customHeight="1">
      <c r="A33" s="38"/>
      <c r="B33" s="231"/>
      <c r="C33" s="231"/>
      <c r="D33" s="231"/>
      <c r="E33" s="231"/>
      <c r="F33" s="231"/>
      <c r="G33" s="231"/>
      <c r="H33" s="232"/>
    </row>
    <row r="34" spans="1:8" ht="15.6" customHeight="1">
      <c r="A34" s="38"/>
      <c r="B34" s="231"/>
      <c r="C34" s="231"/>
      <c r="D34" s="231"/>
      <c r="E34" s="231"/>
      <c r="F34" s="231"/>
      <c r="G34" s="231"/>
      <c r="H34" s="232"/>
    </row>
    <row r="35" spans="1:8" ht="14.45" customHeight="1">
      <c r="A35" s="38"/>
      <c r="B35" s="231"/>
      <c r="C35" s="231"/>
      <c r="D35" s="231"/>
      <c r="E35" s="231"/>
      <c r="F35" s="231"/>
      <c r="G35" s="231"/>
      <c r="H35" s="232"/>
    </row>
    <row r="36" spans="1:8" ht="15.6" customHeight="1">
      <c r="A36" s="38"/>
      <c r="B36" s="231"/>
      <c r="C36" s="231"/>
      <c r="D36" s="231"/>
      <c r="E36" s="231"/>
      <c r="F36" s="231"/>
      <c r="G36" s="231"/>
      <c r="H36" s="232"/>
    </row>
    <row r="37" spans="1:8" ht="14.45" customHeight="1">
      <c r="A37" s="38"/>
      <c r="D37" s="210" t="str">
        <f>IF($A$6=Вмешательства!$D$3,Вмешательства!$F$18,"")</f>
        <v/>
      </c>
      <c r="E37" s="210"/>
      <c r="F37" s="119"/>
      <c r="G37" s="119"/>
      <c r="H37" s="123"/>
    </row>
    <row r="38" spans="1:8" ht="14.45" customHeight="1">
      <c r="A38" s="38"/>
      <c r="C38" s="124"/>
      <c r="D38" s="211"/>
      <c r="E38" s="212"/>
      <c r="F38" s="212"/>
      <c r="G38" s="212"/>
      <c r="H38" s="213"/>
    </row>
    <row r="39" spans="1:8" ht="14.45" customHeight="1">
      <c r="A39" s="35"/>
      <c r="B39" s="119"/>
      <c r="C39" s="124"/>
      <c r="D39" s="212"/>
      <c r="E39" s="212"/>
      <c r="F39" s="212"/>
      <c r="G39" s="212"/>
      <c r="H39" s="213"/>
    </row>
    <row r="40" spans="1:8" ht="14.45" customHeight="1">
      <c r="A40" s="35"/>
      <c r="B40" s="119"/>
      <c r="C40" s="124"/>
      <c r="D40" s="212"/>
      <c r="E40" s="212"/>
      <c r="F40" s="212"/>
      <c r="G40" s="212"/>
      <c r="H40" s="213"/>
    </row>
    <row r="41" spans="1:8" ht="14.45" customHeight="1">
      <c r="A41" s="35"/>
      <c r="B41" s="119"/>
      <c r="C41" s="124"/>
      <c r="D41" s="212"/>
      <c r="E41" s="212"/>
      <c r="F41" s="212"/>
      <c r="G41" s="212"/>
      <c r="H41" s="213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7" t="s">
        <v>524</v>
      </c>
      <c r="E43" s="208"/>
      <c r="F43" s="208"/>
      <c r="G43" s="208"/>
      <c r="H43" s="209"/>
    </row>
    <row r="44" spans="1:8" ht="14.45" customHeight="1">
      <c r="A44" s="35"/>
      <c r="B44" s="119"/>
      <c r="C44" s="126"/>
      <c r="D44" s="208"/>
      <c r="E44" s="208"/>
      <c r="F44" s="208"/>
      <c r="G44" s="208"/>
      <c r="H44" s="209"/>
    </row>
    <row r="45" spans="1:8" ht="14.45" customHeight="1">
      <c r="A45" s="35"/>
      <c r="B45" s="119"/>
      <c r="C45" s="126"/>
      <c r="D45" s="208"/>
      <c r="E45" s="208"/>
      <c r="F45" s="208"/>
      <c r="G45" s="208"/>
      <c r="H45" s="209"/>
    </row>
    <row r="46" spans="1:8">
      <c r="A46" s="35"/>
      <c r="B46" s="119"/>
      <c r="C46" s="126"/>
      <c r="D46" s="208"/>
      <c r="E46" s="208"/>
      <c r="F46" s="208"/>
      <c r="G46" s="208"/>
      <c r="H46" s="209"/>
    </row>
    <row r="47" spans="1:8">
      <c r="A47" s="38"/>
      <c r="C47" s="126"/>
      <c r="D47" s="208"/>
      <c r="E47" s="208"/>
      <c r="F47" s="208"/>
      <c r="G47" s="208"/>
      <c r="H47" s="209"/>
    </row>
    <row r="48" spans="1:8">
      <c r="A48" s="38"/>
      <c r="C48" s="126"/>
      <c r="D48" s="208"/>
      <c r="E48" s="208"/>
      <c r="F48" s="208"/>
      <c r="G48" s="208"/>
      <c r="H48" s="209"/>
    </row>
    <row r="49" spans="1:13">
      <c r="A49" s="40"/>
      <c r="B49" s="31"/>
      <c r="C49" s="127"/>
      <c r="D49" s="208"/>
      <c r="E49" s="208"/>
      <c r="F49" s="208"/>
      <c r="G49" s="208"/>
      <c r="H49" s="209"/>
    </row>
    <row r="50" spans="1:13">
      <c r="A50" s="38"/>
      <c r="D50" s="208"/>
      <c r="E50" s="208"/>
      <c r="F50" s="208"/>
      <c r="G50" s="208"/>
      <c r="H50" s="209"/>
      <c r="M50" t="s">
        <v>211</v>
      </c>
    </row>
    <row r="51" spans="1:13">
      <c r="A51" s="62" t="s">
        <v>199</v>
      </c>
      <c r="B51" s="63" t="s">
        <v>387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L31" sqref="L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3" t="s">
        <v>132</v>
      </c>
      <c r="B6" s="244"/>
      <c r="C6" s="244"/>
      <c r="D6" s="244"/>
      <c r="E6" s="244"/>
      <c r="F6" s="244"/>
      <c r="G6" s="244"/>
      <c r="H6" s="245"/>
    </row>
    <row r="7" spans="1:8" ht="21.6" customHeight="1">
      <c r="A7" s="243"/>
      <c r="B7" s="244"/>
      <c r="C7" s="244"/>
      <c r="D7" s="244"/>
      <c r="E7" s="244"/>
      <c r="F7" s="244"/>
      <c r="G7" s="244"/>
      <c r="H7" s="24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A16.12.003</v>
      </c>
      <c r="C8" s="242" t="s">
        <v>216</v>
      </c>
      <c r="D8" s="242"/>
      <c r="E8" s="242"/>
      <c r="F8" s="192"/>
      <c r="G8" s="118"/>
      <c r="H8" s="160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2"/>
      <c r="D9" s="242"/>
      <c r="E9" s="242"/>
      <c r="F9" s="192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1"/>
      <c r="C10" s="246"/>
      <c r="D10" s="246"/>
      <c r="E10" s="246"/>
      <c r="F10" s="195"/>
      <c r="G10" s="118"/>
      <c r="H10" s="39"/>
    </row>
    <row r="11" spans="1:8">
      <c r="A11" s="194"/>
      <c r="B11" s="198"/>
      <c r="C11" s="201">
        <f>SUM(F8:F10)</f>
        <v>0</v>
      </c>
      <c r="H11" s="39"/>
    </row>
    <row r="12" spans="1:8" ht="18.75">
      <c r="A12" s="75" t="s">
        <v>191</v>
      </c>
      <c r="B12" s="20">
        <f>КАГ!B8</f>
        <v>45431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0.25486111111111109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0.2986111111111111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5" t="s">
        <v>388</v>
      </c>
      <c r="B15" s="190">
        <f>IF(B14&lt;B13,B14+1,B14)-B13</f>
        <v>4.3750000000000011E-2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Кошаева Ю.С.</v>
      </c>
      <c r="C16" s="202">
        <f>LEN(КАГ!B11)</f>
        <v>12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30672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40</v>
      </c>
      <c r="H18" s="39"/>
    </row>
    <row r="19" spans="1:8" ht="14.45" customHeight="1">
      <c r="A19" s="15" t="s">
        <v>12</v>
      </c>
      <c r="B19" s="68">
        <f>КАГ!B14</f>
        <v>14159</v>
      </c>
      <c r="C19" s="69"/>
      <c r="D19" s="69"/>
      <c r="E19" s="69"/>
      <c r="F19" s="69"/>
      <c r="G19" s="167" t="s">
        <v>400</v>
      </c>
      <c r="H19" s="182" t="str">
        <f>КАГ!H15</f>
        <v>09:18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8" t="s">
        <v>403</v>
      </c>
      <c r="H20" s="183">
        <f>КАГ!H16</f>
        <v>5660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9" t="s">
        <v>389</v>
      </c>
      <c r="H21" s="170">
        <f>КАГ!H17</f>
        <v>10.754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6" t="str">
        <f>IF(B21=Вмешательства!F3,Вмешательства!F19,"")</f>
        <v>Реканализация:</v>
      </c>
      <c r="H22" s="187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0.2583333333333333</v>
      </c>
    </row>
    <row r="23" spans="1:8" ht="14.45" customHeight="1">
      <c r="A23" s="65" t="s">
        <v>392</v>
      </c>
      <c r="B23" s="174" t="s">
        <v>391</v>
      </c>
      <c r="C23" s="164"/>
      <c r="D23" s="164"/>
      <c r="E23" s="164"/>
      <c r="F23" s="164"/>
      <c r="H23" s="39"/>
    </row>
    <row r="24" spans="1:8" ht="14.45" customHeight="1">
      <c r="A24" s="185" t="s">
        <v>390</v>
      </c>
      <c r="B24" s="172"/>
      <c r="C24" s="172"/>
      <c r="D24" s="172"/>
      <c r="E24" s="172"/>
      <c r="F24" s="172"/>
      <c r="G24" s="172"/>
      <c r="H24" s="173"/>
    </row>
    <row r="25" spans="1:8" ht="14.45" customHeight="1">
      <c r="A25" s="250" t="s">
        <v>532</v>
      </c>
      <c r="B25" s="251"/>
      <c r="C25" s="251"/>
      <c r="D25" s="251"/>
      <c r="E25" s="251"/>
      <c r="F25" s="251"/>
      <c r="G25" s="251"/>
      <c r="H25" s="252"/>
    </row>
    <row r="26" spans="1:8" ht="14.45" customHeight="1">
      <c r="A26" s="253"/>
      <c r="B26" s="251"/>
      <c r="C26" s="251"/>
      <c r="D26" s="251"/>
      <c r="E26" s="251"/>
      <c r="F26" s="251"/>
      <c r="G26" s="251"/>
      <c r="H26" s="252"/>
    </row>
    <row r="27" spans="1:8" ht="14.45" customHeight="1">
      <c r="A27" s="253"/>
      <c r="B27" s="251"/>
      <c r="C27" s="251"/>
      <c r="D27" s="251"/>
      <c r="E27" s="251"/>
      <c r="F27" s="251"/>
      <c r="G27" s="251"/>
      <c r="H27" s="252"/>
    </row>
    <row r="28" spans="1:8" ht="14.45" customHeight="1">
      <c r="A28" s="253"/>
      <c r="B28" s="251"/>
      <c r="C28" s="251"/>
      <c r="D28" s="251"/>
      <c r="E28" s="251"/>
      <c r="F28" s="251"/>
      <c r="G28" s="251"/>
      <c r="H28" s="252"/>
    </row>
    <row r="29" spans="1:8" ht="14.45" customHeight="1">
      <c r="A29" s="253"/>
      <c r="B29" s="251"/>
      <c r="C29" s="251"/>
      <c r="D29" s="251"/>
      <c r="E29" s="251"/>
      <c r="F29" s="251"/>
      <c r="G29" s="251"/>
      <c r="H29" s="252"/>
    </row>
    <row r="30" spans="1:8" ht="14.45" customHeight="1">
      <c r="A30" s="253"/>
      <c r="B30" s="251"/>
      <c r="C30" s="251"/>
      <c r="D30" s="251"/>
      <c r="E30" s="251"/>
      <c r="F30" s="251"/>
      <c r="G30" s="251"/>
      <c r="H30" s="252"/>
    </row>
    <row r="31" spans="1:8" ht="14.45" customHeight="1">
      <c r="A31" s="253"/>
      <c r="B31" s="251"/>
      <c r="C31" s="251"/>
      <c r="D31" s="251"/>
      <c r="E31" s="251"/>
      <c r="F31" s="251"/>
      <c r="G31" s="251"/>
      <c r="H31" s="252"/>
    </row>
    <row r="32" spans="1:8" ht="14.45" customHeight="1">
      <c r="A32" s="253"/>
      <c r="B32" s="251"/>
      <c r="C32" s="251"/>
      <c r="D32" s="251"/>
      <c r="E32" s="251"/>
      <c r="F32" s="251"/>
      <c r="G32" s="251"/>
      <c r="H32" s="252"/>
    </row>
    <row r="33" spans="1:12" ht="14.45" customHeight="1">
      <c r="A33" s="253"/>
      <c r="B33" s="251"/>
      <c r="C33" s="251"/>
      <c r="D33" s="251"/>
      <c r="E33" s="251"/>
      <c r="F33" s="251"/>
      <c r="G33" s="251"/>
      <c r="H33" s="252"/>
    </row>
    <row r="34" spans="1:12" ht="14.45" customHeight="1">
      <c r="A34" s="253"/>
      <c r="B34" s="251"/>
      <c r="C34" s="251"/>
      <c r="D34" s="251"/>
      <c r="E34" s="251"/>
      <c r="F34" s="251"/>
      <c r="G34" s="251"/>
      <c r="H34" s="252"/>
    </row>
    <row r="35" spans="1:12" ht="14.45" customHeight="1">
      <c r="A35" s="253"/>
      <c r="B35" s="251"/>
      <c r="C35" s="251"/>
      <c r="D35" s="251"/>
      <c r="E35" s="251"/>
      <c r="F35" s="251"/>
      <c r="G35" s="251"/>
      <c r="H35" s="252"/>
    </row>
    <row r="36" spans="1:12" ht="14.45" customHeight="1">
      <c r="A36" s="253"/>
      <c r="B36" s="251"/>
      <c r="C36" s="251"/>
      <c r="D36" s="251"/>
      <c r="E36" s="251"/>
      <c r="F36" s="251"/>
      <c r="G36" s="251"/>
      <c r="H36" s="252"/>
    </row>
    <row r="37" spans="1:12" ht="14.45" customHeight="1">
      <c r="A37" s="253"/>
      <c r="B37" s="251"/>
      <c r="C37" s="251"/>
      <c r="D37" s="251"/>
      <c r="E37" s="251"/>
      <c r="F37" s="251"/>
      <c r="G37" s="251"/>
      <c r="H37" s="252"/>
    </row>
    <row r="38" spans="1:12" ht="14.45" customHeight="1">
      <c r="A38" s="179" t="s">
        <v>396</v>
      </c>
      <c r="B38" s="177"/>
      <c r="C38" s="178"/>
      <c r="D38" s="178"/>
      <c r="E38" s="188" t="str">
        <f>IF(A6=Вмешательства!D4,Вмешательства!V16,IF(ЧКВ!A6=Вмешательства!D36,Вмешательства!V16,"-----"))</f>
        <v>-----</v>
      </c>
      <c r="F38" s="178"/>
      <c r="G38" s="181"/>
    </row>
    <row r="39" spans="1:12" ht="15.75">
      <c r="A39" s="175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6" t="s">
        <v>394</v>
      </c>
      <c r="B40" s="180" t="s">
        <v>522</v>
      </c>
      <c r="C40" s="120"/>
      <c r="D40" s="247" t="s">
        <v>401</v>
      </c>
      <c r="E40" s="248"/>
      <c r="F40" s="248"/>
      <c r="G40" s="248"/>
      <c r="H40" s="249"/>
    </row>
    <row r="41" spans="1:12" ht="14.45" customHeight="1">
      <c r="A41" s="32"/>
      <c r="B41" s="28"/>
      <c r="C41" s="120"/>
      <c r="D41" s="248"/>
      <c r="E41" s="248"/>
      <c r="F41" s="248"/>
      <c r="G41" s="248"/>
      <c r="H41" s="249"/>
    </row>
    <row r="42" spans="1:12" ht="14.45" customHeight="1">
      <c r="A42" s="32"/>
      <c r="B42" s="28"/>
      <c r="C42" s="120"/>
      <c r="D42" s="248"/>
      <c r="E42" s="248"/>
      <c r="F42" s="248"/>
      <c r="G42" s="248"/>
      <c r="H42" s="249"/>
    </row>
    <row r="43" spans="1:12" ht="14.45" customHeight="1">
      <c r="A43" s="32"/>
      <c r="B43" s="28"/>
      <c r="C43" s="120"/>
      <c r="D43" s="248"/>
      <c r="E43" s="248"/>
      <c r="F43" s="248"/>
      <c r="G43" s="248"/>
      <c r="H43" s="249"/>
    </row>
    <row r="44" spans="1:12" ht="14.45" customHeight="1">
      <c r="A44" s="32"/>
      <c r="B44" s="28"/>
      <c r="C44" s="120"/>
      <c r="D44" s="248"/>
      <c r="E44" s="248"/>
      <c r="F44" s="248"/>
      <c r="G44" s="248"/>
      <c r="H44" s="249"/>
      <c r="L44" s="162"/>
    </row>
    <row r="45" spans="1:12" ht="14.45" customHeight="1">
      <c r="A45" s="32"/>
      <c r="B45" s="28"/>
      <c r="C45" s="120"/>
      <c r="D45" s="248"/>
      <c r="E45" s="248"/>
      <c r="F45" s="248"/>
      <c r="G45" s="248"/>
      <c r="H45" s="249"/>
    </row>
    <row r="46" spans="1:12" ht="14.45" customHeight="1">
      <c r="A46" s="32"/>
      <c r="B46" s="28"/>
      <c r="C46" s="120"/>
      <c r="D46" s="248"/>
      <c r="E46" s="248"/>
      <c r="F46" s="248"/>
      <c r="G46" s="248"/>
      <c r="H46" s="249"/>
    </row>
    <row r="47" spans="1:12" ht="14.45" customHeight="1">
      <c r="A47" s="38"/>
      <c r="C47" s="120"/>
      <c r="D47" s="248"/>
      <c r="E47" s="248"/>
      <c r="F47" s="248"/>
      <c r="G47" s="248"/>
      <c r="H47" s="249"/>
    </row>
    <row r="48" spans="1:12" ht="14.45" customHeight="1">
      <c r="A48" s="38"/>
      <c r="C48" s="120"/>
      <c r="D48" s="248"/>
      <c r="E48" s="248"/>
      <c r="F48" s="248"/>
      <c r="G48" s="248"/>
      <c r="H48" s="249"/>
    </row>
    <row r="49" spans="1:8" ht="14.45" customHeight="1">
      <c r="A49" s="38"/>
      <c r="C49" s="120"/>
      <c r="D49" s="248"/>
      <c r="E49" s="248"/>
      <c r="F49" s="248"/>
      <c r="G49" s="248"/>
      <c r="H49" s="249"/>
    </row>
    <row r="50" spans="1:8">
      <c r="A50" s="62" t="s">
        <v>199</v>
      </c>
      <c r="B50" s="63" t="s">
        <v>525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3" t="s">
        <v>371</v>
      </c>
      <c r="B52" s="234"/>
      <c r="C52" s="234"/>
      <c r="D52" s="234"/>
      <c r="E52" s="234"/>
      <c r="F52" s="235"/>
      <c r="H52" s="39"/>
    </row>
    <row r="53" spans="1:8" ht="15" customHeight="1">
      <c r="A53" s="236"/>
      <c r="B53" s="237"/>
      <c r="C53" s="237"/>
      <c r="D53" s="237"/>
      <c r="E53" s="237"/>
      <c r="F53" s="238"/>
      <c r="G53" s="74" t="str">
        <f>IF(ISBLANK(H13),"",H13)</f>
        <v/>
      </c>
      <c r="H53" s="64"/>
    </row>
    <row r="54" spans="1:8">
      <c r="A54" s="239"/>
      <c r="B54" s="240"/>
      <c r="C54" s="240"/>
      <c r="D54" s="240"/>
      <c r="E54" s="240"/>
      <c r="F54" s="241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3" sqref="J13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45431</v>
      </c>
      <c r="C2" s="154" t="str">
        <f>IF(ЧКВ!A6=Вмешательства!D4,Вмешательства!F20,IF(ЧКВ!A6=Вмешательства!D36,Вмешательства!F20,Вмешательства!F22))</f>
        <v>ОМС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Кошаева Ю.С.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30672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A16.12.003</v>
      </c>
      <c r="B6" s="135" t="str">
        <f>ЧКВ!A6</f>
        <v>Устранение тромба коронарной артерии. Тромбаспирация.</v>
      </c>
      <c r="C6" s="132" t="s">
        <v>10</v>
      </c>
      <c r="D6" s="103">
        <f>DATEDIF(D5,D10,"y")</f>
        <v>40</v>
      </c>
    </row>
    <row r="7" spans="1:4">
      <c r="A7" s="38"/>
      <c r="C7" s="101" t="s">
        <v>12</v>
      </c>
      <c r="D7" s="103">
        <f>КАГ!$B$14</f>
        <v>14159</v>
      </c>
    </row>
    <row r="8" spans="1:4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 xml:space="preserve">Код метода:  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2" t="s">
        <v>13</v>
      </c>
      <c r="D10" s="153">
        <f>КАГ!$B$8</f>
        <v>45431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5" t="s">
        <v>306</v>
      </c>
      <c r="C13" s="189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6" t="s">
        <v>515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6" t="s">
        <v>310</v>
      </c>
      <c r="C16" s="136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6"/>
      <c r="C17" s="136"/>
      <c r="D17" s="141"/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6"/>
      <c r="C19" s="184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7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6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6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6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6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8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7" zoomScaleNormal="100" workbookViewId="0">
      <selection activeCell="C53" sqref="C5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1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1</v>
      </c>
      <c r="I2" s="116">
        <f>IF(ISNUMBER(SEARCH('Карта учёта'!$B$17,Расходка[[#This Row],[Наименование расходного материала]])),MAX($I$1:I1)+1,0)</f>
        <v>1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Asahi Gaia First</v>
      </c>
      <c r="U2" s="115" t="str">
        <f>IFERROR(INDEX(Расходка[Наименование расходного материала],MATCH(Расходка[[#This Row],[№]],Поиск_расходки[Индекс4],0)),"")</f>
        <v>Hunter® 6F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1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2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1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3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1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4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1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5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1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6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1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7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1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8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1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9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1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10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1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518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11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91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12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13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91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14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15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16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17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18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19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20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511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21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513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22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23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Индефлятор</v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24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25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26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</v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27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Fielder XT-A</v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28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Fielder XT-R</v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515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1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29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Asahi Gaia First</v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516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30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Asahi Gaia Second</v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517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31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Asahi Gaia Third</v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32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Intuition</v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33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34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35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36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Rinato</v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353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37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38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359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39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40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</v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41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Sion Black</v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42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Sion Blue</v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43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Thunder</v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44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Whisper MS</v>
      </c>
      <c r="W45" s="115" t="str">
        <f>IFERROR(INDEX(Расходка[Наименование расходного материала],MATCH(Расходка[[#This Row],[№]],Поиск_расходки[Индекс6],0)),"")</f>
        <v>Whisper MS</v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45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Winn 200T</v>
      </c>
      <c r="W46" s="115" t="str">
        <f>IFERROR(INDEX(Расходка[Наименование расходного материала],MATCH(Расходка[[#This Row],[№]],Поиск_расходки[Индекс6],0)),"")</f>
        <v>Winn 200T</v>
      </c>
      <c r="X46" s="115" t="str">
        <f>IFERROR(INDEX(Расходка[Наименование расходного материала],MATCH(Расходка[[#This Row],[№]],Поиск_расходки[Индекс7],0)),"")</f>
        <v>Winn 200T</v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46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514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47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48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512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49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0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0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" t="s">
        <v>278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50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BMS, Integtity</v>
      </c>
      <c r="W51" s="115" t="str">
        <f>IFERROR(INDEX(Расходка[Наименование расходного материала],MATCH(Расходка[[#This Row],[№]],Поиск_расходки[Индекс6],0)),"")</f>
        <v>BMS, Integtity</v>
      </c>
      <c r="X51" s="115" t="str">
        <f>IFERROR(INDEX(Расходка[Наименование расходного материала],MATCH(Расходка[[#This Row],[№]],Поиск_расходки[Индекс7],0)),"")</f>
        <v>BMS, Integtity</v>
      </c>
      <c r="Y51" s="115" t="str">
        <f>IFERROR(INDEX(Расходка[Наименование расходного материала],MATCH(Расходка[[#This Row],[№]],Поиск_расходки[Индекс8],0)),"")</f>
        <v>BMS, Integtity</v>
      </c>
      <c r="Z51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1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1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206" t="s">
        <v>523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51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Калипсо/Calipso</v>
      </c>
      <c r="W52" s="115" t="str">
        <f>IFERROR(INDEX(Расходка[Наименование расходного материала],MATCH(Расходка[[#This Row],[№]],Поиск_расходки[Индекс6],0)),"")</f>
        <v>DES, Калипсо/Calipso</v>
      </c>
      <c r="X52" s="115" t="str">
        <f>IFERROR(INDEX(Расходка[Наименование расходного материала],MATCH(Расходка[[#This Row],[№]],Поиск_расходки[Индекс7],0)),"")</f>
        <v>DES, Калипсо/Calipso</v>
      </c>
      <c r="Y52" s="115" t="str">
        <f>IFERROR(INDEX(Расходка[Наименование расходного материала],MATCH(Расходка[[#This Row],[№]],Поиск_расходки[Индекс8],0)),"")</f>
        <v>DES, Калипсо/Calipso</v>
      </c>
      <c r="Z52" s="115" t="str">
        <f>IFERROR(INDEX(Расходка[Наименование расходного материала],MATCH(Расходка[[#This Row],[№]],Поиск_расходки[Индекс9],0)),"")</f>
        <v>DES, Калипсо/Calipso</v>
      </c>
      <c r="AA52" s="115" t="str">
        <f>IFERROR(INDEX(Расходка[Наименование расходного материала],MATCH(Расходка[[#This Row],[№]],Поиск_расходки[Индекс10],0)),"")</f>
        <v>DES, Калипсо/Calipso</v>
      </c>
      <c r="AB52" s="115" t="str">
        <f>IFERROR(INDEX(Расходка[Наименование расходного материала],MATCH(Расходка[[#This Row],[№]],Поиск_расходки[Индекс11],0)),"")</f>
        <v>DES, Калипсо/Calipso</v>
      </c>
      <c r="AC52" s="115" t="str">
        <f>IFERROR(INDEX(Расходка[Наименование расходного материала],MATCH(Расходка[[#This Row],[№]],Поиск_расходки[Индекс12],0)),"")</f>
        <v>DES, Калипсо/Calipso</v>
      </c>
      <c r="AD52" s="115" t="str">
        <f>IFERROR(INDEX(Расходка[Наименование расходного материала],MATCH(Расходка[[#This Row],[№]],Поиск_расходки[Индекс13],0)),"")</f>
        <v>DES, Калипсо/Calipso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59" t="s">
        <v>345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52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NanoMed</v>
      </c>
      <c r="W53" s="115" t="str">
        <f>IFERROR(INDEX(Расходка[Наименование расходного материала],MATCH(Расходка[[#This Row],[№]],Поиск_расходки[Индекс6],0)),"")</f>
        <v>DES, NanoMed</v>
      </c>
      <c r="X53" s="115" t="str">
        <f>IFERROR(INDEX(Расходка[Наименование расходного материала],MATCH(Расходка[[#This Row],[№]],Поиск_расходки[Индекс7],0)),"")</f>
        <v>DES, NanoMed</v>
      </c>
      <c r="Y53" s="115" t="str">
        <f>IFERROR(INDEX(Расходка[Наименование расходного материала],MATCH(Расходка[[#This Row],[№]],Поиск_расходки[Индекс8],0)),"")</f>
        <v>DES, NanoMed</v>
      </c>
      <c r="Z53" s="115" t="str">
        <f>IFERROR(INDEX(Расходка[Наименование расходного материала],MATCH(Расходка[[#This Row],[№]],Поиск_расходки[Индекс9],0)),"")</f>
        <v>DES, NanoMed</v>
      </c>
      <c r="AA53" s="115" t="str">
        <f>IFERROR(INDEX(Расходка[Наименование расходного материала],MATCH(Расходка[[#This Row],[№]],Поиск_расходки[Индекс10],0)),"")</f>
        <v>DES, NanoMed</v>
      </c>
      <c r="AB53" s="115" t="str">
        <f>IFERROR(INDEX(Расходка[Наименование расходного материала],MATCH(Расходка[[#This Row],[№]],Поиск_расходки[Индекс11],0)),"")</f>
        <v>DES, NanoMed</v>
      </c>
      <c r="AC53" s="115" t="str">
        <f>IFERROR(INDEX(Расходка[Наименование расходного материала],MATCH(Расходка[[#This Row],[№]],Поиск_расходки[Индекс12],0)),"")</f>
        <v>DES, NanoMed</v>
      </c>
      <c r="AD53" s="115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31" t="s">
        <v>324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53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4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4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357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54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5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5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5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5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5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5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s="163" t="s">
        <v>386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55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Firehawk</v>
      </c>
      <c r="W56" s="115" t="str">
        <f>IFERROR(INDEX(Расходка[Наименование расходного материала],MATCH(Расходка[[#This Row],[№]],Поиск_расходки[Индекс6],0)),"")</f>
        <v>DES, Firehawk</v>
      </c>
      <c r="X56" s="115" t="str">
        <f>IFERROR(INDEX(Расходка[Наименование расходного материала],MATCH(Расходка[[#This Row],[№]],Поиск_расходки[Индекс7],0)),"")</f>
        <v>DES, Firehawk</v>
      </c>
      <c r="Y56" s="115" t="str">
        <f>IFERROR(INDEX(Расходка[Наименование расходного материала],MATCH(Расходка[[#This Row],[№]],Поиск_расходки[Индекс8],0)),"")</f>
        <v>DES, Firehawk</v>
      </c>
      <c r="Z56" s="115" t="str">
        <f>IFERROR(INDEX(Расходка[Наименование расходного материала],MATCH(Расходка[[#This Row],[№]],Поиск_расходки[Индекс9],0)),"")</f>
        <v>DES, Firehawk</v>
      </c>
      <c r="AA56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6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t="s">
        <v>385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56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7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7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7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325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57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8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8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8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454</v>
      </c>
    </row>
    <row r="59" spans="1:33">
      <c r="A59">
        <v>58</v>
      </c>
      <c r="B59" t="s">
        <v>95</v>
      </c>
      <c r="C59" s="1" t="s">
        <v>344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58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9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9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9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350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59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0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351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60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1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1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1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61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2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62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3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63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4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329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64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335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65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1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66</v>
      </c>
      <c r="J67" s="199">
        <f>IF(ISNUMBER(SEARCH('Карта учёта'!$B$18,Расходка[[#This Row],[Наименование расходного материала]])),MAX($J$1:J66)+1,0)</f>
        <v>66</v>
      </c>
      <c r="K67" s="199">
        <f>IF(ISNUMBER(SEARCH('Карта учёта'!$B$19,Расходка[[#This Row],[Наименование расходного материала]])),MAX($K$1:K66)+1,0)</f>
        <v>66</v>
      </c>
      <c r="L67" s="199">
        <f>IF(ISNUMBER(SEARCH('Карта учёта'!$B$20,Расходка[[#This Row],[Наименование расходного материала]])),MAX($L$1:L66)+1,0)</f>
        <v>66</v>
      </c>
      <c r="M67" s="199">
        <f>IF(ISNUMBER(SEARCH('Карта учёта'!$B$21,Расходка[[#This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200" t="str">
        <f>IFERROR(INDEX(Расходка[Наименование расходного материала],MATCH(Расходка[[#This Row],[№]],Поиск_расходки[Индекс7],0)),"")</f>
        <v>Launcher 6F JR 3.5</v>
      </c>
      <c r="Y67" s="200" t="str">
        <f>IFERROR(INDEX(Расходка[Наименование расходного материала],MATCH(Расходка[[#This Row],[№]],Поиск_расходки[Индекс8],0)),"")</f>
        <v>Launcher 6F JR 3.5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67</v>
      </c>
      <c r="J68" s="199">
        <f>IF(ISNUMBER(SEARCH('Карта учёта'!$B$18,Расходка[[#This Row],[Наименование расходного материала]])),MAX($J$1:J67)+1,0)</f>
        <v>67</v>
      </c>
      <c r="K68" s="199">
        <f>IF(ISNUMBER(SEARCH('Карта учёта'!$B$19,Расходка[[#This Row],[Наименование расходного материала]])),MAX($K$1:K67)+1,0)</f>
        <v>67</v>
      </c>
      <c r="L68" s="199">
        <f>IF(ISNUMBER(SEARCH('Карта учёта'!$B$20,Расходка[[#This Row],[Наименование расходного материала]])),MAX($L$1:L67)+1,0)</f>
        <v>67</v>
      </c>
      <c r="M68" s="199">
        <f>IF(ISNUMBER(SEARCH('Карта учёта'!$B$21,Расходка[[#This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8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8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341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68</v>
      </c>
      <c r="J69" s="199">
        <f>IF(ISNUMBER(SEARCH('Карта учёта'!$B$18,Расходка[[#This Row],[Наименование расходного материала]])),MAX($J$1:J68)+1,0)</f>
        <v>68</v>
      </c>
      <c r="K69" s="199">
        <f>IF(ISNUMBER(SEARCH('Карта учёта'!$B$19,Расходка[[#This Row],[Наименование расходного материала]])),MAX($K$1:K68)+1,0)</f>
        <v>68</v>
      </c>
      <c r="L69" s="199">
        <f>IF(ISNUMBER(SEARCH('Карта учёта'!$B$20,Расходка[[#This Row],[Наименование расходного материала]])),MAX($L$1:L68)+1,0)</f>
        <v>68</v>
      </c>
      <c r="M69" s="199">
        <f>IF(ISNUMBER(SEARCH('Карта учёта'!$B$21,Расходка[[#This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69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340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69</v>
      </c>
      <c r="J70" s="199">
        <f>IF(ISNUMBER(SEARCH('Карта учёта'!$B$18,Расходка[[#This Row],[Наименование расходного материала]])),MAX($J$1:J69)+1,0)</f>
        <v>69</v>
      </c>
      <c r="K70" s="199">
        <f>IF(ISNUMBER(SEARCH('Карта учёта'!$B$19,Расходка[[#This Row],[Наименование расходного материала]])),MAX($K$1:K69)+1,0)</f>
        <v>69</v>
      </c>
      <c r="L70" s="199">
        <f>IF(ISNUMBER(SEARCH('Карта учёта'!$B$20,Расходка[[#This Row],[Наименование расходного материала]])),MAX($L$1:L69)+1,0)</f>
        <v>69</v>
      </c>
      <c r="M70" s="199">
        <f>IF(ISNUMBER(SEARCH('Карта учёта'!$B$21,Расходка[[#This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70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70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332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учёта'!$B$17,Расходка[[#This Row],[Наименование расходного материала]])),MAX($I$1:I70)+1,0)</f>
        <v>70</v>
      </c>
      <c r="J71" s="199">
        <f>IF(ISNUMBER(SEARCH('Карта учёта'!$B$18,Расходка[[#This Row],[Наименование расходного материала]])),MAX($J$1:J70)+1,0)</f>
        <v>70</v>
      </c>
      <c r="K71" s="199">
        <f>IF(ISNUMBER(SEARCH('Карта учёта'!$B$19,Расходка[[#This Row],[Наименование расходного материала]])),MAX($K$1:K70)+1,0)</f>
        <v>70</v>
      </c>
      <c r="L71" s="199">
        <f>IF(ISNUMBER(SEARCH('Карта учёта'!$B$20,Расходка[[#This Row],[Наименование расходного материала]])),MAX($L$1:L70)+1,0)</f>
        <v>70</v>
      </c>
      <c r="M71" s="199">
        <f>IF(ISNUMBER(SEARCH('Карта учёта'!$B$21,Расходка[[#This Row],[Наименование расходного материала]])),MAX($M$1:M70)+1,0)</f>
        <v>70</v>
      </c>
      <c r="N71" s="199">
        <f>IF(ISNUMBER(SEARCH('Карта учёта'!$B$22,Расходка[[#This Row],[Наименование расходного материала]])),MAX($N$1:N70)+1,0)</f>
        <v>70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1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1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учёта'!$B$17,Расходка[[#This Row],[Наименование расходного материала]])),MAX($I$1:I71)+1,0)</f>
        <v>0</v>
      </c>
      <c r="J72" s="199">
        <f>IF(ISNUMBER(SEARCH('Карта учёта'!$B$18,Расходка[[#This Row],[Наименование расходного материала]])),MAX($J$1:J71)+1,0)</f>
        <v>0</v>
      </c>
      <c r="K72" s="199">
        <f>IF(ISNUMBER(SEARCH('Карта учёта'!$B$19,Расходка[[#This Row],[Наименование расходного материала]])),MAX($K$1:K71)+1,0)</f>
        <v>0</v>
      </c>
      <c r="L72" s="199">
        <f>IF(ISNUMBER(SEARCH('Карта учёта'!$B$20,Расходка[[#This Row],[Наименование расходного материала]])),MAX($L$1:L71)+1,0)</f>
        <v>0</v>
      </c>
      <c r="M72" s="199">
        <f>IF(ISNUMBER(SEARCH('Карта учёта'!$B$21,Расходка[[#This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учёта'!$B$17,Расходка[[#This Row],[Наименование расходного материала]])),MAX($I$1:I72)+1,0)</f>
        <v>0</v>
      </c>
      <c r="J73" s="199">
        <f>IF(ISNUMBER(SEARCH('Карта учёта'!$B$18,Расходка[[#This Row],[Наименование расходного материала]])),MAX($J$1:J72)+1,0)</f>
        <v>0</v>
      </c>
      <c r="K73" s="199">
        <f>IF(ISNUMBER(SEARCH('Карта учёта'!$B$19,Расходка[[#This Row],[Наименование расходного материала]])),MAX($K$1:K72)+1,0)</f>
        <v>0</v>
      </c>
      <c r="L73" s="199">
        <f>IF(ISNUMBER(SEARCH('Карта учёта'!$B$20,Расходка[[#This Row],[Наименование расходного материала]])),MAX($L$1:L72)+1,0)</f>
        <v>0</v>
      </c>
      <c r="M73" s="199">
        <f>IF(ISNUMBER(SEARCH('Карта учёта'!$B$21,Расходка[[#This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учёта'!$B$17,Расходка[[#This Row],[Наименование расходного материала]])),MAX($I$1:I73)+1,0)</f>
        <v>0</v>
      </c>
      <c r="J74" s="199">
        <f>IF(ISNUMBER(SEARCH('Карта учёта'!$B$18,Расходка[[#This Row],[Наименование расходного материала]])),MAX($J$1:J73)+1,0)</f>
        <v>0</v>
      </c>
      <c r="K74" s="199">
        <f>IF(ISNUMBER(SEARCH('Карта учёта'!$B$19,Расходка[[#This Row],[Наименование расходного материала]])),MAX($K$1:K73)+1,0)</f>
        <v>0</v>
      </c>
      <c r="L74" s="199">
        <f>IF(ISNUMBER(SEARCH('Карта учёта'!$B$20,Расходка[[#This Row],[Наименование расходного материала]])),MAX($L$1:L73)+1,0)</f>
        <v>0</v>
      </c>
      <c r="M74" s="199">
        <f>IF(ISNUMBER(SEARCH('Карта учёта'!$B$21,Расходка[[#This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учёта'!$B$17,Расходка[[#This Row],[Наименование расходного материала]])),MAX($I$1:I74)+1,0)</f>
        <v>0</v>
      </c>
      <c r="J75" s="199">
        <f>IF(ISNUMBER(SEARCH('Карта учёта'!$B$18,Расходка[[#This Row],[Наименование расходного материала]])),MAX($J$1:J74)+1,0)</f>
        <v>0</v>
      </c>
      <c r="K75" s="199">
        <f>IF(ISNUMBER(SEARCH('Карта учёта'!$B$19,Расходка[[#This Row],[Наименование расходного материала]])),MAX($K$1:K74)+1,0)</f>
        <v>0</v>
      </c>
      <c r="L75" s="199">
        <f>IF(ISNUMBER(SEARCH('Карта учёта'!$B$20,Расходка[[#This Row],[Наименование расходного материала]])),MAX($L$1:L74)+1,0)</f>
        <v>0</v>
      </c>
      <c r="M75" s="199">
        <f>IF(ISNUMBER(SEARCH('Карта учёта'!$B$21,Расходка[[#This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учёта'!$B$17,Расходка[[#This Row],[Наименование расходного материала]])),MAX($I$1:I75)+1,0)</f>
        <v>0</v>
      </c>
      <c r="J76" s="199">
        <f>IF(ISNUMBER(SEARCH('Карта учёта'!$B$18,Расходка[[#This Row],[Наименование расходного материала]])),MAX($J$1:J75)+1,0)</f>
        <v>0</v>
      </c>
      <c r="K76" s="199">
        <f>IF(ISNUMBER(SEARCH('Карта учёта'!$B$19,Расходка[[#This Row],[Наименование расходного материала]])),MAX($K$1:K75)+1,0)</f>
        <v>0</v>
      </c>
      <c r="L76" s="199">
        <f>IF(ISNUMBER(SEARCH('Карта учёта'!$B$20,Расходка[[#This Row],[Наименование расходного материала]])),MAX($L$1:L75)+1,0)</f>
        <v>0</v>
      </c>
      <c r="M76" s="199">
        <f>IF(ISNUMBER(SEARCH('Карта учёта'!$B$21,Расходка[[#This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учёта'!$B$17,Расходка[[#This Row],[Наименование расходного материала]])),MAX($I$1:I76)+1,0)</f>
        <v>0</v>
      </c>
      <c r="J77" s="199">
        <f>IF(ISNUMBER(SEARCH('Карта учёта'!$B$18,Расходка[[#This Row],[Наименование расходного материала]])),MAX($J$1:J76)+1,0)</f>
        <v>0</v>
      </c>
      <c r="K77" s="199">
        <f>IF(ISNUMBER(SEARCH('Карта учёта'!$B$19,Расходка[[#This Row],[Наименование расходного материала]])),MAX($K$1:K76)+1,0)</f>
        <v>0</v>
      </c>
      <c r="L77" s="199">
        <f>IF(ISNUMBER(SEARCH('Карта учёта'!$B$20,Расходка[[#This Row],[Наименование расходного материала]])),MAX($L$1:L76)+1,0)</f>
        <v>0</v>
      </c>
      <c r="M77" s="199">
        <f>IF(ISNUMBER(SEARCH('Карта учёта'!$B$21,Расходка[[#This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учёта'!$B$17,Расходка[[#This Row],[Наименование расходного материала]])),MAX($I$1:I77)+1,0)</f>
        <v>0</v>
      </c>
      <c r="J78" s="199">
        <f>IF(ISNUMBER(SEARCH('Карта учёта'!$B$18,Расходка[[#This Row],[Наименование расходного материала]])),MAX($J$1:J77)+1,0)</f>
        <v>0</v>
      </c>
      <c r="K78" s="199">
        <f>IF(ISNUMBER(SEARCH('Карта учёта'!$B$19,Расходка[[#This Row],[Наименование расходного материала]])),MAX($K$1:K77)+1,0)</f>
        <v>0</v>
      </c>
      <c r="L78" s="199">
        <f>IF(ISNUMBER(SEARCH('Карта учёта'!$B$20,Расходка[[#This Row],[Наименование расходного материала]])),MAX($L$1:L77)+1,0)</f>
        <v>0</v>
      </c>
      <c r="M78" s="199">
        <f>IF(ISNUMBER(SEARCH('Карта учёта'!$B$21,Расходка[[#This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520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349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348</v>
      </c>
      <c r="C18" t="str">
        <f>CONCATENATE(A18,B18)</f>
        <v>И/О старшей мед.сетры: А.М. Казанцева</v>
      </c>
    </row>
    <row r="19" spans="1:3">
      <c r="C19" s="204"/>
    </row>
    <row r="20" spans="1:3">
      <c r="C20" s="20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510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2024-05-19T04:36:25Z</cp:lastPrinted>
  <dcterms:created xsi:type="dcterms:W3CDTF">2015-06-05T18:19:34Z</dcterms:created>
  <dcterms:modified xsi:type="dcterms:W3CDTF">2024-05-19T04:36:27Z</dcterms:modified>
</cp:coreProperties>
</file>