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5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B15" i="9" l="1"/>
  <c r="E71" i="1" l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G72" i="1"/>
  <c r="G73" i="1"/>
  <c r="G74" i="1"/>
  <c r="G75" i="1"/>
  <c r="G76" i="1"/>
  <c r="G77" i="1"/>
  <c r="G78" i="1"/>
  <c r="H72" i="1"/>
  <c r="H73" i="1"/>
  <c r="H74" i="1"/>
  <c r="H75" i="1"/>
  <c r="H76" i="1"/>
  <c r="H77" i="1"/>
  <c r="H78" i="1"/>
  <c r="I72" i="1"/>
  <c r="I73" i="1"/>
  <c r="I74" i="1"/>
  <c r="I75" i="1"/>
  <c r="I76" i="1"/>
  <c r="I77" i="1"/>
  <c r="I78" i="1"/>
  <c r="J72" i="1"/>
  <c r="J73" i="1"/>
  <c r="J74" i="1"/>
  <c r="J75" i="1"/>
  <c r="J76" i="1"/>
  <c r="J77" i="1"/>
  <c r="J78" i="1"/>
  <c r="K72" i="1"/>
  <c r="K73" i="1"/>
  <c r="K74" i="1"/>
  <c r="K75" i="1"/>
  <c r="K76" i="1"/>
  <c r="K77" i="1"/>
  <c r="K78" i="1"/>
  <c r="L72" i="1"/>
  <c r="L73" i="1"/>
  <c r="L74" i="1"/>
  <c r="L75" i="1"/>
  <c r="L76" i="1"/>
  <c r="L77" i="1"/>
  <c r="L78" i="1"/>
  <c r="M72" i="1"/>
  <c r="M73" i="1"/>
  <c r="M74" i="1"/>
  <c r="M75" i="1"/>
  <c r="M76" i="1"/>
  <c r="M77" i="1"/>
  <c r="M78" i="1"/>
  <c r="N72" i="1"/>
  <c r="N73" i="1"/>
  <c r="N74" i="1"/>
  <c r="N75" i="1"/>
  <c r="N76" i="1"/>
  <c r="N77" i="1"/>
  <c r="N78" i="1"/>
  <c r="O72" i="1"/>
  <c r="O73" i="1"/>
  <c r="O74" i="1"/>
  <c r="O75" i="1"/>
  <c r="O76" i="1"/>
  <c r="O77" i="1"/>
  <c r="O78" i="1"/>
  <c r="P72" i="1"/>
  <c r="P73" i="1"/>
  <c r="P74" i="1"/>
  <c r="P75" i="1"/>
  <c r="P76" i="1"/>
  <c r="P77" i="1"/>
  <c r="P78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H68" i="1"/>
  <c r="H69" i="1" s="1"/>
  <c r="H70" i="1" s="1"/>
  <c r="H71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47" i="1" s="1"/>
  <c r="I71" i="1"/>
  <c r="V68" i="1" s="1"/>
  <c r="S72" i="1"/>
  <c r="F70" i="1"/>
  <c r="F71" i="1" s="1"/>
  <c r="S66" i="1" s="1"/>
  <c r="W39" i="1"/>
  <c r="W48" i="1"/>
  <c r="W68" i="1"/>
  <c r="W60" i="1"/>
  <c r="W43" i="1"/>
  <c r="W66" i="1"/>
  <c r="W59" i="1"/>
  <c r="W53" i="1"/>
  <c r="W61" i="1"/>
  <c r="V72" i="1"/>
  <c r="V65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W71" i="1" l="1"/>
  <c r="W69" i="1"/>
  <c r="W42" i="1"/>
  <c r="W40" i="1"/>
  <c r="W56" i="1"/>
  <c r="W57" i="1"/>
  <c r="W52" i="1"/>
  <c r="W46" i="1"/>
  <c r="W51" i="1"/>
  <c r="W49" i="1"/>
  <c r="V67" i="1"/>
  <c r="V66" i="1"/>
  <c r="W54" i="1"/>
  <c r="W67" i="1"/>
  <c r="W58" i="1"/>
  <c r="W45" i="1"/>
  <c r="W64" i="1"/>
  <c r="W50" i="1"/>
  <c r="W63" i="1"/>
  <c r="W55" i="1"/>
  <c r="W62" i="1"/>
  <c r="W41" i="1"/>
  <c r="W44" i="1"/>
  <c r="V63" i="1"/>
  <c r="V42" i="1"/>
  <c r="V54" i="1"/>
  <c r="V40" i="1"/>
  <c r="V50" i="1"/>
  <c r="V58" i="1"/>
  <c r="V48" i="1"/>
  <c r="V46" i="1"/>
  <c r="V60" i="1"/>
  <c r="V53" i="1"/>
  <c r="S43" i="1"/>
  <c r="S60" i="1"/>
  <c r="V71" i="1"/>
  <c r="V61" i="1"/>
  <c r="V52" i="1"/>
  <c r="V55" i="1"/>
  <c r="V64" i="1"/>
  <c r="V70" i="1"/>
  <c r="V45" i="1"/>
  <c r="V62" i="1"/>
  <c r="V43" i="1"/>
  <c r="V57" i="1"/>
  <c r="V49" i="1"/>
  <c r="V47" i="1"/>
  <c r="V69" i="1"/>
  <c r="V39" i="1"/>
  <c r="V56" i="1"/>
  <c r="S59" i="1"/>
  <c r="S44" i="1"/>
  <c r="S39" i="1"/>
  <c r="S64" i="1"/>
  <c r="S58" i="1"/>
  <c r="S70" i="1"/>
  <c r="S57" i="1"/>
  <c r="S47" i="1"/>
  <c r="S42" i="1"/>
  <c r="S56" i="1"/>
  <c r="S50" i="1"/>
  <c r="S51" i="1"/>
  <c r="S69" i="1"/>
  <c r="S61" i="1"/>
  <c r="S62" i="1"/>
  <c r="S41" i="1"/>
  <c r="S40" i="1"/>
  <c r="S55" i="1"/>
  <c r="S46" i="1"/>
  <c r="S45" i="1"/>
  <c r="S63" i="1"/>
  <c r="S48" i="1"/>
  <c r="S49" i="1"/>
  <c r="S65" i="1"/>
  <c r="S53" i="1"/>
  <c r="S67" i="1"/>
  <c r="S68" i="1"/>
  <c r="S52" i="1"/>
  <c r="S54" i="1"/>
  <c r="S71" i="1"/>
  <c r="W65" i="1"/>
  <c r="V41" i="1"/>
  <c r="V51" i="1"/>
  <c r="V44" i="1"/>
  <c r="V59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X3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3" i="1"/>
  <c r="X34" i="1"/>
  <c r="X14" i="1"/>
  <c r="X22" i="1"/>
  <c r="X11" i="1"/>
  <c r="X30" i="1"/>
  <c r="X10" i="1" l="1"/>
  <c r="X26" i="1"/>
  <c r="X27" i="1"/>
  <c r="X23" i="1"/>
  <c r="X24" i="1"/>
  <c r="X35" i="1"/>
  <c r="X25" i="1"/>
  <c r="X5" i="1"/>
  <c r="X4" i="1"/>
  <c r="X12" i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G65" i="1"/>
  <c r="G66" i="1" s="1"/>
  <c r="G67" i="1" s="1"/>
  <c r="G68" i="1" s="1"/>
  <c r="G69" i="1" s="1"/>
  <c r="G70" i="1" s="1"/>
  <c r="G71" i="1" s="1"/>
  <c r="AA70" i="1"/>
  <c r="M56" i="1"/>
  <c r="M57" i="1" s="1"/>
  <c r="L54" i="1"/>
  <c r="AA31" i="1" l="1"/>
  <c r="N71" i="1"/>
  <c r="AA12" i="1" s="1"/>
  <c r="AA72" i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" i="1" l="1"/>
  <c r="L71" i="1"/>
  <c r="Y31" i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l="1"/>
  <c r="Z47" i="1"/>
  <c r="M70" i="1"/>
  <c r="Z70" i="1" l="1"/>
  <c r="M71" i="1"/>
  <c r="Z12" i="1" s="1"/>
  <c r="Z31" i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<sst xmlns="http://schemas.openxmlformats.org/spreadsheetml/2006/main" count="874" uniqueCount="531">
  <si>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</si>
  <si>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</si>
  <si>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</si>
  <si>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</si>
  <si>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</si>
  <si>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</si>
  <si>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</si>
  <si>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</si>
  <si>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</si>
  <si>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</si>
  <si>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</si>
  <si>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</si>
  <si>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</si>
  <si>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</si>
  <si>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</si>
  <si>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</si>
  <si>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</si>
  <si>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</si>
  <si>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</si>
  <si>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</si>
  <si>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</si>
  <si>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</si>
  <si>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</si>
  <si>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</si>
  <si>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</si>
  <si>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</si>
  <si>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</si>
  <si>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</si>
  <si>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</si>
  <si>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</si>
  <si>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</si>
  <si>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</si>
  <si>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</si>
  <si>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</si>
  <si>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</si>
  <si>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</si>
  <si>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</si>
  <si>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</si>
  <si>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</si>
  <si>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</si>
  <si>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</si>
  <si>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</si>
  <si>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</si>
  <si>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</si>
  <si>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</si>
  <si>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</si>
  <si>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</si>
  <si>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</si>
  <si>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</si>
  <si>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</si>
  <si>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</si>
  <si>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</si>
  <si>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</si>
  <si>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</si>
  <si>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</si>
  <si>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</si>
  <si>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</si>
  <si>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</si>
  <si>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</si>
  <si>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</si>
  <si>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</si>
  <si>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</si>
  <si>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</si>
  <si>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</si>
  <si>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</si>
  <si>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</si>
  <si>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</si>
  <si>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</si>
  <si>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</si>
  <si>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</si>
  <si>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</si>
  <si>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</si>
  <si>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</si>
  <si>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</si>
  <si>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</si>
  <si>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</si>
  <si>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</si>
  <si>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</si>
  <si>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</si>
  <si>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</si>
  <si>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</si>
  <si>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</si>
  <si>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</si>
  <si>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</si>
  <si>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</si>
  <si>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</si>
  <si>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</si>
  <si>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</si>
  <si>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</si>
  <si>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</si>
  <si>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</si>
  <si>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</si>
  <si>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</si>
  <si>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</si>
  <si>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</si>
  <si>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</si>
  <si>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</si>
  <si>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</si>
  <si>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</si>
  <si>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</si>
  <si>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</si>
  <si>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</si>
  <si>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</si>
  <si>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</si>
  <si>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</si>
  <si>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</si>
  <si>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</si>
  <si>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</si>
  <si>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</si>
  <si>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</si>
  <si>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</si>
  <si>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</si>
  <si>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</si>
  <si>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</si>
  <si>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</si>
  <si>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</si>
  <si>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</si>
  <si>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</si>
  <si>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</si>
  <si>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</si>
  <si>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</si>
  <si>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</si>
  <si>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</si>
  <si>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</si>
  <si>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</si>
  <si>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</si>
  <si>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</si>
  <si>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</si>
  <si>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</si>
  <si>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</si>
  <si>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</si>
  <si>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</si>
  <si>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</si>
  <si>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</si>
  <si>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</si>
  <si>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</si>
  <si>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</si>
  <si>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</si>
  <si>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</si>
  <si>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</si>
  <si>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</si>
  <si>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</si>
  <si>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</si>
  <si>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</si>
  <si>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</si>
  <si>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</si>
  <si>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</si>
  <si>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</si>
  <si>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</si>
  <si>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</si>
  <si>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</si>
  <si>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</si>
  <si>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</si>
  <si>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</si>
  <si>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</si>
  <si>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</si>
  <si>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</si>
  <si>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</si>
  <si>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</si>
  <si>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</si>
  <si>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</si>
  <si>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</si>
  <si>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</si>
  <si>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</si>
  <si>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</si>
  <si>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</si>
  <si>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</si>
  <si>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</si>
  <si>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</si>
  <si>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</si>
  <si>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</si>
  <si>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</si>
  <si>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</si>
  <si>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</si>
  <si>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</si>
  <si>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</si>
  <si>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</si>
  <si>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</si>
  <si>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</si>
  <si>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</si>
  <si>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</si>
  <si>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</si>
  <si>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</si>
  <si>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</si>
  <si>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</si>
  <si>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</si>
  <si>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</si>
  <si>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</si>
  <si>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</si>
  <si>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</si>
  <si>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</si>
  <si>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</si>
  <si>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</si>
  <si>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</si>
  <si>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</si>
  <si>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</si>
  <si>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</si>
  <si>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</si>
  <si>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</si>
  <si>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</si>
  <si>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</si>
  <si>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</si>
  <si>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</si>
  <si>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</si>
  <si>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</si>
  <si>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</si>
  <si>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</si>
  <si>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</si>
  <si>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</si>
  <si>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</si>
  <si>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</si>
  <si>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</si>
  <si>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</si>
  <si>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</si>
  <si>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</si>
  <si>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</si>
  <si>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</si>
  <si>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</si>
  <si>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</si>
  <si>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</si>
  <si>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</si>
  <si>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</si>
  <si>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</si>
  <si>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</si>
  <si>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</si>
  <si>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</si>
  <si>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</si>
  <si>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</si>
  <si>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</si>
  <si>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</si>
  <si>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</si>
  <si>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</si>
  <si>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</si>
  <si>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</si>
  <si>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</si>
  <si>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</si>
  <si>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</si>
  <si>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</si>
  <si>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</si>
  <si>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</si>
  <si>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</si>
  <si>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</si>
  <si>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</si>
  <si>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</si>
  <si>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</si>
  <si>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</si>
  <si>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</si>
  <si>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</si>
  <si>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</si>
  <si>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</si>
  <si>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</si>
  <si>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</si>
  <si>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</si>
  <si>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</si>
  <si>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</si>
  <si>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</si>
  <si>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</si>
  <si>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</si>
  <si>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</si>
  <si>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</si>
  <si>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</si>
  <si>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</si>
  <si>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</si>
  <si>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</si>
  <si>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</si>
  <si>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</si>
  <si>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</si>
  <si>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</si>
  <si>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</si>
  <si>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</si>
  <si>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</si>
  <si>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</si>
  <si>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</si>
  <si>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</si>
  <si>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</si>
  <si>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</si>
  <si>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</si>
  <si>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</si>
  <si>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</si>
  <si>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</si>
  <si>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</si>
  <si>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</si>
  <si>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</si>
  <si>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</si>
  <si>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</si>
  <si>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</si>
  <si>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</si>
  <si>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</si>
  <si>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</si>
  <si>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</si>
  <si>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</si>
  <si>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</si>
  <si>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</si>
  <si>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</si>
  <si>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</si>
  <si>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</si>
  <si>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</si>
  <si>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</si>
  <si>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</si>
  <si>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</si>
  <si>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</si>
  <si>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</si>
  <si>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</si>
  <si>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</si>
  <si>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</si>
  <si>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</si>
  <si>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</si>
  <si>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</si>
  <si>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</si>
  <si>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</si>
  <si>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</si>
  <si>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</si>
  <si>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</si>
  <si>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</si>
  <si>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</si>
  <si>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</si>
  <si>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</si>
  <si>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</si>
  <si>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</si>
  <si>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</si>
  <si>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</si>
  <si>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</si>
  <si>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</si>
  <si>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</si>
  <si>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</si>
  <si>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</si>
  <si>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</si>
  <si>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</si>
  <si>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</si>
  <si>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</si>
  <si>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</si>
  <si>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</si>
  <si>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</si>
  <si>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</si>
  <si>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</si>
  <si>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</si>
  <si>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</si>
  <si>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</si>
  <si>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</si>
  <si>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</si>
  <si>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</si>
  <si>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</si>
  <si>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</si>
  <si>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</si>
  <si>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</si>
  <si>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</si>
  <si>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</si>
  <si>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</si>
  <si>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</si>
  <si>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</si>
  <si>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</si>
  <si>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</si>
  <si>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</si>
  <si>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</si>
  <si>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</si>
  <si>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</si>
  <si>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</si>
  <si>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</si>
  <si>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</si>
  <si>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</si>
  <si>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</si>
  <si>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</si>
  <si>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</si>
  <si>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</si>
  <si>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</si>
  <si>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</si>
  <si>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</si>
  <si>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</si>
  <si>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</si>
  <si>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</si>
  <si>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</si>
  <si>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</si>
  <si>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</si>
  <si>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</si>
  <si>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</si>
  <si>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</si>
  <si>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</si>
  <si>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</si>
  <si>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</si>
  <si>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</si>
  <si>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</si>
  <si>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</si>
  <si>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</si>
  <si>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</si>
  <si>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</si>
  <si>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</si>
  <si>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</si>
  <si>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</si>
  <si>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</si>
  <si>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</si>
  <si>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</si>
  <si>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</si>
  <si>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</si>
  <si>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</si>
  <si>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</si>
  <si>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</si>
  <si>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</si>
  <si>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</si>
  <si>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</si>
  <si>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</si>
  <si>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</si>
  <si>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</si>
  <si>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</si>
  <si>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</si>
  <si>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</si>
  <si>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</si>
  <si>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</si>
  <si>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</si>
  <si>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</si>
  <si>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</si>
  <si>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</si>
  <si>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</si>
  <si>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</si>
  <si>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</si>
  <si>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</si>
  <si>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</si>
  <si>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</si>
  <si>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</si>
  <si>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</si>
  <si>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</si>
  <si>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</si>
  <si>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</si>
  <si>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</si>
  <si>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</si>
  <si>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</si>
  <si>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</si>
  <si>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</si>
  <si>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</si>
  <si>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</si>
  <si>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</si>
  <si>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</si>
  <si>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</si>
  <si>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</si>
  <si>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</si>
  <si>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</si>
  <si>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</si>
  <si>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</si>
  <si>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</si>
  <si>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</si>
  <si>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</si>
  <si>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</si>
  <si>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</si>
  <si>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</si>
  <si>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</si>
  <si>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</si>
  <si>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</si>
  <si>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</si>
  <si>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</si>
  <si>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</si>
  <si>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</si>
  <si>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</si>
  <si>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</si>
  <si>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</si>
  <si>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</si>
  <si>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</si>
  <si>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</si>
  <si>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</si>
  <si>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</si>
  <si>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</si>
  <si>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</si>
  <si>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</si>
  <si>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</si>
  <si>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</si>
  <si>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</si>
  <si>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</si>
  <si>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</si>
  <si>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</si>
  <si>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</si>
  <si>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</si>
  <si>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</si>
  <si>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</si>
  <si>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</si>
  <si>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</si>
  <si>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</si>
  <si>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</si>
  <si>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</si>
  <si>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</si>
  <si>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</si>
  <si>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</si>
  <si>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</si>
  <si>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</si>
  <si>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</si>
  <si>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</si>
  <si>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</si>
  <si>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</si>
  <si>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</si>
  <si>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</si>
  <si>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</si>
  <si>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</si>
  <si>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</si>
  <si>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</si>
  <si>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</si>
  <si>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</si>
  <si>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</si>
  <si>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</si>
  <si>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</si>
  <si>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</si>
  <si>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</si>
  <si>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</si>
  <si>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</si>
  <si>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</si>
  <si>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</si>
  <si>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</si>
  <si>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</si>
  <si>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</si>
  <si>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</si>
  <si>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</si>
  <si>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</si>
  <si>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</si>
  <si>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</si>
  <si>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</si>
  <si>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</si>
  <si>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</si>
  <si>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</si>
  <si>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</si>
  <si>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</si>
  <si>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</si>
  <si>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Правый</t>
  </si>
  <si>
    <t>Н.Б. Шишкина</t>
  </si>
  <si>
    <t>Старшая мед.сетра: Н.Б. Шишкина</t>
  </si>
  <si>
    <t>20 ml</t>
  </si>
  <si>
    <t>Моисеева А.Д.</t>
  </si>
  <si>
    <t>05:24</t>
  </si>
  <si>
    <t xml:space="preserve">неровности контуров проксимального и среднего сегментов, на границе среднего и дистального сегмента стеноз 30%, субокклюзирующий нестабильный стеноз дистального сегмента. Антеградный  кровоток ближе к TIMI II. </t>
  </si>
  <si>
    <t xml:space="preserve">стеноз устья ПНА 30%, пролонгированный стеноз среднего сегмента 30%.  Антеградный  кровоток TIMI III. </t>
  </si>
  <si>
    <t xml:space="preserve">проходим, контуры ровные.  Антеградный  кровоток TIMI III. </t>
  </si>
  <si>
    <t>Совместно с д/кардиологом: с учетом клинических данных, ЭКГ и КАГ рекомендована ЧКВ бассейна ПКА.</t>
  </si>
  <si>
    <t>стеноз дист/3 ствола ЛКА до 30%</t>
  </si>
  <si>
    <t>локтевой</t>
  </si>
  <si>
    <t>Контроль места пункции, повязка  на руке до 8 ч.</t>
  </si>
  <si>
    <t>Устье ПКА катетеризировано проводниковым катетером Launcher JR  3.5 6Fr. Коронарный проводник fielder проведён в дистальный сегмент ПКА. В зону дистального сегмента  имплантирован стент DES Resolute Integrity  3,0-15 мм, давлением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</si>
</sst>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5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1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Q13" sqref="Q12:Q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3" t="s">
        <v>213</v>
      </c>
      <c r="B6" s="214"/>
      <c r="C6" s="214"/>
      <c r="D6" s="214"/>
      <c r="E6" s="214"/>
      <c r="F6" s="214"/>
      <c r="G6" s="214"/>
      <c r="H6" s="215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45424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0.9375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0.94236111111111109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5" t="s">
        <v>521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20578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68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13363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7" t="s">
        <v>401</v>
      </c>
      <c r="H15" s="171" t="s">
        <v>522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8" t="s">
        <v>403</v>
      </c>
      <c r="H16" s="166">
        <v>4560</v>
      </c>
    </row>
    <row r="17" spans="1:8" ht="14.45" customHeight="1">
      <c r="A17" s="40"/>
      <c r="B17" s="31"/>
      <c r="C17" s="31"/>
      <c r="D17" s="88"/>
      <c r="E17" s="88"/>
      <c r="F17" s="88"/>
      <c r="G17" s="169" t="s">
        <v>390</v>
      </c>
      <c r="H17" s="170">
        <f>H16*0.0019</f>
        <v>8.6639999999999997</v>
      </c>
    </row>
    <row r="18" spans="1:8" ht="14.45" customHeight="1">
      <c r="A18" s="57" t="s">
        <v>188</v>
      </c>
      <c r="B18" s="87" t="s">
        <v>517</v>
      </c>
      <c r="D18" s="28" t="s">
        <v>210</v>
      </c>
      <c r="E18" s="28"/>
      <c r="F18" s="28"/>
      <c r="G18" s="85" t="s">
        <v>189</v>
      </c>
      <c r="H18" s="86" t="s">
        <v>528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6" t="s">
        <v>527</v>
      </c>
      <c r="C20" s="217"/>
      <c r="D20" s="217"/>
      <c r="E20" s="217"/>
      <c r="F20" s="217"/>
      <c r="G20" s="217"/>
      <c r="H20" s="218"/>
    </row>
    <row r="21" spans="1:8">
      <c r="A21" s="58"/>
      <c r="B21" s="219"/>
      <c r="C21" s="219"/>
      <c r="D21" s="219"/>
      <c r="E21" s="219"/>
      <c r="F21" s="219"/>
      <c r="G21" s="219"/>
      <c r="H21" s="220"/>
    </row>
    <row r="22" spans="1:8" ht="15.6" customHeight="1">
      <c r="A22" s="59" t="s">
        <v>271</v>
      </c>
      <c r="B22" s="221" t="s">
        <v>524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1" t="s">
        <v>525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1" t="s">
        <v>523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38"/>
      <c r="D37" s="209" t="str">
        <f>IF($A$6=Вмешательства!$D$3,Вмешательства!$F$18,"")</f>
        <v/>
      </c>
      <c r="E37" s="209"/>
      <c r="F37" s="119"/>
      <c r="G37" s="119"/>
      <c r="H37" s="123"/>
    </row>
    <row r="38" spans="1:8" ht="14.45" customHeight="1">
      <c r="A38" s="38"/>
      <c r="C38" s="124"/>
      <c r="D38" s="210"/>
      <c r="E38" s="211"/>
      <c r="F38" s="211"/>
      <c r="G38" s="211"/>
      <c r="H38" s="212"/>
    </row>
    <row r="39" spans="1:8" ht="14.45" customHeight="1">
      <c r="A39" s="35"/>
      <c r="B39" s="119"/>
      <c r="C39" s="124"/>
      <c r="D39" s="211"/>
      <c r="E39" s="211"/>
      <c r="F39" s="211"/>
      <c r="G39" s="211"/>
      <c r="H39" s="212"/>
    </row>
    <row r="40" spans="1:8" ht="14.45" customHeight="1">
      <c r="A40" s="35"/>
      <c r="B40" s="119"/>
      <c r="C40" s="124"/>
      <c r="D40" s="211"/>
      <c r="E40" s="211"/>
      <c r="F40" s="211"/>
      <c r="G40" s="211"/>
      <c r="H40" s="212"/>
    </row>
    <row r="41" spans="1:8" ht="14.45" customHeight="1">
      <c r="A41" s="35"/>
      <c r="B41" s="119"/>
      <c r="C41" s="124"/>
      <c r="D41" s="211"/>
      <c r="E41" s="211"/>
      <c r="F41" s="211"/>
      <c r="G41" s="211"/>
      <c r="H41" s="212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6" t="s">
        <v>526</v>
      </c>
      <c r="E43" s="207"/>
      <c r="F43" s="207"/>
      <c r="G43" s="207"/>
      <c r="H43" s="208"/>
    </row>
    <row r="44" spans="1:8" ht="14.45" customHeight="1">
      <c r="A44" s="35"/>
      <c r="B44" s="119"/>
      <c r="C44" s="126"/>
      <c r="D44" s="207"/>
      <c r="E44" s="207"/>
      <c r="F44" s="207"/>
      <c r="G44" s="207"/>
      <c r="H44" s="208"/>
    </row>
    <row r="45" spans="1:8" ht="14.45" customHeight="1">
      <c r="A45" s="35"/>
      <c r="B45" s="119"/>
      <c r="C45" s="126"/>
      <c r="D45" s="207"/>
      <c r="E45" s="207"/>
      <c r="F45" s="207"/>
      <c r="G45" s="207"/>
      <c r="H45" s="208"/>
    </row>
    <row r="46" spans="1:8">
      <c r="A46" s="35"/>
      <c r="B46" s="119"/>
      <c r="C46" s="126"/>
      <c r="D46" s="207"/>
      <c r="E46" s="207"/>
      <c r="F46" s="207"/>
      <c r="G46" s="207"/>
      <c r="H46" s="208"/>
    </row>
    <row r="47" spans="1:8">
      <c r="A47" s="38"/>
      <c r="C47" s="126"/>
      <c r="D47" s="207"/>
      <c r="E47" s="207"/>
      <c r="F47" s="207"/>
      <c r="G47" s="207"/>
      <c r="H47" s="208"/>
    </row>
    <row r="48" spans="1:8">
      <c r="A48" s="38"/>
      <c r="C48" s="126"/>
      <c r="D48" s="207"/>
      <c r="E48" s="207"/>
      <c r="F48" s="207"/>
      <c r="G48" s="207"/>
      <c r="H48" s="208"/>
    </row>
    <row r="49" spans="1:13">
      <c r="A49" s="40"/>
      <c r="B49" s="31"/>
      <c r="C49" s="127"/>
      <c r="D49" s="207"/>
      <c r="E49" s="207"/>
      <c r="F49" s="207"/>
      <c r="G49" s="207"/>
      <c r="H49" s="208"/>
    </row>
    <row r="50" spans="1:13">
      <c r="A50" s="38"/>
      <c r="D50" s="207"/>
      <c r="E50" s="207"/>
      <c r="F50" s="207"/>
      <c r="G50" s="207"/>
      <c r="H50" s="208"/>
      <c r="M50" t="s">
        <v>211</v>
      </c>
    </row>
    <row r="51" spans="1:13">
      <c r="A51" s="62" t="s">
        <v>199</v>
      </c>
      <c r="B51" s="63" t="s">
        <v>388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P24" sqref="P22:Q24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216</v>
      </c>
      <c r="D8" s="236"/>
      <c r="E8" s="236"/>
      <c r="F8" s="192">
        <v>1</v>
      </c>
      <c r="G8" s="118" t="s">
        <v>309</v>
      </c>
      <c r="H8" s="160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6"/>
      <c r="D9" s="236"/>
      <c r="E9" s="236"/>
      <c r="F9" s="192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1"/>
      <c r="C10" s="240"/>
      <c r="D10" s="240"/>
      <c r="E10" s="240"/>
      <c r="F10" s="195"/>
      <c r="G10" s="118"/>
      <c r="H10" s="39"/>
    </row>
    <row r="11" spans="1:8">
      <c r="A11" s="194"/>
      <c r="B11" s="198"/>
      <c r="C11" s="201">
        <f>SUM(F8:F10)</f>
        <v>1</v>
      </c>
      <c r="H11" s="39"/>
    </row>
    <row r="12" spans="1:8" ht="18.75">
      <c r="A12" s="75" t="s">
        <v>191</v>
      </c>
      <c r="B12" s="20">
        <f>КАГ!B8</f>
        <v>45424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0.94236111111111109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0.96527777777777779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5" t="s">
        <v>389</v>
      </c>
      <c r="B15" s="190">
        <f>IF(B14&lt;B13,B14+1,B14)-B13</f>
        <v>2.2916666666666696E-2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Моисеева А.Д.</v>
      </c>
      <c r="C16" s="202">
        <f>LEN(КАГ!B11)</f>
        <v>13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20578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68</v>
      </c>
      <c r="H18" s="39"/>
    </row>
    <row r="19" spans="1:8" ht="14.45" customHeight="1">
      <c r="A19" s="15" t="s">
        <v>12</v>
      </c>
      <c r="B19" s="68">
        <f>КАГ!B14</f>
        <v>13363</v>
      </c>
      <c r="C19" s="69"/>
      <c r="D19" s="69"/>
      <c r="E19" s="69"/>
      <c r="F19" s="69"/>
      <c r="G19" s="167" t="s">
        <v>401</v>
      </c>
      <c r="H19" s="182" t="str">
        <f>КАГ!H15</f>
        <v>05:24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8" t="s">
        <v>403</v>
      </c>
      <c r="H20" s="183">
        <f>КАГ!H16</f>
        <v>4560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9" t="s">
        <v>390</v>
      </c>
      <c r="H21" s="170">
        <f>КАГ!H17</f>
        <v>8.6639999999999997</v>
      </c>
    </row>
    <row r="22" spans="1:8" ht="14.45" customHeight="1">
      <c r="A22" s="57" t="str">
        <f>КАГ!G18</f>
        <v>Доступ:</v>
      </c>
      <c r="B22" s="77" t="str">
        <f>КАГ!H18</f>
        <v>локтевой</v>
      </c>
      <c r="C22" s="70"/>
      <c r="D22" s="70"/>
      <c r="E22" s="70"/>
      <c r="F22" s="70"/>
      <c r="G22" s="186" t="str">
        <f>IF(B21=Вмешательства!F3,Вмешательства!F19,"")</f>
        <v>Реканализация:</v>
      </c>
      <c r="H22" s="187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0.94722222222222219</v>
      </c>
    </row>
    <row r="23" spans="1:8" ht="14.45" customHeight="1">
      <c r="A23" s="65" t="s">
        <v>393</v>
      </c>
      <c r="B23" s="174" t="s">
        <v>392</v>
      </c>
      <c r="C23" s="164"/>
      <c r="D23" s="164"/>
      <c r="E23" s="164"/>
      <c r="F23" s="164"/>
      <c r="H23" s="39"/>
    </row>
    <row r="24" spans="1:8" ht="14.45" customHeight="1">
      <c r="A24" s="185" t="s">
        <v>391</v>
      </c>
      <c r="B24" s="172"/>
      <c r="C24" s="172"/>
      <c r="D24" s="172"/>
      <c r="E24" s="172"/>
      <c r="F24" s="172"/>
      <c r="G24" s="172"/>
      <c r="H24" s="173"/>
    </row>
    <row r="25" spans="1:8" ht="14.45" customHeight="1">
      <c r="A25" s="243" t="s">
        <v>530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9" t="s">
        <v>397</v>
      </c>
      <c r="B38" s="177"/>
      <c r="C38" s="178"/>
      <c r="D38" s="178"/>
      <c r="E38" s="188" t="str">
        <f>IF(A6=Вмешательства!D4,Вмешательства!V16,IF(ЧКВ!A6=Вмешательства!D36,Вмешательства!V16,"-----"))</f>
        <v>СТЕНТ/Ы</v>
      </c>
      <c r="F38" s="178"/>
      <c r="G38" s="181"/>
    </row>
    <row r="39" spans="1:12" ht="15.75">
      <c r="A39" s="175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6" t="s">
        <v>395</v>
      </c>
      <c r="B40" s="180" t="s">
        <v>520</v>
      </c>
      <c r="C40" s="120"/>
      <c r="D40" s="247" t="s">
        <v>529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2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199</v>
      </c>
      <c r="B50" s="63" t="s">
        <v>388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7" t="s">
        <v>372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17" sqref="F17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45424</v>
      </c>
      <c r="C2" s="154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7.25" thickBot="1">
      <c r="A4" s="148" t="s">
        <v>195</v>
      </c>
      <c r="B4" s="149" t="s">
        <v>105</v>
      </c>
      <c r="C4" s="150" t="s">
        <v>15</v>
      </c>
      <c r="D4" s="151" t="str">
        <f>КАГ!$B$11</f>
        <v>Моисеева А.Д.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20578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68</v>
      </c>
    </row>
    <row r="7" spans="1:4">
      <c r="A7" s="38"/>
      <c r="C7" s="101" t="s">
        <v>12</v>
      </c>
      <c r="D7" s="103">
        <f>КАГ!$B$14</f>
        <v>13363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2" t="s">
        <v>13</v>
      </c>
      <c r="D10" s="153">
        <f>КАГ!$B$8</f>
        <v>45424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5" t="s">
        <v>306</v>
      </c>
      <c r="C13" s="189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330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6" t="s">
        <v>315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6" t="s">
        <v>324</v>
      </c>
      <c r="C16" s="136" t="s">
        <v>417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6"/>
      <c r="C17" s="136"/>
      <c r="D17" s="141"/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6"/>
      <c r="C19" s="184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7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6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6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6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6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8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519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18" sqref="C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357</v>
      </c>
      <c r="AP1" s="161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1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1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2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1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3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1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4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1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5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1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6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1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7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1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8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1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9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356</v>
      </c>
      <c r="AM10" s="191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10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1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516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11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414</v>
      </c>
      <c r="AI12" t="s">
        <v>3</v>
      </c>
      <c r="AM12" s="191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12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Nitrex 260</v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13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RadiFocus</v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494</v>
      </c>
      <c r="AI14" t="s">
        <v>5</v>
      </c>
      <c r="AM14" s="191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14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BasixCOMPAK</v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15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BasixTOUCH</v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16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Dolphin</v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17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Lepu Medical</v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18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306</v>
      </c>
      <c r="C20" t="s">
        <v>507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19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Demax</v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20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Oscor 7F</v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21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423</v>
      </c>
    </row>
    <row r="23" spans="1:35">
      <c r="A23">
        <v>22</v>
      </c>
      <c r="B23" t="s">
        <v>306</v>
      </c>
      <c r="C23" s="1" t="s">
        <v>511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22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424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23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Индефлятор</v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24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25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26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</v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27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Fielder XT-A</v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28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Fielder XT-R</v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t="s">
        <v>513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29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Asahi Gaia First</v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514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30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Asahi Gaia Second</v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s="1" t="s">
        <v>515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31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Asahi Gaia Third</v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32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Intuition</v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33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34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35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36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Rinato</v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37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38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39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40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</v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41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Sion Black</v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42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Sion Blue</v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43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Thunder</v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44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Whisper MS</v>
      </c>
      <c r="W45" s="115" t="str">
        <f>IFERROR(INDEX(Расходка[Наименование расходного материала],MATCH(Расходка[[#This Row],[№]],Поиск_расходки[Индекс6],0)),"")</f>
        <v>Whisper MS</v>
      </c>
      <c r="X45" s="115" t="str">
        <f>IFERROR(INDEX(Расходка[Наименование расходного материала],MATCH(Расходка[[#This Row],[№]],Поиск_расходки[Индекс7],0)),"")</f>
        <v>Whisper MS</v>
      </c>
      <c r="Y45" s="115" t="str">
        <f>IFERROR(INDEX(Расходка[Наименование расходного материала],MATCH(Расходка[[#This Row],[№]],Поиск_расходки[Индекс8],0)),"")</f>
        <v>Whisper MS</v>
      </c>
      <c r="Z45" s="115" t="str">
        <f>IFERROR(INDEX(Расходка[Наименование расходного материала],MATCH(Расходка[[#This Row],[№]],Поиск_расходки[Индекс9],0)),"")</f>
        <v>Whisper MS</v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45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Winn 200T</v>
      </c>
      <c r="W46" s="115" t="str">
        <f>IFERROR(INDEX(Расходка[Наименование расходного материала],MATCH(Расходка[[#This Row],[№]],Поиск_расходки[Индекс6],0)),"")</f>
        <v>Winn 200T</v>
      </c>
      <c r="X46" s="115" t="str">
        <f>IFERROR(INDEX(Расходка[Наименование расходного материала],MATCH(Расходка[[#This Row],[№]],Поиск_расходки[Индекс7],0)),"")</f>
        <v>Winn 200T</v>
      </c>
      <c r="Y46" s="115" t="str">
        <f>IFERROR(INDEX(Расходка[Наименование расходного материала],MATCH(Расходка[[#This Row],[№]],Поиск_расходки[Индекс8],0)),"")</f>
        <v>Winn 200T</v>
      </c>
      <c r="Z46" s="115" t="str">
        <f>IFERROR(INDEX(Расходка[Наименование расходного материала],MATCH(Расходка[[#This Row],[№]],Поиск_расходки[Индекс9],0)),"")</f>
        <v>Winn 200T</v>
      </c>
      <c r="AA46" s="115" t="str">
        <f>IFERROR(INDEX(Расходка[Наименование расходного материала],MATCH(Расходка[[#This Row],[№]],Поиск_расходки[Индекс10],0)),"")</f>
        <v>Winn 200T</v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46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7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7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512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47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444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48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445</v>
      </c>
    </row>
    <row r="50" spans="1:33">
      <c r="A50">
        <v>49</v>
      </c>
      <c r="B50" t="s">
        <v>3</v>
      </c>
      <c r="C50" t="s">
        <v>510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49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50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0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0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" t="s">
        <v>278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50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BMS, Integtity</v>
      </c>
      <c r="W51" s="115" t="str">
        <f>IFERROR(INDEX(Расходка[Наименование расходного материала],MATCH(Расходка[[#This Row],[№]],Поиск_расходки[Индекс6],0)),"")</f>
        <v>BMS, Integtity</v>
      </c>
      <c r="X51" s="115" t="str">
        <f>IFERROR(INDEX(Расходка[Наименование расходного материала],MATCH(Расходка[[#This Row],[№]],Поиск_расходки[Индекс7],0)),"")</f>
        <v>BMS, Integtity</v>
      </c>
      <c r="Y51" s="115" t="str">
        <f>IFERROR(INDEX(Расходка[Наименование расходного материала],MATCH(Расходка[[#This Row],[№]],Поиск_расходки[Индекс8],0)),"")</f>
        <v>BMS, Integtity</v>
      </c>
      <c r="Z51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1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1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1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1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59" t="s">
        <v>346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51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Calipso</v>
      </c>
      <c r="W52" s="115" t="str">
        <f>IFERROR(INDEX(Расходка[Наименование расходного материала],MATCH(Расходка[[#This Row],[№]],Поиск_расходки[Индекс6],0)),"")</f>
        <v>DES, Calipso</v>
      </c>
      <c r="X52" s="115" t="str">
        <f>IFERROR(INDEX(Расходка[Наименование расходного материала],MATCH(Расходка[[#This Row],[№]],Поиск_расходки[Индекс7],0)),"")</f>
        <v>DES, Calipso</v>
      </c>
      <c r="Y52" s="115" t="str">
        <f>IFERROR(INDEX(Расходка[Наименование расходного материала],MATCH(Расходка[[#This Row],[№]],Поиск_расходки[Индекс8],0)),"")</f>
        <v>DES, Calipso</v>
      </c>
      <c r="Z52" s="115" t="str">
        <f>IFERROR(INDEX(Расходка[Наименование расходного материала],MATCH(Расходка[[#This Row],[№]],Поиск_расходки[Индекс9],0)),"")</f>
        <v>DES, Calipso</v>
      </c>
      <c r="AA52" s="115" t="str">
        <f>IFERROR(INDEX(Расходка[Наименование расходного материала],MATCH(Расходка[[#This Row],[№]],Поиск_расходки[Индекс10],0)),"")</f>
        <v>DES, Calipso</v>
      </c>
      <c r="AB52" s="115" t="str">
        <f>IFERROR(INDEX(Расходка[Наименование расходного материала],MATCH(Расходка[[#This Row],[№]],Поиск_расходки[Индекс11],0)),"")</f>
        <v>DES, Calipso</v>
      </c>
      <c r="AC52" s="115" t="str">
        <f>IFERROR(INDEX(Расходка[Наименование расходного материала],MATCH(Расходка[[#This Row],[№]],Поиск_расходки[Индекс12],0)),"")</f>
        <v>DES, Calipso</v>
      </c>
      <c r="AD52" s="115" t="str">
        <f>IFERROR(INDEX(Расходка[Наименование расходного материала],MATCH(Расходка[[#This Row],[№]],Поиск_расходки[Индекс13],0)),"")</f>
        <v>DES, Calipso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59" t="s">
        <v>345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52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NanoMed</v>
      </c>
      <c r="W53" s="115" t="str">
        <f>IFERROR(INDEX(Расходка[Наименование расходного материала],MATCH(Расходка[[#This Row],[№]],Поиск_расходки[Индекс6],0)),"")</f>
        <v>DES, NanoMed</v>
      </c>
      <c r="X53" s="115" t="str">
        <f>IFERROR(INDEX(Расходка[Наименование расходного материала],MATCH(Расходка[[#This Row],[№]],Поиск_расходки[Индекс7],0)),"")</f>
        <v>DES, NanoMed</v>
      </c>
      <c r="Y53" s="115" t="str">
        <f>IFERROR(INDEX(Расходка[Наименование расходного материала],MATCH(Расходка[[#This Row],[№]],Поиск_расходки[Индекс8],0)),"")</f>
        <v>DES, NanoMed</v>
      </c>
      <c r="Z53" s="115" t="str">
        <f>IFERROR(INDEX(Расходка[Наименование расходного материала],MATCH(Расходка[[#This Row],[№]],Поиск_расходки[Индекс9],0)),"")</f>
        <v>DES, NanoMed</v>
      </c>
      <c r="AA53" s="115" t="str">
        <f>IFERROR(INDEX(Расходка[Наименование расходного материала],MATCH(Расходка[[#This Row],[№]],Поиск_расходки[Индекс10],0)),"")</f>
        <v>DES, NanoMed</v>
      </c>
      <c r="AB53" s="115" t="str">
        <f>IFERROR(INDEX(Расходка[Наименование расходного материала],MATCH(Расходка[[#This Row],[№]],Поиск_расходки[Индекс11],0)),"")</f>
        <v>DES, NanoMed</v>
      </c>
      <c r="AC53" s="115" t="str">
        <f>IFERROR(INDEX(Расходка[Наименование расходного материала],MATCH(Расходка[[#This Row],[№]],Поиск_расходки[Индекс12],0)),"")</f>
        <v>DES, NanoMed</v>
      </c>
      <c r="AD53" s="115" t="str">
        <f>IFERROR(INDEX(Расходка[Наименование расходного материала],MATCH(Расходка[[#This Row],[№]],Поиск_расходки[Индекс13],0)),"")</f>
        <v>DES, NanoMed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31" t="s">
        <v>324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1</v>
      </c>
      <c r="I54" s="116">
        <f>IF(ISNUMBER(SEARCH('Карта учёта'!$B$17,Расходка[[#This Row],[Наименование расходного материала]])),MAX($I$1:I53)+1,0)</f>
        <v>53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4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4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358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54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5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5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5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5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5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5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5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5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s="163" t="s">
        <v>387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55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Firehawk</v>
      </c>
      <c r="W56" s="115" t="str">
        <f>IFERROR(INDEX(Расходка[Наименование расходного материала],MATCH(Расходка[[#This Row],[№]],Поиск_расходки[Индекс6],0)),"")</f>
        <v>DES, Firehawk</v>
      </c>
      <c r="X56" s="115" t="str">
        <f>IFERROR(INDEX(Расходка[Наименование расходного материала],MATCH(Расходка[[#This Row],[№]],Поиск_расходки[Индекс7],0)),"")</f>
        <v>DES, Firehawk</v>
      </c>
      <c r="Y56" s="115" t="str">
        <f>IFERROR(INDEX(Расходка[Наименование расходного материала],MATCH(Расходка[[#This Row],[№]],Поиск_расходки[Индекс8],0)),"")</f>
        <v>DES, Firehawk</v>
      </c>
      <c r="Z56" s="115" t="str">
        <f>IFERROR(INDEX(Расходка[Наименование расходного материала],MATCH(Расходка[[#This Row],[№]],Поиск_расходки[Индекс9],0)),"")</f>
        <v>DES, Firehawk</v>
      </c>
      <c r="AA56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6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6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6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6" s="4" t="s">
        <v>6</v>
      </c>
      <c r="AG56" s="4" t="s">
        <v>452</v>
      </c>
    </row>
    <row r="57" spans="1:33">
      <c r="A57">
        <v>56</v>
      </c>
      <c r="B57" t="s">
        <v>6</v>
      </c>
      <c r="C57" t="s">
        <v>386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56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7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7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7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7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7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325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57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8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8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8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8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8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8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8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8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8" s="4" t="s">
        <v>6</v>
      </c>
      <c r="AG58" s="4" t="s">
        <v>454</v>
      </c>
    </row>
    <row r="59" spans="1:33">
      <c r="A59">
        <v>58</v>
      </c>
      <c r="B59" t="s">
        <v>95</v>
      </c>
      <c r="C59" s="1" t="s">
        <v>344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58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9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9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59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9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9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9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9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9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59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0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0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352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60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1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1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1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1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61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2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2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62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3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3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63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4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64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329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64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5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335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65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JL 4.5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1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66</v>
      </c>
      <c r="J67" s="199">
        <f>IF(ISNUMBER(SEARCH('Карта учёта'!$B$18,Расходка[[#This Row],[Наименование расходного материала]])),MAX($J$1:J66)+1,0)</f>
        <v>66</v>
      </c>
      <c r="K67" s="199">
        <f>IF(ISNUMBER(SEARCH('Карта учёта'!$B$19,Расходка[[#This Row],[Наименование расходного материала]])),MAX($K$1:K66)+1,0)</f>
        <v>66</v>
      </c>
      <c r="L67" s="199">
        <f>IF(ISNUMBER(SEARCH('Карта учёта'!$B$20,Расходка[[#This Row],[Наименование расходного материала]])),MAX($L$1:L66)+1,0)</f>
        <v>66</v>
      </c>
      <c r="M67" s="199">
        <f>IF(ISNUMBER(SEARCH('Карта учёта'!$B$21,Расходка[[#This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99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3.5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3.5</v>
      </c>
      <c r="X67" s="200" t="str">
        <f>IFERROR(INDEX(Расходка[Наименование расходного материала],MATCH(Расходка[[#This Row],[№]],Поиск_расходки[Индекс7],0)),"")</f>
        <v>Launcher 6F JR 3.5</v>
      </c>
      <c r="Y67" s="200" t="str">
        <f>IFERROR(INDEX(Расходка[Наименование расходного материала],MATCH(Расходка[[#This Row],[№]],Поиск_расходки[Индекс8],0)),"")</f>
        <v>Launcher 6F JR 3.5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67</v>
      </c>
      <c r="J68" s="199">
        <f>IF(ISNUMBER(SEARCH('Карта учёта'!$B$18,Расходка[[#This Row],[Наименование расходного материала]])),MAX($J$1:J67)+1,0)</f>
        <v>67</v>
      </c>
      <c r="K68" s="199">
        <f>IF(ISNUMBER(SEARCH('Карта учёта'!$B$19,Расходка[[#This Row],[Наименование расходного материала]])),MAX($K$1:K67)+1,0)</f>
        <v>67</v>
      </c>
      <c r="L68" s="199">
        <f>IF(ISNUMBER(SEARCH('Карта учёта'!$B$20,Расходка[[#This Row],[Наименование расходного материала]])),MAX($L$1:L67)+1,0)</f>
        <v>67</v>
      </c>
      <c r="M68" s="199">
        <f>IF(ISNUMBER(SEARCH('Карта учёта'!$B$21,Расходка[[#This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8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8" s="200" t="str">
        <f>IFERROR(INDEX(Расходка[Наименование расходного материала],MATCH(Расходка[[#This Row],[№]],Поиск_расходки[Индекс7],0)),"")</f>
        <v>Launcher 6F JR 4.0</v>
      </c>
      <c r="Y68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8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341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68</v>
      </c>
      <c r="J69" s="199">
        <f>IF(ISNUMBER(SEARCH('Карта учёта'!$B$18,Расходка[[#This Row],[Наименование расходного материала]])),MAX($J$1:J68)+1,0)</f>
        <v>68</v>
      </c>
      <c r="K69" s="199">
        <f>IF(ISNUMBER(SEARCH('Карта учёта'!$B$19,Расходка[[#This Row],[Наименование расходного материала]])),MAX($K$1:K68)+1,0)</f>
        <v>68</v>
      </c>
      <c r="L69" s="199">
        <f>IF(ISNUMBER(SEARCH('Карта учёта'!$B$20,Расходка[[#This Row],[Наименование расходного материала]])),MAX($L$1:L68)+1,0)</f>
        <v>68</v>
      </c>
      <c r="M69" s="199">
        <f>IF(ISNUMBER(SEARCH('Карта учёта'!$B$21,Расходка[[#This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9" s="200" t="str">
        <f>IFERROR(INDEX(Расходка[Наименование расходного материала],MATCH(Расходка[[#This Row],[№]],Поиск_расходки[Индекс7],0)),"")</f>
        <v>Launcher 7F JL 3.5</v>
      </c>
      <c r="Y69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340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69</v>
      </c>
      <c r="J70" s="199">
        <f>IF(ISNUMBER(SEARCH('Карта учёта'!$B$18,Расходка[[#This Row],[Наименование расходного материала]])),MAX($J$1:J69)+1,0)</f>
        <v>69</v>
      </c>
      <c r="K70" s="199">
        <f>IF(ISNUMBER(SEARCH('Карта учёта'!$B$19,Расходка[[#This Row],[Наименование расходного материала]])),MAX($K$1:K69)+1,0)</f>
        <v>69</v>
      </c>
      <c r="L70" s="199">
        <f>IF(ISNUMBER(SEARCH('Карта учёта'!$B$20,Расходка[[#This Row],[Наименование расходного материала]])),MAX($L$1:L69)+1,0)</f>
        <v>69</v>
      </c>
      <c r="M70" s="199">
        <f>IF(ISNUMBER(SEARCH('Карта учёта'!$B$21,Расходка[[#This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70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70" s="200" t="str">
        <f>IFERROR(INDEX(Расходка[Наименование расходного материала],MATCH(Расходка[[#This Row],[№]],Поиск_расходки[Индекс7],0)),"")</f>
        <v>Launcher 7F JL 4.0</v>
      </c>
      <c r="Y70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70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332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учёта'!$B$17,Расходка[[#This Row],[Наименование расходного материала]])),MAX($I$1:I70)+1,0)</f>
        <v>70</v>
      </c>
      <c r="J71" s="199">
        <f>IF(ISNUMBER(SEARCH('Карта учёта'!$B$18,Расходка[[#This Row],[Наименование расходного материала]])),MAX($J$1:J70)+1,0)</f>
        <v>70</v>
      </c>
      <c r="K71" s="199">
        <f>IF(ISNUMBER(SEARCH('Карта учёта'!$B$19,Расходка[[#This Row],[Наименование расходного материала]])),MAX($K$1:K70)+1,0)</f>
        <v>70</v>
      </c>
      <c r="L71" s="199">
        <f>IF(ISNUMBER(SEARCH('Карта учёта'!$B$20,Расходка[[#This Row],[Наименование расходного материала]])),MAX($L$1:L70)+1,0)</f>
        <v>70</v>
      </c>
      <c r="M71" s="199">
        <f>IF(ISNUMBER(SEARCH('Карта учёта'!$B$21,Расходка[[#This Row],[Наименование расходного материала]])),MAX($M$1:M70)+1,0)</f>
        <v>70</v>
      </c>
      <c r="N71" s="199">
        <f>IF(ISNUMBER(SEARCH('Карта учёта'!$B$22,Расходка[[#This Row],[Наименование расходного материала]])),MAX($N$1:N70)+1,0)</f>
        <v>70</v>
      </c>
      <c r="O71" s="199">
        <f>IF(ISNUMBER(SEARCH('Карта учёта'!$B$23,Расходка[[#This Row],[Наименование расходного материала]])),MAX($O$1:O70)+1,0)</f>
        <v>70</v>
      </c>
      <c r="P71" s="199">
        <f>IF(ISNUMBER(SEARCH('Карта учёта'!$B$24,Расходка[[#This Row],[Наименование расходного материала]])),MAX($P$1:P70)+1,0)</f>
        <v>70</v>
      </c>
      <c r="Q71" s="199">
        <f>IF(ISNUMBER(SEARCH('Карта учёта'!$B$25,Расходка[[#This Row],[Наименование расходного материала]])),MAX($Q$1:Q70)+1,0)</f>
        <v>70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1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1" s="200" t="str">
        <f>IFERROR(INDEX(Расходка[Наименование расходного материала],MATCH(Расходка[[#This Row],[№]],Поиск_расходки[Индекс7],0)),"")</f>
        <v>Angio-Seal™ VIP</v>
      </c>
      <c r="Y71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1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учёта'!$B$17,Расходка[[#This Row],[Наименование расходного материала]])),MAX($I$1:I71)+1,0)</f>
        <v>0</v>
      </c>
      <c r="J72" s="199">
        <f>IF(ISNUMBER(SEARCH('Карта учёта'!$B$18,Расходка[[#This Row],[Наименование расходного материала]])),MAX($J$1:J71)+1,0)</f>
        <v>0</v>
      </c>
      <c r="K72" s="199">
        <f>IF(ISNUMBER(SEARCH('Карта учёта'!$B$19,Расходка[[#This Row],[Наименование расходного материала]])),MAX($K$1:K71)+1,0)</f>
        <v>0</v>
      </c>
      <c r="L72" s="199">
        <f>IF(ISNUMBER(SEARCH('Карта учёта'!$B$20,Расходка[[#This Row],[Наименование расходного материала]])),MAX($L$1:L71)+1,0)</f>
        <v>0</v>
      </c>
      <c r="M72" s="199">
        <f>IF(ISNUMBER(SEARCH('Карта учёта'!$B$21,Расходка[[#This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учёта'!$B$17,Расходка[[#This Row],[Наименование расходного материала]])),MAX($I$1:I72)+1,0)</f>
        <v>0</v>
      </c>
      <c r="J73" s="199">
        <f>IF(ISNUMBER(SEARCH('Карта учёта'!$B$18,Расходка[[#This Row],[Наименование расходного материала]])),MAX($J$1:J72)+1,0)</f>
        <v>0</v>
      </c>
      <c r="K73" s="199">
        <f>IF(ISNUMBER(SEARCH('Карта учёта'!$B$19,Расходка[[#This Row],[Наименование расходного материала]])),MAX($K$1:K72)+1,0)</f>
        <v>0</v>
      </c>
      <c r="L73" s="199">
        <f>IF(ISNUMBER(SEARCH('Карта учёта'!$B$20,Расходка[[#This Row],[Наименование расходного материала]])),MAX($L$1:L72)+1,0)</f>
        <v>0</v>
      </c>
      <c r="M73" s="199">
        <f>IF(ISNUMBER(SEARCH('Карта учёта'!$B$21,Расходка[[#This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учёта'!$B$17,Расходка[[#This Row],[Наименование расходного материала]])),MAX($I$1:I73)+1,0)</f>
        <v>0</v>
      </c>
      <c r="J74" s="199">
        <f>IF(ISNUMBER(SEARCH('Карта учёта'!$B$18,Расходка[[#This Row],[Наименование расходного материала]])),MAX($J$1:J73)+1,0)</f>
        <v>0</v>
      </c>
      <c r="K74" s="199">
        <f>IF(ISNUMBER(SEARCH('Карта учёта'!$B$19,Расходка[[#This Row],[Наименование расходного материала]])),MAX($K$1:K73)+1,0)</f>
        <v>0</v>
      </c>
      <c r="L74" s="199">
        <f>IF(ISNUMBER(SEARCH('Карта учёта'!$B$20,Расходка[[#This Row],[Наименование расходного материала]])),MAX($L$1:L73)+1,0)</f>
        <v>0</v>
      </c>
      <c r="M74" s="199">
        <f>IF(ISNUMBER(SEARCH('Карта учёта'!$B$21,Расходка[[#This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E75" s="199">
        <f>IF(ISNUMBER(SEARCH('Карта учёта'!$B$13,Расходка[[#This Row],[Наименование расходного материала]])),MAX($E$1:E74)+1,0)</f>
        <v>0</v>
      </c>
      <c r="F75" s="199">
        <f>IF(ISNUMBER(SEARCH('Карта учёта'!$B$14,Расходка[[#This Row],[Наименование расходного материала]])),MAX($F$1:F74)+1,0)</f>
        <v>0</v>
      </c>
      <c r="G75" s="199">
        <f>IF(ISNUMBER(SEARCH('Карта учёта'!$B$15,Расходка[[#This Row],[Наименование расходного материала]])),MAX($G$1:G74)+1,0)</f>
        <v>0</v>
      </c>
      <c r="H75" s="199">
        <f>IF(ISNUMBER(SEARCH('Карта учёта'!$B$16,Расходка[[#This Row],[Наименование расходного материала]])),MAX($H$1:H74)+1,0)</f>
        <v>0</v>
      </c>
      <c r="I75" s="199">
        <f>IF(ISNUMBER(SEARCH('Карта учёта'!$B$17,Расходка[[#This Row],[Наименование расходного материала]])),MAX($I$1:I74)+1,0)</f>
        <v>0</v>
      </c>
      <c r="J75" s="199">
        <f>IF(ISNUMBER(SEARCH('Карта учёта'!$B$18,Расходка[[#This Row],[Наименование расходного материала]])),MAX($J$1:J74)+1,0)</f>
        <v>0</v>
      </c>
      <c r="K75" s="199">
        <f>IF(ISNUMBER(SEARCH('Карта учёта'!$B$19,Расходка[[#This Row],[Наименование расходного материала]])),MAX($K$1:K74)+1,0)</f>
        <v>0</v>
      </c>
      <c r="L75" s="199">
        <f>IF(ISNUMBER(SEARCH('Карта учёта'!$B$20,Расходка[[#This Row],[Наименование расходного материала]])),MAX($L$1:L74)+1,0)</f>
        <v>0</v>
      </c>
      <c r="M75" s="199">
        <f>IF(ISNUMBER(SEARCH('Карта учёта'!$B$21,Расходка[[#This Row],[Наименование расходного материала]])),MAX($M$1:M74)+1,0)</f>
        <v>0</v>
      </c>
      <c r="N75" s="199">
        <f>IF(ISNUMBER(SEARCH('Карта учёта'!$B$22,Расходка[[#This Row],[Наименование расходного материала]])),MAX($N$1:N74)+1,0)</f>
        <v>0</v>
      </c>
      <c r="O75" s="199">
        <f>IF(ISNUMBER(SEARCH('Карта учёта'!$B$23,Расходка[[#This Row],[Наименование расходного материала]])),MAX($O$1:O74)+1,0)</f>
        <v>0</v>
      </c>
      <c r="P75" s="199">
        <f>IF(ISNUMBER(SEARCH('Карта учёта'!$B$24,Расходка[[#This Row],[Наименование расходного материала]])),MAX($P$1:P74)+1,0)</f>
        <v>0</v>
      </c>
      <c r="Q75" s="199">
        <f>IF(ISNUMBER(SEARCH('Карта учёта'!$B$25,Расходка[[#This Row],[Наименование расходного материала]])),MAX($Q$1:Q74)+1,0)</f>
        <v>0</v>
      </c>
      <c r="R75" s="200" t="str">
        <f>IFERROR(INDEX(Расходка[Наименование расходного материала],MATCH(Расходка[[#This Row],[№]],Поиск_расходки[Индекс1],0)),"")</f>
        <v/>
      </c>
      <c r="S75" s="200" t="str">
        <f>IFERROR(INDEX(Расходка[Наименование расходного материала],MATCH(Расходка[[#This Row],[№]],Поиск_расходки[Индекс2],0)),"")</f>
        <v/>
      </c>
      <c r="T75" s="200" t="str">
        <f>IFERROR(INDEX(Расходка[Наименование расходного материала],MATCH(Расходка[[#This Row],[№]],Поиск_расходки[Индекс3],0)),"")</f>
        <v/>
      </c>
      <c r="U75" s="200" t="str">
        <f>IFERROR(INDEX(Расходка[Наименование расходного материала],MATCH(Расходка[[#This Row],[№]],Поиск_расходки[Индекс4],0)),"")</f>
        <v/>
      </c>
      <c r="V75" s="200" t="str">
        <f>IFERROR(INDEX(Расходка[Наименование расходного материала],MATCH(Расходка[[#This Row],[№]],Поиск_расходки[Индекс5],0)),"")</f>
        <v/>
      </c>
      <c r="W75" s="200" t="str">
        <f>IFERROR(INDEX(Расходка[Наименование расходного материала],MATCH(Расходка[[#This Row],[№]],Поиск_расходки[Индекс6],0)),"")</f>
        <v/>
      </c>
      <c r="X75" s="200" t="str">
        <f>IFERROR(INDEX(Расходка[Наименование расходного материала],MATCH(Расходка[[#This Row],[№]],Поиск_расходки[Индекс7],0)),"")</f>
        <v/>
      </c>
      <c r="Y75" s="200" t="str">
        <f>IFERROR(INDEX(Расходка[Наименование расходного материала],MATCH(Расходка[[#This Row],[№]],Поиск_расходки[Индекс8],0)),"")</f>
        <v/>
      </c>
      <c r="Z75" s="200" t="str">
        <f>IFERROR(INDEX(Расходка[Наименование расходного материала],MATCH(Расходка[[#This Row],[№]],Поиск_расходки[Индекс9],0)),"")</f>
        <v/>
      </c>
      <c r="AA75" s="200" t="str">
        <f>IFERROR(INDEX(Расходка[Наименование расходного материала],MATCH(Расходка[[#This Row],[№]],Поиск_расходки[Индекс10],0)),"")</f>
        <v/>
      </c>
      <c r="AB75" s="200" t="str">
        <f>IFERROR(INDEX(Расходка[Наименование расходного материала],MATCH(Расходка[[#This Row],[№]],Поиск_расходки[Индекс11],0)),"")</f>
        <v/>
      </c>
      <c r="AC75" s="200" t="str">
        <f>IFERROR(INDEX(Расходка[Наименование расходного материала],MATCH(Расходка[[#This Row],[№]],Поиск_расходки[Индекс12],0)),"")</f>
        <v/>
      </c>
      <c r="AD75" s="200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9">
        <f>IF(ISNUMBER(SEARCH('Карта учёта'!$B$13,Расходка[[#This Row],[Наименование расходного материала]])),MAX($E$1:E75)+1,0)</f>
        <v>0</v>
      </c>
      <c r="F76" s="199">
        <f>IF(ISNUMBER(SEARCH('Карта учёта'!$B$14,Расходка[[#This Row],[Наименование расходного материала]])),MAX($F$1:F75)+1,0)</f>
        <v>0</v>
      </c>
      <c r="G76" s="199">
        <f>IF(ISNUMBER(SEARCH('Карта учёта'!$B$15,Расходка[[#This Row],[Наименование расходного материала]])),MAX($G$1:G75)+1,0)</f>
        <v>0</v>
      </c>
      <c r="H76" s="199">
        <f>IF(ISNUMBER(SEARCH('Карта учёта'!$B$16,Расходка[[#This Row],[Наименование расходного материала]])),MAX($H$1:H75)+1,0)</f>
        <v>0</v>
      </c>
      <c r="I76" s="199">
        <f>IF(ISNUMBER(SEARCH('Карта учёта'!$B$17,Расходка[[#This Row],[Наименование расходного материала]])),MAX($I$1:I75)+1,0)</f>
        <v>0</v>
      </c>
      <c r="J76" s="199">
        <f>IF(ISNUMBER(SEARCH('Карта учёта'!$B$18,Расходка[[#This Row],[Наименование расходного материала]])),MAX($J$1:J75)+1,0)</f>
        <v>0</v>
      </c>
      <c r="K76" s="199">
        <f>IF(ISNUMBER(SEARCH('Карта учёта'!$B$19,Расходка[[#This Row],[Наименование расходного материала]])),MAX($K$1:K75)+1,0)</f>
        <v>0</v>
      </c>
      <c r="L76" s="199">
        <f>IF(ISNUMBER(SEARCH('Карта учёта'!$B$20,Расходка[[#This Row],[Наименование расходного материала]])),MAX($L$1:L75)+1,0)</f>
        <v>0</v>
      </c>
      <c r="M76" s="199">
        <f>IF(ISNUMBER(SEARCH('Карта учёта'!$B$21,Расходка[[#This Row],[Наименование расходного материала]])),MAX($M$1:M75)+1,0)</f>
        <v>0</v>
      </c>
      <c r="N76" s="199">
        <f>IF(ISNUMBER(SEARCH('Карта учёта'!$B$22,Расходка[[#This Row],[Наименование расходного материала]])),MAX($N$1:N75)+1,0)</f>
        <v>0</v>
      </c>
      <c r="O76" s="199">
        <f>IF(ISNUMBER(SEARCH('Карта учёта'!$B$23,Расходка[[#This Row],[Наименование расходного материала]])),MAX($O$1:O75)+1,0)</f>
        <v>0</v>
      </c>
      <c r="P76" s="199">
        <f>IF(ISNUMBER(SEARCH('Карта учёта'!$B$24,Расходка[[#This Row],[Наименование расходного материала]])),MAX($P$1:P75)+1,0)</f>
        <v>0</v>
      </c>
      <c r="Q76" s="199">
        <f>IF(ISNUMBER(SEARCH('Карта учёта'!$B$25,Расходка[[#This Row],[Наименование расходного материала]])),MAX($Q$1:Q75)+1,0)</f>
        <v>0</v>
      </c>
      <c r="R76" s="200" t="str">
        <f>IFERROR(INDEX(Расходка[Наименование расходного материала],MATCH(Расходка[[#This Row],[№]],Поиск_расходки[Индекс1],0)),"")</f>
        <v/>
      </c>
      <c r="S76" s="200" t="str">
        <f>IFERROR(INDEX(Расходка[Наименование расходного материала],MATCH(Расходка[[#This Row],[№]],Поиск_расходки[Индекс2],0)),"")</f>
        <v/>
      </c>
      <c r="T76" s="200" t="str">
        <f>IFERROR(INDEX(Расходка[Наименование расходного материала],MATCH(Расходка[[#This Row],[№]],Поиск_расходки[Индекс3],0)),"")</f>
        <v/>
      </c>
      <c r="U76" s="200" t="str">
        <f>IFERROR(INDEX(Расходка[Наименование расходного материала],MATCH(Расходка[[#This Row],[№]],Поиск_расходки[Индекс4],0)),"")</f>
        <v/>
      </c>
      <c r="V76" s="200" t="str">
        <f>IFERROR(INDEX(Расходка[Наименование расходного материала],MATCH(Расходка[[#This Row],[№]],Поиск_расходки[Индекс5],0)),"")</f>
        <v/>
      </c>
      <c r="W76" s="200" t="str">
        <f>IFERROR(INDEX(Расходка[Наименование расходного материала],MATCH(Расходка[[#This Row],[№]],Поиск_расходки[Индекс6],0)),"")</f>
        <v/>
      </c>
      <c r="X76" s="200" t="str">
        <f>IFERROR(INDEX(Расходка[Наименование расходного материала],MATCH(Расходка[[#This Row],[№]],Поиск_расходки[Индекс7],0)),"")</f>
        <v/>
      </c>
      <c r="Y76" s="200" t="str">
        <f>IFERROR(INDEX(Расходка[Наименование расходного материала],MATCH(Расходка[[#This Row],[№]],Поиск_расходки[Индекс8],0)),"")</f>
        <v/>
      </c>
      <c r="Z76" s="200" t="str">
        <f>IFERROR(INDEX(Расходка[Наименование расходного материала],MATCH(Расходка[[#This Row],[№]],Поиск_расходки[Индекс9],0)),"")</f>
        <v/>
      </c>
      <c r="AA76" s="200" t="str">
        <f>IFERROR(INDEX(Расходка[Наименование расходного материала],MATCH(Расходка[[#This Row],[№]],Поиск_расходки[Индекс10],0)),"")</f>
        <v/>
      </c>
      <c r="AB76" s="200" t="str">
        <f>IFERROR(INDEX(Расходка[Наименование расходного материала],MATCH(Расходка[[#This Row],[№]],Поиск_расходки[Индекс11],0)),"")</f>
        <v/>
      </c>
      <c r="AC76" s="200" t="str">
        <f>IFERROR(INDEX(Расходка[Наименование расходного материала],MATCH(Расходка[[#This Row],[№]],Поиск_расходки[Индекс12],0)),"")</f>
        <v/>
      </c>
      <c r="AD76" s="200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9">
        <f>IF(ISNUMBER(SEARCH('Карта учёта'!$B$13,Расходка[[#This Row],[Наименование расходного материала]])),MAX($E$1:E76)+1,0)</f>
        <v>0</v>
      </c>
      <c r="F77" s="199">
        <f>IF(ISNUMBER(SEARCH('Карта учёта'!$B$14,Расходка[[#This Row],[Наименование расходного материала]])),MAX($F$1:F76)+1,0)</f>
        <v>0</v>
      </c>
      <c r="G77" s="199">
        <f>IF(ISNUMBER(SEARCH('Карта учёта'!$B$15,Расходка[[#This Row],[Наименование расходного материала]])),MAX($G$1:G76)+1,0)</f>
        <v>0</v>
      </c>
      <c r="H77" s="199">
        <f>IF(ISNUMBER(SEARCH('Карта учёта'!$B$16,Расходка[[#This Row],[Наименование расходного материала]])),MAX($H$1:H76)+1,0)</f>
        <v>0</v>
      </c>
      <c r="I77" s="199">
        <f>IF(ISNUMBER(SEARCH('Карта учёта'!$B$17,Расходка[[#This Row],[Наименование расходного материала]])),MAX($I$1:I76)+1,0)</f>
        <v>0</v>
      </c>
      <c r="J77" s="199">
        <f>IF(ISNUMBER(SEARCH('Карта учёта'!$B$18,Расходка[[#This Row],[Наименование расходного материала]])),MAX($J$1:J76)+1,0)</f>
        <v>0</v>
      </c>
      <c r="K77" s="199">
        <f>IF(ISNUMBER(SEARCH('Карта учёта'!$B$19,Расходка[[#This Row],[Наименование расходного материала]])),MAX($K$1:K76)+1,0)</f>
        <v>0</v>
      </c>
      <c r="L77" s="199">
        <f>IF(ISNUMBER(SEARCH('Карта учёта'!$B$20,Расходка[[#This Row],[Наименование расходного материала]])),MAX($L$1:L76)+1,0)</f>
        <v>0</v>
      </c>
      <c r="M77" s="199">
        <f>IF(ISNUMBER(SEARCH('Карта учёта'!$B$21,Расходка[[#This Row],[Наименование расходного материала]])),MAX($M$1:M76)+1,0)</f>
        <v>0</v>
      </c>
      <c r="N77" s="199">
        <f>IF(ISNUMBER(SEARCH('Карта учёта'!$B$22,Расходка[[#This Row],[Наименование расходного материала]])),MAX($N$1:N76)+1,0)</f>
        <v>0</v>
      </c>
      <c r="O77" s="199">
        <f>IF(ISNUMBER(SEARCH('Карта учёта'!$B$23,Расходка[[#This Row],[Наименование расходного материала]])),MAX($O$1:O76)+1,0)</f>
        <v>0</v>
      </c>
      <c r="P77" s="199">
        <f>IF(ISNUMBER(SEARCH('Карта учёта'!$B$24,Расходка[[#This Row],[Наименование расходного материала]])),MAX($P$1:P76)+1,0)</f>
        <v>0</v>
      </c>
      <c r="Q77" s="199">
        <f>IF(ISNUMBER(SEARCH('Карта учёта'!$B$25,Расходка[[#This Row],[Наименование расходного материала]])),MAX($Q$1:Q76)+1,0)</f>
        <v>0</v>
      </c>
      <c r="R77" s="200" t="str">
        <f>IFERROR(INDEX(Расходка[Наименование расходного материала],MATCH(Расходка[[#This Row],[№]],Поиск_расходки[Индекс1],0)),"")</f>
        <v/>
      </c>
      <c r="S77" s="200" t="str">
        <f>IFERROR(INDEX(Расходка[Наименование расходного материала],MATCH(Расходка[[#This Row],[№]],Поиск_расходки[Индекс2],0)),"")</f>
        <v/>
      </c>
      <c r="T77" s="200" t="str">
        <f>IFERROR(INDEX(Расходка[Наименование расходного материала],MATCH(Расходка[[#This Row],[№]],Поиск_расходки[Индекс3],0)),"")</f>
        <v/>
      </c>
      <c r="U77" s="200" t="str">
        <f>IFERROR(INDEX(Расходка[Наименование расходного материала],MATCH(Расходка[[#This Row],[№]],Поиск_расходки[Индекс4],0)),"")</f>
        <v/>
      </c>
      <c r="V77" s="200" t="str">
        <f>IFERROR(INDEX(Расходка[Наименование расходного материала],MATCH(Расходка[[#This Row],[№]],Поиск_расходки[Индекс5],0)),"")</f>
        <v/>
      </c>
      <c r="W77" s="200" t="str">
        <f>IFERROR(INDEX(Расходка[Наименование расходного материала],MATCH(Расходка[[#This Row],[№]],Поиск_расходки[Индекс6],0)),"")</f>
        <v/>
      </c>
      <c r="X77" s="200" t="str">
        <f>IFERROR(INDEX(Расходка[Наименование расходного материала],MATCH(Расходка[[#This Row],[№]],Поиск_расходки[Индекс7],0)),"")</f>
        <v/>
      </c>
      <c r="Y77" s="200" t="str">
        <f>IFERROR(INDEX(Расходка[Наименование расходного материала],MATCH(Расходка[[#This Row],[№]],Поиск_расходки[Индекс8],0)),"")</f>
        <v/>
      </c>
      <c r="Z77" s="200" t="str">
        <f>IFERROR(INDEX(Расходка[Наименование расходного материала],MATCH(Расходка[[#This Row],[№]],Поиск_расходки[Индекс9],0)),"")</f>
        <v/>
      </c>
      <c r="AA77" s="200" t="str">
        <f>IFERROR(INDEX(Расходка[Наименование расходного материала],MATCH(Расходка[[#This Row],[№]],Поиск_расходки[Индекс10],0)),"")</f>
        <v/>
      </c>
      <c r="AB77" s="200" t="str">
        <f>IFERROR(INDEX(Расходка[Наименование расходного материала],MATCH(Расходка[[#This Row],[№]],Поиск_расходки[Индекс11],0)),"")</f>
        <v/>
      </c>
      <c r="AC77" s="200" t="str">
        <f>IFERROR(INDEX(Расходка[Наименование расходного материала],MATCH(Расходка[[#This Row],[№]],Поиск_расходки[Индекс12],0)),"")</f>
        <v/>
      </c>
      <c r="AD77" s="200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9">
        <f>IF(ISNUMBER(SEARCH('Карта учёта'!$B$13,Расходка[[#This Row],[Наименование расходного материала]])),MAX($E$1:E77)+1,0)</f>
        <v>0</v>
      </c>
      <c r="F78" s="199">
        <f>IF(ISNUMBER(SEARCH('Карта учёта'!$B$14,Расходка[[#This Row],[Наименование расходного материала]])),MAX($F$1:F77)+1,0)</f>
        <v>0</v>
      </c>
      <c r="G78" s="199">
        <f>IF(ISNUMBER(SEARCH('Карта учёта'!$B$15,Расходка[[#This Row],[Наименование расходного материала]])),MAX($G$1:G77)+1,0)</f>
        <v>0</v>
      </c>
      <c r="H78" s="199">
        <f>IF(ISNUMBER(SEARCH('Карта учёта'!$B$16,Расходка[[#This Row],[Наименование расходного материала]])),MAX($H$1:H77)+1,0)</f>
        <v>0</v>
      </c>
      <c r="I78" s="199">
        <f>IF(ISNUMBER(SEARCH('Карта учёта'!$B$17,Расходка[[#This Row],[Наименование расходного материала]])),MAX($I$1:I77)+1,0)</f>
        <v>0</v>
      </c>
      <c r="J78" s="199">
        <f>IF(ISNUMBER(SEARCH('Карта учёта'!$B$18,Расходка[[#This Row],[Наименование расходного материала]])),MAX($J$1:J77)+1,0)</f>
        <v>0</v>
      </c>
      <c r="K78" s="199">
        <f>IF(ISNUMBER(SEARCH('Карта учёта'!$B$19,Расходка[[#This Row],[Наименование расходного материала]])),MAX($K$1:K77)+1,0)</f>
        <v>0</v>
      </c>
      <c r="L78" s="199">
        <f>IF(ISNUMBER(SEARCH('Карта учёта'!$B$20,Расходка[[#This Row],[Наименование расходного материала]])),MAX($L$1:L77)+1,0)</f>
        <v>0</v>
      </c>
      <c r="M78" s="199">
        <f>IF(ISNUMBER(SEARCH('Карта учёта'!$B$21,Расходка[[#This Row],[Наименование расходного материала]])),MAX($M$1:M77)+1,0)</f>
        <v>0</v>
      </c>
      <c r="N78" s="199">
        <f>IF(ISNUMBER(SEARCH('Карта учёта'!$B$22,Расходка[[#This Row],[Наименование расходного материала]])),MAX($N$1:N77)+1,0)</f>
        <v>0</v>
      </c>
      <c r="O78" s="199">
        <f>IF(ISNUMBER(SEARCH('Карта учёта'!$B$23,Расходка[[#This Row],[Наименование расходного материала]])),MAX($O$1:O77)+1,0)</f>
        <v>0</v>
      </c>
      <c r="P78" s="199">
        <f>IF(ISNUMBER(SEARCH('Карта учёта'!$B$24,Расходка[[#This Row],[Наименование расходного материала]])),MAX($P$1:P77)+1,0)</f>
        <v>0</v>
      </c>
      <c r="Q78" s="199">
        <f>IF(ISNUMBER(SEARCH('Карта учёта'!$B$25,Расходка[[#This Row],[Наименование расходного материала]])),MAX($Q$1:Q77)+1,0)</f>
        <v>0</v>
      </c>
      <c r="R78" s="200" t="str">
        <f>IFERROR(INDEX(Расходка[Наименование расходного материала],MATCH(Расходка[[#This Row],[№]],Поиск_расходки[Индекс1],0)),"")</f>
        <v/>
      </c>
      <c r="S78" s="200" t="str">
        <f>IFERROR(INDEX(Расходка[Наименование расходного материала],MATCH(Расходка[[#This Row],[№]],Поиск_расходки[Индекс2],0)),"")</f>
        <v/>
      </c>
      <c r="T78" s="200" t="str">
        <f>IFERROR(INDEX(Расходка[Наименование расходного материала],MATCH(Расходка[[#This Row],[№]],Поиск_расходки[Индекс3],0)),"")</f>
        <v/>
      </c>
      <c r="U78" s="200" t="str">
        <f>IFERROR(INDEX(Расходка[Наименование расходного материала],MATCH(Расходка[[#This Row],[№]],Поиск_расходки[Индекс4],0)),"")</f>
        <v/>
      </c>
      <c r="V78" s="200" t="str">
        <f>IFERROR(INDEX(Расходка[Наименование расходного материала],MATCH(Расходка[[#This Row],[№]],Поиск_расходки[Индекс5],0)),"")</f>
        <v/>
      </c>
      <c r="W78" s="200" t="str">
        <f>IFERROR(INDEX(Расходка[Наименование расходного материала],MATCH(Расходка[[#This Row],[№]],Поиск_расходки[Индекс6],0)),"")</f>
        <v/>
      </c>
      <c r="X78" s="200" t="str">
        <f>IFERROR(INDEX(Расходка[Наименование расходного материала],MATCH(Расходка[[#This Row],[№]],Поиск_расходки[Индекс7],0)),"")</f>
        <v/>
      </c>
      <c r="Y78" s="200" t="str">
        <f>IFERROR(INDEX(Расходка[Наименование расходного материала],MATCH(Расходка[[#This Row],[№]],Поиск_расходки[Индекс8],0)),"")</f>
        <v/>
      </c>
      <c r="Z78" s="200" t="str">
        <f>IFERROR(INDEX(Расходка[Наименование расходного материала],MATCH(Расходка[[#This Row],[№]],Поиск_расходки[Индекс9],0)),"")</f>
        <v/>
      </c>
      <c r="AA78" s="200" t="str">
        <f>IFERROR(INDEX(Расходка[Наименование расходного материала],MATCH(Расходка[[#This Row],[№]],Поиск_расходки[Индекс10],0)),"")</f>
        <v/>
      </c>
      <c r="AB78" s="200" t="str">
        <f>IFERROR(INDEX(Расходка[Наименование расходного материала],MATCH(Расходка[[#This Row],[№]],Поиск_расходки[Индекс11],0)),"")</f>
        <v/>
      </c>
      <c r="AC78" s="200" t="str">
        <f>IFERROR(INDEX(Расходка[Наименование расходного материала],MATCH(Расходка[[#This Row],[№]],Поиск_расходки[Индекс12],0)),"")</f>
        <v/>
      </c>
      <c r="AD78" s="200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F30" sqref="F3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518</v>
      </c>
      <c r="C15" s="20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4"/>
    </row>
    <row r="20" spans="1:3">
      <c r="C20" s="20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506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3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2024-05-12T20:20:54Z</cp:lastPrinted>
  <dcterms:created xsi:type="dcterms:W3CDTF">2015-06-05T18:19:34Z</dcterms:created>
  <dcterms:modified xsi:type="dcterms:W3CDTF">2024-05-12T20:23:04Z</dcterms:modified>
</cp:coreProperties>
</file>