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06\"/>
    </mc:Choice>
  </mc:AlternateContent>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3" l="1"/>
  <c r="C15" i="5" l="1"/>
  <c r="B15" i="9" l="1"/>
  <c r="E71" i="1" l="1"/>
  <c r="E72" i="1"/>
  <c r="E73" i="1"/>
  <c r="E74" i="1"/>
  <c r="E75" i="1"/>
  <c r="E76" i="1"/>
  <c r="E77" i="1"/>
  <c r="E78" i="1"/>
  <c r="F75" i="1"/>
  <c r="F76" i="1"/>
  <c r="F77" i="1"/>
  <c r="F78" i="1"/>
  <c r="G77" i="1"/>
  <c r="G78" i="1"/>
  <c r="H77" i="1"/>
  <c r="H78" i="1"/>
  <c r="I77" i="1"/>
  <c r="I78" i="1"/>
  <c r="J77" i="1"/>
  <c r="J78" i="1"/>
  <c r="K77" i="1"/>
  <c r="K78" i="1"/>
  <c r="L77" i="1"/>
  <c r="L78" i="1"/>
  <c r="M77" i="1"/>
  <c r="M78" i="1"/>
  <c r="N77" i="1"/>
  <c r="N78" i="1"/>
  <c r="O77" i="1"/>
  <c r="O78" i="1"/>
  <c r="P77" i="1"/>
  <c r="P78" i="1"/>
  <c r="Q77" i="1"/>
  <c r="Q78" i="1"/>
  <c r="R77" i="1"/>
  <c r="R78" i="1"/>
  <c r="S77" i="1"/>
  <c r="S78" i="1"/>
  <c r="T77" i="1"/>
  <c r="T78" i="1"/>
  <c r="U77" i="1"/>
  <c r="U78" i="1"/>
  <c r="V77" i="1"/>
  <c r="V78" i="1"/>
  <c r="W77" i="1"/>
  <c r="W78" i="1"/>
  <c r="X77" i="1"/>
  <c r="X78" i="1"/>
  <c r="Y77" i="1"/>
  <c r="Y78" i="1"/>
  <c r="Z77" i="1"/>
  <c r="Z78" i="1"/>
  <c r="AA77" i="1"/>
  <c r="AA78" i="1"/>
  <c r="AB77" i="1"/>
  <c r="AB78" i="1"/>
  <c r="AC77" i="1"/>
  <c r="AC78" i="1"/>
  <c r="AD77" i="1"/>
  <c r="AD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O11" i="1"/>
  <c r="O12" i="1" s="1"/>
  <c r="O13" i="1" s="1"/>
  <c r="Q8" i="1"/>
  <c r="Q9" i="1" s="1"/>
  <c r="J8" i="1"/>
  <c r="E11" i="1"/>
  <c r="E12" i="1" s="1"/>
  <c r="E13" i="1" s="1"/>
  <c r="E14" i="1" s="1"/>
  <c r="E15" i="1" s="1"/>
  <c r="M8" i="1"/>
  <c r="N10" i="1"/>
  <c r="I8" i="1"/>
  <c r="G9" i="1"/>
  <c r="H9" i="1"/>
  <c r="F8" i="1"/>
  <c r="K9" i="1"/>
  <c r="L10" i="1"/>
  <c r="P10" i="1" l="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P12"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61" i="1" s="1"/>
  <c r="AD60" i="1"/>
  <c r="AD57" i="1"/>
  <c r="AD59" i="1"/>
  <c r="H23" i="1"/>
  <c r="K18" i="1"/>
  <c r="K19" i="1" s="1"/>
  <c r="K20" i="1" s="1"/>
  <c r="K21" i="1" s="1"/>
  <c r="K22" i="1" s="1"/>
  <c r="K23" i="1" s="1"/>
  <c r="K24" i="1" s="1"/>
  <c r="I25" i="1"/>
  <c r="I26" i="1" s="1"/>
  <c r="AD4" i="1"/>
  <c r="AD6" i="1"/>
  <c r="AD5" i="1"/>
  <c r="AD7" i="1"/>
  <c r="AD15" i="1"/>
  <c r="AD13" i="1"/>
  <c r="M21" i="1"/>
  <c r="L18" i="1"/>
  <c r="G16" i="1"/>
  <c r="G17" i="1" s="1"/>
  <c r="F20" i="1"/>
  <c r="O56" i="1" l="1"/>
  <c r="O57" i="1" s="1"/>
  <c r="P17" i="1"/>
  <c r="E66" i="1"/>
  <c r="Q62" i="1"/>
  <c r="J22" i="1"/>
  <c r="J23" i="1" s="1"/>
  <c r="J24" i="1" s="1"/>
  <c r="N20" i="1"/>
  <c r="N21" i="1" s="1"/>
  <c r="N22" i="1" s="1"/>
  <c r="K25" i="1"/>
  <c r="K26" i="1" s="1"/>
  <c r="K27" i="1" s="1"/>
  <c r="H24" i="1"/>
  <c r="AD18" i="1"/>
  <c r="G18" i="1"/>
  <c r="G19" i="1" s="1"/>
  <c r="G20" i="1" s="1"/>
  <c r="I27" i="1"/>
  <c r="M22" i="1"/>
  <c r="L19" i="1"/>
  <c r="L20" i="1" s="1"/>
  <c r="F21" i="1"/>
  <c r="O58" i="1" l="1"/>
  <c r="O59" i="1" s="1"/>
  <c r="P18" i="1"/>
  <c r="E67" i="1"/>
  <c r="AD62" i="1"/>
  <c r="Q63" i="1"/>
  <c r="Q64" i="1" s="1"/>
  <c r="Q65" i="1" s="1"/>
  <c r="Q66" i="1" s="1"/>
  <c r="K28" i="1"/>
  <c r="K29" i="1" s="1"/>
  <c r="AD26" i="1"/>
  <c r="G21" i="1"/>
  <c r="G22" i="1" s="1"/>
  <c r="G23" i="1" s="1"/>
  <c r="H25" i="1"/>
  <c r="I28" i="1"/>
  <c r="M23" i="1"/>
  <c r="J25" i="1"/>
  <c r="N23" i="1"/>
  <c r="L21" i="1"/>
  <c r="F22" i="1"/>
  <c r="O60" i="1" l="1"/>
  <c r="O61" i="1" s="1"/>
  <c r="O62" i="1" s="1"/>
  <c r="P19" i="1"/>
  <c r="E68" i="1"/>
  <c r="Q67" i="1"/>
  <c r="AD66" i="1"/>
  <c r="AD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5" i="1" l="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O64" i="1" l="1"/>
  <c r="P21" i="1"/>
  <c r="Q69" i="1"/>
  <c r="AD69" i="1" s="1"/>
  <c r="AD68"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Q71" i="1" s="1"/>
  <c r="Q72" i="1" s="1"/>
  <c r="J50" i="1"/>
  <c r="J51" i="1" s="1"/>
  <c r="H47" i="1"/>
  <c r="H48" i="1" s="1"/>
  <c r="I47" i="1"/>
  <c r="I48" i="1" s="1"/>
  <c r="I49" i="1" s="1"/>
  <c r="I50" i="1" s="1"/>
  <c r="K43" i="1"/>
  <c r="N27" i="1"/>
  <c r="M28" i="1"/>
  <c r="M29" i="1" s="1"/>
  <c r="L30" i="1"/>
  <c r="G29" i="1"/>
  <c r="F28" i="1"/>
  <c r="O66" i="1" l="1"/>
  <c r="O67" i="1" s="1"/>
  <c r="O68" i="1" s="1"/>
  <c r="P23" i="1"/>
  <c r="AD58" i="1"/>
  <c r="Q73" i="1"/>
  <c r="AD71" i="1"/>
  <c r="AD72"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71" i="1"/>
  <c r="AB68" i="1"/>
  <c r="AB62" i="1"/>
  <c r="AB57" i="1"/>
  <c r="AB61" i="1"/>
  <c r="AB21" i="1"/>
  <c r="AB6" i="1"/>
  <c r="AB56" i="1"/>
  <c r="AB7" i="1"/>
  <c r="AB60" i="1"/>
  <c r="AB63" i="1"/>
  <c r="AB65" i="1"/>
  <c r="AB64" i="1"/>
  <c r="AD73" i="1"/>
  <c r="Q74" i="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AD74" i="1" l="1"/>
  <c r="Q75" i="1"/>
  <c r="AB70" i="1"/>
  <c r="AB69" i="1"/>
  <c r="AB72" i="1"/>
  <c r="O73" i="1"/>
  <c r="O74" i="1" s="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AD75" i="1" l="1"/>
  <c r="Q76" i="1"/>
  <c r="AD76" i="1" s="1"/>
  <c r="AB74" i="1"/>
  <c r="O75" i="1"/>
  <c r="AB73" i="1"/>
  <c r="P26" i="1"/>
  <c r="AC25" i="1"/>
  <c r="H65" i="1"/>
  <c r="J67" i="1"/>
  <c r="W2" i="1"/>
  <c r="I54" i="1"/>
  <c r="I55" i="1" s="1"/>
  <c r="I56" i="1" s="1"/>
  <c r="I57" i="1" s="1"/>
  <c r="I58" i="1" s="1"/>
  <c r="I59" i="1" s="1"/>
  <c r="I60" i="1" s="1"/>
  <c r="I61" i="1" s="1"/>
  <c r="I62" i="1" s="1"/>
  <c r="F51" i="1"/>
  <c r="G47" i="1"/>
  <c r="K47" i="1"/>
  <c r="L35" i="1"/>
  <c r="M34" i="1"/>
  <c r="AB31" i="1"/>
  <c r="N32" i="1"/>
  <c r="N33" i="1" s="1"/>
  <c r="AB29" i="1"/>
  <c r="AB75" i="1" l="1"/>
  <c r="O76" i="1"/>
  <c r="AB76" i="1" s="1"/>
  <c r="P27" i="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P28" i="1" l="1"/>
  <c r="I67" i="1"/>
  <c r="I68" i="1" s="1"/>
  <c r="I69" i="1" s="1"/>
  <c r="H67" i="1"/>
  <c r="J69"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P29" i="1" l="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P30" i="1" l="1"/>
  <c r="AC29" i="1"/>
  <c r="H73" i="1"/>
  <c r="J71" i="1"/>
  <c r="I71" i="1"/>
  <c r="F70" i="1"/>
  <c r="F71" i="1" s="1"/>
  <c r="F72" i="1" s="1"/>
  <c r="F73" i="1" s="1"/>
  <c r="U2" i="1"/>
  <c r="S2" i="1"/>
  <c r="K52" i="1"/>
  <c r="K53" i="1" s="1"/>
  <c r="G51" i="1"/>
  <c r="AD39" i="1"/>
  <c r="AC23" i="1"/>
  <c r="AB46" i="1"/>
  <c r="N45" i="1"/>
  <c r="L40" i="1"/>
  <c r="M38" i="1"/>
  <c r="M39" i="1" s="1"/>
  <c r="M40" i="1" s="1"/>
  <c r="H74" i="1" l="1"/>
  <c r="F74" i="1"/>
  <c r="S56" i="1" s="1"/>
  <c r="P31" i="1"/>
  <c r="AC31" i="1" s="1"/>
  <c r="AC30" i="1"/>
  <c r="I72" i="1"/>
  <c r="J72" i="1"/>
  <c r="S67" i="1"/>
  <c r="N46" i="1"/>
  <c r="N47" i="1" s="1"/>
  <c r="N48" i="1" s="1"/>
  <c r="G52" i="1"/>
  <c r="K54" i="1"/>
  <c r="K55" i="1" s="1"/>
  <c r="K56" i="1" s="1"/>
  <c r="K57" i="1" s="1"/>
  <c r="K58" i="1" s="1"/>
  <c r="K59" i="1" s="1"/>
  <c r="K60" i="1" s="1"/>
  <c r="K61" i="1" s="1"/>
  <c r="K62" i="1" s="1"/>
  <c r="K63" i="1" s="1"/>
  <c r="K64" i="1" s="1"/>
  <c r="K65" i="1" s="1"/>
  <c r="K66" i="1" s="1"/>
  <c r="AB23" i="1"/>
  <c r="AB47" i="1"/>
  <c r="M41" i="1"/>
  <c r="L41" i="1"/>
  <c r="S66" i="1" l="1"/>
  <c r="S76"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AC32" i="1" s="1"/>
  <c r="J73" i="1"/>
  <c r="I73" i="1"/>
  <c r="V2" i="1" s="1"/>
  <c r="K67" i="1"/>
  <c r="G53" i="1"/>
  <c r="N49" i="1"/>
  <c r="N50" i="1" s="1"/>
  <c r="AB35" i="1"/>
  <c r="AC28"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H76" i="1" l="1"/>
  <c r="U49" i="1" s="1"/>
  <c r="U74" i="1"/>
  <c r="U58" i="1"/>
  <c r="U54" i="1"/>
  <c r="U69" i="1"/>
  <c r="U59" i="1"/>
  <c r="U56" i="1"/>
  <c r="U64" i="1"/>
  <c r="U66" i="1"/>
  <c r="J74" i="1"/>
  <c r="I74" i="1"/>
  <c r="P33" i="1"/>
  <c r="AC33" i="1" s="1"/>
  <c r="K68" i="1"/>
  <c r="G54" i="1"/>
  <c r="R2" i="1"/>
  <c r="N51" i="1"/>
  <c r="N52" i="1" s="1"/>
  <c r="N53" i="1" s="1"/>
  <c r="N54" i="1" s="1"/>
  <c r="N55" i="1" s="1"/>
  <c r="AB45" i="1"/>
  <c r="AC11" i="1"/>
  <c r="AC27" i="1"/>
  <c r="AC10" i="1"/>
  <c r="AC8" i="1"/>
  <c r="AC24" i="1"/>
  <c r="AC9" i="1"/>
  <c r="AC12" i="1"/>
  <c r="M43" i="1"/>
  <c r="L43" i="1"/>
  <c r="U46" i="1" l="1"/>
  <c r="U51" i="1"/>
  <c r="U70" i="1"/>
  <c r="U45" i="1"/>
  <c r="U39" i="1"/>
  <c r="U75" i="1"/>
  <c r="U76" i="1"/>
  <c r="U71" i="1"/>
  <c r="U67" i="1"/>
  <c r="U50" i="1"/>
  <c r="U72" i="1"/>
  <c r="U57" i="1"/>
  <c r="U55" i="1"/>
  <c r="U47" i="1"/>
  <c r="U40" i="1"/>
  <c r="U44" i="1"/>
  <c r="U73" i="1"/>
  <c r="U52" i="1"/>
  <c r="U42" i="1"/>
  <c r="U61" i="1"/>
  <c r="U60" i="1"/>
  <c r="U41" i="1"/>
  <c r="U68" i="1"/>
  <c r="U65" i="1"/>
  <c r="U62" i="1"/>
  <c r="U48" i="1"/>
  <c r="U43" i="1"/>
  <c r="U63" i="1"/>
  <c r="U53" i="1"/>
  <c r="J75" i="1"/>
  <c r="I75" i="1"/>
  <c r="I76" i="1" s="1"/>
  <c r="V76" i="1" s="1"/>
  <c r="V59" i="1"/>
  <c r="P34" i="1"/>
  <c r="AC34" i="1" s="1"/>
  <c r="K69" i="1"/>
  <c r="N56" i="1"/>
  <c r="N57" i="1" s="1"/>
  <c r="N58" i="1" s="1"/>
  <c r="G55" i="1"/>
  <c r="AC3" i="1"/>
  <c r="AC20" i="1"/>
  <c r="AC14"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V44" i="1" l="1"/>
  <c r="V69" i="1"/>
  <c r="V72" i="1"/>
  <c r="V65" i="1"/>
  <c r="V48" i="1"/>
  <c r="V42" i="1"/>
  <c r="V61" i="1"/>
  <c r="V55" i="1"/>
  <c r="V52" i="1"/>
  <c r="V67" i="1"/>
  <c r="V64" i="1"/>
  <c r="V74" i="1"/>
  <c r="V63" i="1"/>
  <c r="V73" i="1"/>
  <c r="V40" i="1"/>
  <c r="V57" i="1"/>
  <c r="V58" i="1"/>
  <c r="V47" i="1"/>
  <c r="V50" i="1"/>
  <c r="V49" i="1"/>
  <c r="V68" i="1"/>
  <c r="V54" i="1"/>
  <c r="V71" i="1"/>
  <c r="V43" i="1"/>
  <c r="V51" i="1"/>
  <c r="V70" i="1"/>
  <c r="V62" i="1"/>
  <c r="V45" i="1"/>
  <c r="V46" i="1"/>
  <c r="V66" i="1"/>
  <c r="J76" i="1"/>
  <c r="W75" i="1" s="1"/>
  <c r="V75" i="1"/>
  <c r="V53" i="1"/>
  <c r="V60" i="1"/>
  <c r="V39" i="1"/>
  <c r="V41" i="1"/>
  <c r="V5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W76" i="1" l="1"/>
  <c r="W50" i="1"/>
  <c r="W62" i="1"/>
  <c r="W39" i="1"/>
  <c r="W47" i="1"/>
  <c r="W55" i="1"/>
  <c r="W66" i="1"/>
  <c r="W65" i="1"/>
  <c r="W52" i="1"/>
  <c r="W70" i="1"/>
  <c r="W45" i="1"/>
  <c r="W41" i="1"/>
  <c r="W40" i="1"/>
  <c r="W44" i="1"/>
  <c r="W58" i="1"/>
  <c r="W56" i="1"/>
  <c r="W61" i="1"/>
  <c r="W59" i="1"/>
  <c r="W48" i="1"/>
  <c r="W42" i="1"/>
  <c r="W71" i="1"/>
  <c r="W54" i="1"/>
  <c r="W69" i="1"/>
  <c r="W57" i="1"/>
  <c r="W46" i="1"/>
  <c r="W64" i="1"/>
  <c r="W68" i="1"/>
  <c r="W49" i="1"/>
  <c r="W74" i="1"/>
  <c r="W67" i="1"/>
  <c r="W73" i="1"/>
  <c r="W63" i="1"/>
  <c r="W51" i="1"/>
  <c r="W60" i="1"/>
  <c r="W72" i="1"/>
  <c r="W43" i="1"/>
  <c r="W53" i="1"/>
  <c r="P36" i="1"/>
  <c r="AC35" i="1"/>
  <c r="AC36" i="1"/>
  <c r="K72" i="1"/>
  <c r="N60" i="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1" i="1" l="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N67" i="1" l="1"/>
  <c r="N68" i="1" s="1"/>
  <c r="K74" i="1"/>
  <c r="P38" i="1"/>
  <c r="AC38" i="1" s="1"/>
  <c r="G62" i="1"/>
  <c r="M51" i="1"/>
  <c r="M52" i="1" s="1"/>
  <c r="M53" i="1" s="1"/>
  <c r="L50" i="1"/>
  <c r="G63" i="1" l="1"/>
  <c r="G64" i="1" s="1"/>
  <c r="K75" i="1"/>
  <c r="P39" i="1"/>
  <c r="N69" i="1"/>
  <c r="M54" i="1"/>
  <c r="M55" i="1" s="1"/>
  <c r="L51" i="1"/>
  <c r="L52" i="1" s="1"/>
  <c r="L53" i="1" s="1"/>
  <c r="K76" i="1" l="1"/>
  <c r="X4" i="1" s="1"/>
  <c r="P40" i="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N70" i="1"/>
  <c r="G65" i="1"/>
  <c r="G66" i="1" s="1"/>
  <c r="G67" i="1" s="1"/>
  <c r="G68" i="1" s="1"/>
  <c r="G69" i="1" s="1"/>
  <c r="G70" i="1" s="1"/>
  <c r="G71" i="1" s="1"/>
  <c r="G72" i="1" s="1"/>
  <c r="M56" i="1"/>
  <c r="M57" i="1" s="1"/>
  <c r="L54" i="1"/>
  <c r="X29" i="1" l="1"/>
  <c r="X13" i="1"/>
  <c r="X5" i="1"/>
  <c r="X68" i="1"/>
  <c r="X19" i="1"/>
  <c r="X64" i="1"/>
  <c r="X3" i="1"/>
  <c r="X75" i="1"/>
  <c r="X6" i="1"/>
  <c r="X11" i="1"/>
  <c r="X46" i="1"/>
  <c r="X40" i="1"/>
  <c r="X49" i="1"/>
  <c r="X36" i="1"/>
  <c r="X35" i="1"/>
  <c r="X9" i="1"/>
  <c r="X48" i="1"/>
  <c r="X65" i="1"/>
  <c r="X23" i="1"/>
  <c r="X28" i="1"/>
  <c r="X20" i="1"/>
  <c r="X12" i="1"/>
  <c r="X63" i="1"/>
  <c r="X60" i="1"/>
  <c r="X15" i="1"/>
  <c r="X31" i="1"/>
  <c r="X14" i="1"/>
  <c r="X2" i="1"/>
  <c r="X76" i="1"/>
  <c r="X25" i="1"/>
  <c r="X33" i="1"/>
  <c r="X41" i="1"/>
  <c r="X32" i="1"/>
  <c r="X67" i="1"/>
  <c r="X56" i="1"/>
  <c r="X42" i="1"/>
  <c r="X43" i="1"/>
  <c r="X66" i="1"/>
  <c r="X38" i="1"/>
  <c r="X74" i="1"/>
  <c r="X47" i="1"/>
  <c r="X16" i="1"/>
  <c r="X50" i="1"/>
  <c r="X26" i="1"/>
  <c r="X34" i="1"/>
  <c r="X44" i="1"/>
  <c r="X45" i="1"/>
  <c r="X10" i="1"/>
  <c r="X30" i="1"/>
  <c r="X18" i="1"/>
  <c r="X39" i="1"/>
  <c r="X73" i="1"/>
  <c r="X59" i="1"/>
  <c r="X71" i="1"/>
  <c r="X54" i="1"/>
  <c r="X24" i="1"/>
  <c r="X37" i="1"/>
  <c r="X72" i="1"/>
  <c r="X61" i="1"/>
  <c r="X51" i="1"/>
  <c r="X7" i="1"/>
  <c r="X21" i="1"/>
  <c r="X55" i="1"/>
  <c r="X27" i="1"/>
  <c r="X57" i="1"/>
  <c r="X69" i="1"/>
  <c r="X52" i="1"/>
  <c r="X70" i="1"/>
  <c r="X17" i="1"/>
  <c r="X62" i="1"/>
  <c r="X58" i="1"/>
  <c r="X22" i="1"/>
  <c r="X8" i="1"/>
  <c r="X53" i="1"/>
  <c r="AC45" i="1"/>
  <c r="AC44" i="1"/>
  <c r="AA2" i="1"/>
  <c r="AC54" i="1"/>
  <c r="AC52" i="1"/>
  <c r="AC68" i="1"/>
  <c r="P69" i="1"/>
  <c r="P70" i="1" s="1"/>
  <c r="P71" i="1" s="1"/>
  <c r="P72" i="1" s="1"/>
  <c r="P73" i="1" s="1"/>
  <c r="AC50" i="1"/>
  <c r="AC49" i="1"/>
  <c r="AC48" i="1"/>
  <c r="G73" i="1"/>
  <c r="N71" i="1"/>
  <c r="M58" i="1"/>
  <c r="M59" i="1" s="1"/>
  <c r="M60" i="1" s="1"/>
  <c r="L55" i="1"/>
  <c r="L56" i="1" s="1"/>
  <c r="L57" i="1" s="1"/>
  <c r="L58" i="1" s="1"/>
  <c r="L59" i="1" s="1"/>
  <c r="L60" i="1" s="1"/>
  <c r="L61" i="1" s="1"/>
  <c r="L62" i="1" s="1"/>
  <c r="L63" i="1" s="1"/>
  <c r="L64" i="1" s="1"/>
  <c r="L65" i="1" s="1"/>
  <c r="L66" i="1" s="1"/>
  <c r="G74" i="1" l="1"/>
  <c r="G75" i="1" s="1"/>
  <c r="AC73" i="1"/>
  <c r="P74" i="1"/>
  <c r="N72" i="1"/>
  <c r="N73" i="1" s="1"/>
  <c r="L67" i="1"/>
  <c r="M61" i="1"/>
  <c r="G76" i="1" l="1"/>
  <c r="T76" i="1" s="1"/>
  <c r="T2" i="1"/>
  <c r="AC51" i="1"/>
  <c r="P75" i="1"/>
  <c r="T6" i="1"/>
  <c r="T74" i="1"/>
  <c r="T66" i="1"/>
  <c r="T9" i="1"/>
  <c r="T67" i="1"/>
  <c r="T43" i="1"/>
  <c r="T20" i="1"/>
  <c r="T39" i="1"/>
  <c r="T72" i="1"/>
  <c r="T10" i="1"/>
  <c r="T11" i="1"/>
  <c r="T35" i="1"/>
  <c r="T28" i="1"/>
  <c r="T27" i="1"/>
  <c r="T52" i="1"/>
  <c r="T14" i="1"/>
  <c r="T29" i="1"/>
  <c r="T56" i="1"/>
  <c r="T12" i="1"/>
  <c r="T30" i="1"/>
  <c r="T26" i="1"/>
  <c r="T63" i="1"/>
  <c r="T54" i="1"/>
  <c r="T45" i="1"/>
  <c r="T19" i="1"/>
  <c r="T18" i="1"/>
  <c r="T38" i="1"/>
  <c r="N74" i="1"/>
  <c r="AC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Y2" i="1"/>
  <c r="T57" i="1" l="1"/>
  <c r="T15" i="1"/>
  <c r="T33" i="1"/>
  <c r="T40" i="1"/>
  <c r="T5" i="1"/>
  <c r="T68" i="1"/>
  <c r="T50" i="1"/>
  <c r="T64" i="1"/>
  <c r="T71" i="1"/>
  <c r="T41" i="1"/>
  <c r="T62" i="1"/>
  <c r="T21" i="1"/>
  <c r="T42" i="1"/>
  <c r="T69" i="1"/>
  <c r="T32" i="1"/>
  <c r="T25" i="1"/>
  <c r="T16" i="1"/>
  <c r="T61" i="1"/>
  <c r="T55" i="1"/>
  <c r="T31" i="1"/>
  <c r="T22" i="1"/>
  <c r="T70" i="1"/>
  <c r="T59" i="1"/>
  <c r="T23" i="1"/>
  <c r="T37" i="1"/>
  <c r="T7" i="1"/>
  <c r="T13" i="1"/>
  <c r="T8" i="1"/>
  <c r="T60" i="1"/>
  <c r="T51" i="1"/>
  <c r="T36" i="1"/>
  <c r="T24" i="1"/>
  <c r="T65" i="1"/>
  <c r="T46" i="1"/>
  <c r="T48" i="1"/>
  <c r="T44" i="1"/>
  <c r="T17" i="1"/>
  <c r="T49" i="1"/>
  <c r="T47" i="1"/>
  <c r="T58" i="1"/>
  <c r="T34" i="1"/>
  <c r="T73" i="1"/>
  <c r="T4" i="1"/>
  <c r="T3" i="1"/>
  <c r="T75" i="1"/>
  <c r="T53" i="1"/>
  <c r="AC75" i="1"/>
  <c r="P76" i="1"/>
  <c r="AA44" i="1"/>
  <c r="N75" i="1"/>
  <c r="AA3" i="1"/>
  <c r="AA58" i="1"/>
  <c r="AA72" i="1"/>
  <c r="AA73" i="1"/>
  <c r="AA21" i="1"/>
  <c r="AA27" i="1"/>
  <c r="AA10" i="1"/>
  <c r="AA22" i="1"/>
  <c r="AA13" i="1"/>
  <c r="AA6" i="1"/>
  <c r="AA43" i="1"/>
  <c r="AA31" i="1"/>
  <c r="AA30" i="1"/>
  <c r="AA59" i="1"/>
  <c r="AA14" i="1"/>
  <c r="AA23" i="1"/>
  <c r="AA54" i="1"/>
  <c r="AA65" i="1"/>
  <c r="AA47" i="1"/>
  <c r="AA17" i="1"/>
  <c r="AA8" i="1"/>
  <c r="AA39" i="1"/>
  <c r="AA61" i="1"/>
  <c r="AA18" i="1"/>
  <c r="AA15" i="1"/>
  <c r="AA70" i="1"/>
  <c r="AA25" i="1"/>
  <c r="AA37" i="1"/>
  <c r="AA28" i="1"/>
  <c r="AA68" i="1"/>
  <c r="AA19" i="1"/>
  <c r="AA38" i="1"/>
  <c r="AA62" i="1"/>
  <c r="AA63" i="1"/>
  <c r="AA60" i="1"/>
  <c r="AA66" i="1"/>
  <c r="AA64" i="1"/>
  <c r="AA71" i="1"/>
  <c r="AA45" i="1"/>
  <c r="AA50" i="1"/>
  <c r="AA55" i="1"/>
  <c r="AA46" i="1"/>
  <c r="AA29" i="1"/>
  <c r="AA16" i="1"/>
  <c r="AA67" i="1"/>
  <c r="AA7" i="1"/>
  <c r="AA20" i="1"/>
  <c r="AA48" i="1"/>
  <c r="AA49" i="1"/>
  <c r="AA33" i="1"/>
  <c r="AA40" i="1"/>
  <c r="AA35" i="1"/>
  <c r="AA42" i="1"/>
  <c r="AA12" i="1"/>
  <c r="AA34" i="1"/>
  <c r="AA9" i="1"/>
  <c r="AA36" i="1"/>
  <c r="AA41" i="1"/>
  <c r="AA5" i="1"/>
  <c r="AA32" i="1"/>
  <c r="AA69" i="1"/>
  <c r="AA56" i="1"/>
  <c r="AA24" i="1"/>
  <c r="AA11" i="1"/>
  <c r="AA52" i="1"/>
  <c r="AA26" i="1"/>
  <c r="AA4" i="1"/>
  <c r="AA57" i="1"/>
  <c r="AA74" i="1"/>
  <c r="AA51" i="1"/>
  <c r="L69" i="1"/>
  <c r="M63" i="1"/>
  <c r="M64" i="1" s="1"/>
  <c r="M65" i="1" s="1"/>
  <c r="M66" i="1" s="1"/>
  <c r="AC76" i="1" l="1"/>
  <c r="AC53" i="1"/>
  <c r="AA75" i="1"/>
  <c r="N76" i="1"/>
  <c r="AA76" i="1" s="1"/>
  <c r="L70" i="1"/>
  <c r="M67" i="1"/>
  <c r="AA53" i="1" l="1"/>
  <c r="L71" i="1"/>
  <c r="L72" i="1" s="1"/>
  <c r="L73" i="1" s="1"/>
  <c r="M68" i="1"/>
  <c r="L74" i="1" l="1"/>
  <c r="L75" i="1" s="1"/>
  <c r="M69" i="1"/>
  <c r="Y75" i="1" l="1"/>
  <c r="L76" i="1"/>
  <c r="Y76" i="1" s="1"/>
  <c r="Y69" i="1"/>
  <c r="Y63" i="1"/>
  <c r="Y20" i="1"/>
  <c r="Y64" i="1"/>
  <c r="Y16" i="1"/>
  <c r="Y27" i="1"/>
  <c r="Y48" i="1"/>
  <c r="Y38" i="1"/>
  <c r="Y19" i="1"/>
  <c r="Y43" i="1"/>
  <c r="Y36" i="1"/>
  <c r="Y39" i="1"/>
  <c r="Y37" i="1"/>
  <c r="Y14" i="1"/>
  <c r="Y10" i="1"/>
  <c r="Y53" i="1"/>
  <c r="Y61" i="1"/>
  <c r="Y59" i="1"/>
  <c r="Y60" i="1"/>
  <c r="Y12" i="1"/>
  <c r="Y44" i="1"/>
  <c r="Y40" i="1"/>
  <c r="Y8" i="1"/>
  <c r="Y26" i="1"/>
  <c r="Y21" i="1"/>
  <c r="Y52" i="1"/>
  <c r="Y35" i="1"/>
  <c r="Y54" i="1"/>
  <c r="Y28" i="1"/>
  <c r="Y49" i="1"/>
  <c r="Y34" i="1"/>
  <c r="Y22" i="1"/>
  <c r="Y72" i="1"/>
  <c r="Y68" i="1"/>
  <c r="Y67" i="1"/>
  <c r="Y58" i="1"/>
  <c r="Y57" i="1"/>
  <c r="Y62" i="1"/>
  <c r="Y25" i="1"/>
  <c r="Y18" i="1"/>
  <c r="Y7" i="1"/>
  <c r="Y55" i="1"/>
  <c r="Y11" i="1"/>
  <c r="Y5" i="1"/>
  <c r="Y29" i="1"/>
  <c r="Y46" i="1"/>
  <c r="Y41" i="1"/>
  <c r="Y6" i="1"/>
  <c r="Y32" i="1"/>
  <c r="Y47" i="1"/>
  <c r="Y66" i="1"/>
  <c r="Y65" i="1"/>
  <c r="Y56" i="1"/>
  <c r="Y17" i="1"/>
  <c r="Y23" i="1"/>
  <c r="Y42" i="1"/>
  <c r="Y45" i="1"/>
  <c r="Y15" i="1"/>
  <c r="Y33" i="1"/>
  <c r="Y50" i="1"/>
  <c r="Y24" i="1"/>
  <c r="Y9" i="1"/>
  <c r="Y30" i="1"/>
  <c r="Y13" i="1"/>
  <c r="Y4" i="1"/>
  <c r="Y71" i="1"/>
  <c r="Y70" i="1"/>
  <c r="Y3" i="1"/>
  <c r="Y73" i="1"/>
  <c r="Y31" i="1"/>
  <c r="Y74" i="1"/>
  <c r="Y51" i="1"/>
  <c r="M70" i="1"/>
  <c r="M71" i="1" l="1"/>
  <c r="M72" i="1" l="1"/>
  <c r="M73" i="1" l="1"/>
  <c r="M74" i="1" l="1"/>
  <c r="M75" i="1" s="1"/>
  <c r="M76" i="1" l="1"/>
  <c r="Z76" i="1" s="1"/>
  <c r="Z2" i="1"/>
  <c r="Z27" i="1"/>
  <c r="Z48" i="1"/>
  <c r="Z64" i="1"/>
  <c r="Z21" i="1"/>
  <c r="Z13" i="1"/>
  <c r="Z6" i="1"/>
  <c r="Z24" i="1"/>
  <c r="Z4" i="1"/>
  <c r="Z46" i="1"/>
  <c r="Z26" i="1"/>
  <c r="Z17" i="1"/>
  <c r="Z32" i="1"/>
  <c r="Z41" i="1"/>
  <c r="Z36" i="1"/>
  <c r="Z56" i="1"/>
  <c r="Z29" i="1"/>
  <c r="Z53" i="1"/>
  <c r="Z66" i="1"/>
  <c r="Z49" i="1"/>
  <c r="Z38" i="1"/>
  <c r="Z25" i="1"/>
  <c r="Z33" i="1"/>
  <c r="Z14" i="1"/>
  <c r="Z57" i="1"/>
  <c r="Z61" i="1"/>
  <c r="Z50" i="1"/>
  <c r="Z52" i="1"/>
  <c r="Z23" i="1"/>
  <c r="Z54" i="1"/>
  <c r="Z59" i="1"/>
  <c r="Z37" i="1"/>
  <c r="Z42" i="1"/>
  <c r="Z62" i="1"/>
  <c r="Z28" i="1"/>
  <c r="Z16" i="1"/>
  <c r="Z60" i="1"/>
  <c r="Z43" i="1"/>
  <c r="Z30" i="1"/>
  <c r="Z19" i="1"/>
  <c r="Z11" i="1"/>
  <c r="Z68" i="1"/>
  <c r="Z39" i="1"/>
  <c r="Z34" i="1"/>
  <c r="Z9" i="1"/>
  <c r="Z55" i="1"/>
  <c r="Z67" i="1"/>
  <c r="Z44" i="1"/>
  <c r="Z20" i="1"/>
  <c r="Z63" i="1"/>
  <c r="Z5" i="1"/>
  <c r="Z10" i="1"/>
  <c r="Z35" i="1"/>
  <c r="Z65" i="1"/>
  <c r="Z15" i="1"/>
  <c r="Z7" i="1"/>
  <c r="Z45" i="1"/>
  <c r="Z22" i="1"/>
  <c r="Z8" i="1"/>
  <c r="Z3" i="1"/>
  <c r="Z18" i="1"/>
  <c r="Z40" i="1"/>
  <c r="Z47" i="1"/>
  <c r="Z69" i="1"/>
  <c r="Z70" i="1"/>
  <c r="Z58" i="1"/>
  <c r="Z73" i="1"/>
  <c r="Z31" i="1"/>
  <c r="Z12" i="1"/>
  <c r="Z72" i="1"/>
  <c r="Z71" i="1"/>
  <c r="Z74" i="1"/>
  <c r="Z51" i="1"/>
  <c r="Z75" i="1" l="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<sst xmlns="http://schemas.openxmlformats.org/spreadsheetml/2006/main" count="891" uniqueCount="538">
  <si>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</si>
  <si>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</si>
  <si>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</si>
  <si>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</si>
  <si>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</si>
  <si>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</si>
  <si>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</si>
  <si>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</si>
  <si>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</si>
  <si>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</si>
  <si>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</si>
  <si>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</si>
  <si>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</si>
  <si>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</si>
  <si>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</si>
  <si>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</si>
  <si>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</si>
  <si>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</si>
  <si>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</si>
  <si>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</si>
  <si>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</si>
  <si>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</si>
  <si>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</si>
  <si>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</si>
  <si>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</si>
  <si>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</si>
  <si>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</si>
  <si>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</si>
  <si>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</si>
  <si>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</si>
  <si>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</si>
  <si>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</si>
  <si>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</si>
  <si>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</si>
  <si>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</si>
  <si>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</si>
  <si>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</si>
  <si>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</si>
  <si>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</si>
  <si>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</si>
  <si>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</si>
  <si>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</si>
  <si>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</si>
  <si>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</si>
  <si>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</si>
  <si>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</si>
  <si>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</si>
  <si>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</si>
  <si>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</si>
  <si>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</si>
  <si>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</si>
  <si>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</si>
  <si>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</si>
  <si>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</si>
  <si>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</si>
  <si>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</si>
  <si>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</si>
  <si>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</si>
  <si>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</si>
  <si>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</si>
  <si>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</si>
  <si>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</si>
  <si>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</si>
  <si>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</si>
  <si>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</si>
  <si>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</si>
  <si>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</si>
  <si>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</si>
  <si>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</si>
  <si>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</si>
  <si>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</si>
  <si>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</si>
  <si>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</si>
  <si>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</si>
  <si>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</si>
  <si>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</si>
  <si>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</si>
  <si>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</si>
  <si>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</si>
  <si>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</si>
  <si>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</si>
  <si>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</si>
  <si>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</si>
  <si>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</si>
  <si>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</si>
  <si>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</si>
  <si>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</si>
  <si>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</si>
  <si>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</si>
  <si>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</si>
  <si>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</si>
  <si>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</si>
  <si>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</si>
  <si>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</si>
  <si>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</si>
  <si>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</si>
  <si>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</si>
  <si>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</si>
  <si>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</si>
  <si>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</si>
  <si>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</si>
  <si>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</si>
  <si>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</si>
  <si>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</si>
  <si>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</si>
  <si>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</si>
  <si>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</si>
  <si>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</si>
  <si>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</si>
  <si>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</si>
  <si>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</si>
  <si>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</si>
  <si>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</si>
  <si>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</si>
  <si>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</si>
  <si>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</si>
  <si>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</si>
  <si>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</si>
  <si>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</si>
  <si>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</si>
  <si>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</si>
  <si>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</si>
  <si>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</si>
  <si>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</si>
  <si>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</si>
  <si>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</si>
  <si>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</si>
  <si>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</si>
  <si>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</si>
  <si>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</si>
  <si>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</si>
  <si>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</si>
  <si>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</si>
  <si>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</si>
  <si>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</si>
  <si>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</si>
  <si>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</si>
  <si>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</si>
  <si>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</si>
  <si>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</si>
  <si>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</si>
  <si>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</si>
  <si>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</si>
  <si>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</si>
  <si>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</si>
  <si>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</si>
  <si>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</si>
  <si>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</si>
  <si>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</si>
  <si>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</si>
  <si>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</si>
  <si>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</si>
  <si>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</si>
  <si>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</si>
  <si>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</si>
  <si>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</si>
  <si>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</si>
  <si>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</si>
  <si>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</si>
  <si>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</si>
  <si>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</si>
  <si>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</si>
  <si>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</si>
  <si>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</si>
  <si>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</si>
  <si>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</si>
  <si>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</si>
  <si>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</si>
  <si>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</si>
  <si>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</si>
  <si>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</si>
  <si>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</si>
  <si>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</si>
  <si>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</si>
  <si>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</si>
  <si>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</si>
  <si>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</si>
  <si>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</si>
  <si>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</si>
  <si>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</si>
  <si>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</si>
  <si>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</si>
  <si>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</si>
  <si>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</si>
  <si>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</si>
  <si>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</si>
  <si>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</si>
  <si>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</si>
  <si>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</si>
  <si>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</si>
  <si>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</si>
  <si>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</si>
  <si>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</si>
  <si>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</si>
  <si>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</si>
  <si>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</si>
  <si>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</si>
  <si>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</si>
  <si>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</si>
  <si>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</si>
  <si>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</si>
  <si>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</si>
  <si>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</si>
  <si>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</si>
  <si>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</si>
  <si>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</si>
  <si>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</si>
  <si>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</si>
  <si>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</si>
  <si>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</si>
  <si>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</si>
  <si>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</si>
  <si>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</si>
  <si>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</si>
  <si>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</si>
  <si>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</si>
  <si>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</si>
  <si>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</si>
  <si>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</si>
  <si>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</si>
  <si>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</si>
  <si>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</si>
  <si>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</si>
  <si>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</si>
  <si>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</si>
  <si>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</si>
  <si>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</si>
  <si>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</si>
  <si>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</si>
  <si>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</si>
  <si>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</si>
  <si>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</si>
  <si>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</si>
  <si>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</si>
  <si>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</si>
  <si>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</si>
  <si>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</si>
  <si>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</si>
  <si>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</si>
  <si>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</si>
  <si>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</si>
  <si>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</si>
  <si>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</si>
  <si>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</si>
  <si>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</si>
  <si>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</si>
  <si>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</si>
  <si>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</si>
  <si>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</si>
  <si>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</si>
  <si>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</si>
  <si>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</si>
  <si>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</si>
  <si>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</si>
  <si>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</si>
  <si>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</si>
  <si>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</si>
  <si>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</si>
  <si>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</si>
  <si>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</si>
  <si>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</si>
  <si>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</si>
  <si>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</si>
  <si>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</si>
  <si>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</si>
  <si>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</si>
  <si>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</si>
  <si>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</si>
  <si>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</si>
  <si>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</si>
  <si>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</si>
  <si>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</si>
  <si>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</si>
  <si>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</si>
  <si>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</si>
  <si>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</si>
  <si>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</si>
  <si>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</si>
  <si>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</si>
  <si>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</si>
  <si>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</si>
  <si>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</si>
  <si>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</si>
  <si>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</si>
  <si>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</si>
  <si>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</si>
  <si>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</si>
  <si>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</si>
  <si>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</si>
  <si>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</si>
  <si>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</si>
  <si>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</si>
  <si>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</si>
  <si>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</si>
  <si>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</si>
  <si>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</si>
  <si>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</si>
  <si>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</si>
  <si>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</si>
  <si>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</si>
  <si>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</si>
  <si>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</si>
  <si>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</si>
  <si>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</si>
  <si>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</si>
  <si>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</si>
  <si>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</si>
  <si>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</si>
  <si>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</si>
  <si>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</si>
  <si>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</si>
  <si>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</si>
  <si>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</si>
  <si>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</si>
  <si>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</si>
  <si>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</si>
  <si>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</si>
  <si>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</si>
  <si>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</si>
  <si>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</si>
  <si>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</si>
  <si>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</si>
  <si>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</si>
  <si>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</si>
  <si>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</si>
  <si>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</si>
  <si>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</si>
  <si>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</si>
  <si>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</si>
  <si>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</si>
  <si>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</si>
  <si>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</si>
  <si>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</si>
  <si>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</si>
  <si>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</si>
  <si>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</si>
  <si>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</si>
  <si>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</si>
  <si>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</si>
  <si>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</si>
  <si>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</si>
  <si>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</si>
  <si>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</si>
  <si>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</si>
  <si>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</si>
  <si>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</si>
  <si>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</si>
  <si>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</si>
  <si>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</si>
  <si>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</si>
  <si>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</si>
  <si>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</si>
  <si>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</si>
  <si>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</si>
  <si>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</si>
  <si>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</si>
  <si>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</si>
  <si>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</si>
  <si>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</si>
  <si>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</si>
  <si>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</si>
  <si>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</si>
  <si>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</si>
  <si>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</si>
  <si>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</si>
  <si>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</si>
  <si>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</si>
  <si>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</si>
  <si>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</si>
  <si>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</si>
  <si>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</si>
  <si>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</si>
  <si>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</si>
  <si>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</si>
  <si>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</si>
  <si>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</si>
  <si>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</si>
  <si>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</si>
  <si>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</si>
  <si>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</si>
  <si>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</si>
  <si>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</si>
  <si>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</si>
  <si>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</si>
  <si>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</si>
  <si>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</si>
  <si>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</si>
  <si>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</si>
  <si>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</si>
  <si>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</si>
  <si>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</si>
  <si>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</si>
  <si>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</si>
  <si>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</si>
  <si>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</si>
  <si>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</si>
  <si>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</si>
  <si>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</si>
  <si>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</si>
  <si>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</si>
  <si>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</si>
  <si>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</si>
  <si>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</si>
  <si>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</si>
  <si>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</si>
  <si>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</si>
  <si>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</si>
  <si>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</si>
  <si>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</si>
  <si>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</si>
  <si>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</si>
  <si>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</si>
  <si>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</si>
  <si>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</si>
  <si>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</si>
  <si>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</si>
  <si>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</si>
  <si>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</si>
  <si>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</si>
  <si>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</si>
  <si>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</si>
  <si>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</si>
  <si>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</si>
  <si>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</si>
  <si>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</si>
  <si>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</si>
  <si>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</si>
  <si>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</si>
  <si>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</si>
  <si>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</si>
  <si>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</si>
  <si>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</si>
  <si>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</si>
  <si>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</si>
  <si>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</si>
  <si>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</si>
  <si>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</si>
  <si>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</si>
  <si>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</si>
  <si>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</si>
  <si>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</si>
  <si>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</si>
  <si>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</si>
  <si>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</si>
  <si>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</si>
  <si>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</si>
  <si>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</si>
  <si>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</si>
  <si>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</si>
  <si>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</si>
  <si>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</si>
  <si>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</si>
  <si>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</si>
  <si>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</si>
  <si>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</si>
  <si>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</si>
  <si>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</si>
  <si>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</si>
  <si>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</si>
  <si>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</si>
  <si>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</si>
  <si>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</si>
  <si>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</si>
  <si>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</si>
  <si>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</si>
  <si>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</si>
  <si>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</si>
  <si>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</si>
  <si>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</si>
  <si>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</si>
  <si>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</si>
  <si>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</si>
  <si>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</si>
  <si>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</si>
  <si>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</si>
  <si>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</si>
  <si>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</si>
  <si>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</si>
  <si>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</si>
  <si>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</si>
  <si>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</si>
  <si>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</si>
  <si>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</si>
  <si>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</si>
  <si>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</si>
  <si>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</si>
  <si>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</si>
  <si>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</si>
  <si>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</si>
  <si>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</si>
  <si>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</si>
  <si>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</si>
  <si>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</si>
  <si>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</si>
  <si>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</si>
  <si>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</si>
  <si>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</si>
  <si>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</si>
  <si>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</si>
  <si>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</si>
  <si>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</si>
  <si>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</si>
  <si>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</si>
  <si>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</si>
  <si>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</si>
  <si>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</si>
  <si>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</si>
  <si>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</si>
  <si>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</si>
  <si>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</si>
  <si>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</si>
  <si>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</si>
  <si>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</si>
  <si>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</si>
  <si>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</si>
  <si>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</si>
  <si>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</si>
  <si>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</si>
  <si>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</si>
  <si>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100 ml</t>
  </si>
  <si>
    <t>Правый</t>
  </si>
  <si>
    <t>Abbot Whisper MS</t>
  </si>
  <si>
    <t>Abbot Whisper LS</t>
  </si>
  <si>
    <t>200 ml</t>
  </si>
  <si>
    <t>Pilot 150</t>
  </si>
  <si>
    <t>29:00</t>
  </si>
  <si>
    <t>Амосов Н.Н.</t>
  </si>
  <si>
    <t>50 ml</t>
  </si>
  <si>
    <t>1)Контроль места пункции, повязка  на руке до 6 ч.</t>
  </si>
  <si>
    <t>лучевой</t>
  </si>
  <si>
    <t>Извлечён</t>
  </si>
  <si>
    <t>3,0 - 44</t>
  </si>
  <si>
    <t xml:space="preserve">проходим, неровности контуров. Антеградный  кровоток TIMI III. </t>
  </si>
  <si>
    <t xml:space="preserve">стеноз проксимального сегмента 30%, стенозы среднего 30%, стеноз устья ДВ1 30%, стеноз прокс/3 ДВ2 50%.  Антеградный  кровоток TIMI III. </t>
  </si>
  <si>
    <t xml:space="preserve">предствален доминантной ВТК. Неровности контуров проксимального и дистального сегментов Антеградный  кровоток TIMI III. </t>
  </si>
  <si>
    <t>аномальное отхождение. Тотальная окклюзия на уровне проксимального сегмента, стеноз среднего сегмента 50%, тромботическая окклюзия на уровне проксимальной трети ЗБВ Антеградный  кровоток TIMI 0. Rentrop 0.</t>
  </si>
  <si>
    <t>Совместно с д/кардиологом: с учетом клинических данных, ЭКГ и КАГ рекомендована реканализация ПКА</t>
  </si>
  <si>
    <t>Сложная катетеризация устье ПКА проводниковыми катетерами Launcher JR  4.0 6Fr и Al1.  Коронарные проводники Whisper LS и fielder проведены в дистальный сегмент ПКА. Сложная, но успешная реканализация артерии БК Колибри 2.75-15 и аспирационным каттером hunter,  аспирирован тромб 2-7 мм . Далее в проксимальный сегмент с покрытием нестабильного значимого стеноза удалось  имплантировать DES Evermine 3.0 - 44, давлением 16 атм. Длительные и многократные попытки  аспирировать тромб из ЗБВ, попытки безуспешны. На контрольных съемках стент раскрыт удовлетворительно, признаков краевых диссекций, тромбоза, экстравазации контрастного вещества не выявлено.   Ангиографический результат субоптимальный, кровоток по ПКА частично восстановлен до TIMI III (ЗМЖВ контрастируется), ЗБВ окклюзирована на уровне прокс/3. Пациент в стабильном состоянии транспортируется в ПРИТ для дальнейшего наблюдения и лечения.состоянии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</si>
</sst>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70"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xf numFmtId="0" fontId="1" fillId="0" borderId="0" xfId="0" applyFont="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28575</xdr:rowOff>
    </xdr:from>
    <xdr:to>
      <xdr:col>1</xdr:col>
      <xdr:colOff>1428750</xdr:colOff>
      <xdr:row>49</xdr:row>
      <xdr:rowOff>45285</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5"/>
          <a:ext cx="2619375" cy="1645485"/>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6"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showWhiteSpace="0" view="pageBreakPreview" zoomScaleNormal="100" zoomScaleSheetLayoutView="100" zoomScalePageLayoutView="90" workbookViewId="0">
      <selection activeCell="P36" sqref="P36"/>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7" t="s">
        <v>213</v>
      </c>
      <c r="B6" s="218"/>
      <c r="C6" s="218"/>
      <c r="D6" s="218"/>
      <c r="E6" s="218"/>
      <c r="F6" s="218"/>
      <c r="G6" s="218"/>
      <c r="H6" s="219"/>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45451</v>
      </c>
      <c r="C8" s="54"/>
      <c r="D8" s="16" t="s">
        <v>186</v>
      </c>
      <c r="E8" s="29"/>
      <c r="F8" s="29"/>
      <c r="G8" s="17"/>
      <c r="H8" s="18"/>
    </row>
    <row r="9" spans="1:8" ht="15.6" customHeight="1">
      <c r="A9" s="21" t="s">
        <v>193</v>
      </c>
      <c r="B9" s="22">
        <v>7.2916666666666671E-2</v>
      </c>
      <c r="C9" s="54"/>
      <c r="D9" s="94" t="s">
        <v>172</v>
      </c>
      <c r="E9" s="92"/>
      <c r="F9" s="92"/>
      <c r="G9" s="23" t="s">
        <v>163</v>
      </c>
      <c r="H9" s="25"/>
    </row>
    <row r="10" spans="1:8" ht="15.6" customHeight="1" thickBot="1">
      <c r="A10" s="83" t="s">
        <v>194</v>
      </c>
      <c r="B10" s="84">
        <v>7.7777777777777779E-2</v>
      </c>
      <c r="C10" s="55"/>
      <c r="D10" s="95" t="s">
        <v>173</v>
      </c>
      <c r="E10" s="93"/>
      <c r="F10" s="93"/>
      <c r="G10" s="24" t="s">
        <v>159</v>
      </c>
      <c r="H10" s="26"/>
    </row>
    <row r="11" spans="1:8" ht="17.25" thickTop="1" thickBot="1">
      <c r="A11" s="89" t="s">
        <v>192</v>
      </c>
      <c r="B11" s="203" t="s">
        <v>526</v>
      </c>
      <c r="C11" s="8"/>
      <c r="D11" s="95" t="s">
        <v>170</v>
      </c>
      <c r="E11" s="93"/>
      <c r="F11" s="93"/>
      <c r="G11" s="24" t="s">
        <v>254</v>
      </c>
      <c r="H11" s="26"/>
    </row>
    <row r="12" spans="1:8" ht="16.5" thickTop="1">
      <c r="A12" s="81" t="s">
        <v>8</v>
      </c>
      <c r="B12" s="82">
        <v>22019</v>
      </c>
      <c r="C12" s="12"/>
      <c r="D12" s="95" t="s">
        <v>303</v>
      </c>
      <c r="E12" s="93"/>
      <c r="F12" s="93"/>
      <c r="G12" s="24" t="s">
        <v>178</v>
      </c>
      <c r="H12" s="26"/>
    </row>
    <row r="13" spans="1:8" ht="15.75">
      <c r="A13" s="15" t="s">
        <v>10</v>
      </c>
      <c r="B13" s="30">
        <f>DATEDIF(B12,B8,"y")</f>
        <v>64</v>
      </c>
      <c r="C13" s="12"/>
      <c r="D13" s="95"/>
      <c r="E13" s="93"/>
      <c r="F13" s="93"/>
      <c r="G13" s="24"/>
      <c r="H13" s="26"/>
    </row>
    <row r="14" spans="1:8" ht="15.75">
      <c r="A14" s="15" t="s">
        <v>12</v>
      </c>
      <c r="B14" s="19">
        <v>16398</v>
      </c>
      <c r="C14" s="12"/>
      <c r="D14" s="36"/>
      <c r="E14" s="36"/>
      <c r="F14" s="36"/>
      <c r="G14" s="37"/>
      <c r="H14" s="56"/>
    </row>
    <row r="15" spans="1:8" ht="15.75">
      <c r="A15" s="15" t="s">
        <v>133</v>
      </c>
      <c r="B15" s="19">
        <v>35</v>
      </c>
      <c r="D15" s="36"/>
      <c r="E15" s="36"/>
      <c r="F15" s="36"/>
      <c r="G15" s="165" t="s">
        <v>398</v>
      </c>
      <c r="H15" s="169" t="s">
        <v>525</v>
      </c>
    </row>
    <row r="16" spans="1:8" ht="15.6" customHeight="1">
      <c r="A16" s="15" t="s">
        <v>106</v>
      </c>
      <c r="B16" s="19" t="s">
        <v>484</v>
      </c>
      <c r="D16" s="36"/>
      <c r="E16" s="36"/>
      <c r="F16" s="36"/>
      <c r="G16" s="166" t="s">
        <v>400</v>
      </c>
      <c r="H16" s="164">
        <v>17500</v>
      </c>
    </row>
    <row r="17" spans="1:8" ht="14.45" customHeight="1">
      <c r="A17" s="40"/>
      <c r="B17" s="31"/>
      <c r="C17" s="31"/>
      <c r="D17" s="88"/>
      <c r="E17" s="88"/>
      <c r="F17" s="88"/>
      <c r="G17" s="167" t="s">
        <v>387</v>
      </c>
      <c r="H17" s="168">
        <f>H16*0.0019</f>
        <v>33.25</v>
      </c>
    </row>
    <row r="18" spans="1:8" ht="14.45" customHeight="1">
      <c r="A18" s="57" t="s">
        <v>188</v>
      </c>
      <c r="B18" s="87" t="s">
        <v>520</v>
      </c>
      <c r="D18" s="28" t="s">
        <v>210</v>
      </c>
      <c r="E18" s="28"/>
      <c r="F18" s="28"/>
      <c r="G18" s="85" t="s">
        <v>189</v>
      </c>
      <c r="H18" s="86" t="s">
        <v>529</v>
      </c>
    </row>
    <row r="19" spans="1:8" ht="14.45" customHeight="1">
      <c r="A19" s="40"/>
      <c r="B19" s="31"/>
      <c r="C19" s="31"/>
      <c r="D19" s="34"/>
      <c r="E19" s="34"/>
      <c r="F19" s="34"/>
      <c r="G19" s="31"/>
      <c r="H19" s="41"/>
    </row>
    <row r="20" spans="1:8" ht="14.45" customHeight="1">
      <c r="A20" s="57" t="s">
        <v>212</v>
      </c>
      <c r="B20" s="220" t="s">
        <v>532</v>
      </c>
      <c r="C20" s="221"/>
      <c r="D20" s="221"/>
      <c r="E20" s="221"/>
      <c r="F20" s="221"/>
      <c r="G20" s="221"/>
      <c r="H20" s="222"/>
    </row>
    <row r="21" spans="1:8">
      <c r="A21" s="58"/>
      <c r="B21" s="223"/>
      <c r="C21" s="223"/>
      <c r="D21" s="223"/>
      <c r="E21" s="223"/>
      <c r="F21" s="223"/>
      <c r="G21" s="223"/>
      <c r="H21" s="224"/>
    </row>
    <row r="22" spans="1:8" ht="15.6" customHeight="1">
      <c r="A22" s="59" t="s">
        <v>271</v>
      </c>
      <c r="B22" s="225" t="s">
        <v>533</v>
      </c>
      <c r="C22" s="225"/>
      <c r="D22" s="225"/>
      <c r="E22" s="225"/>
      <c r="F22" s="225"/>
      <c r="G22" s="225"/>
      <c r="H22" s="226"/>
    </row>
    <row r="23" spans="1:8" ht="14.45" customHeight="1">
      <c r="A23" s="38"/>
      <c r="B23" s="227"/>
      <c r="C23" s="227"/>
      <c r="D23" s="227"/>
      <c r="E23" s="227"/>
      <c r="F23" s="227"/>
      <c r="G23" s="227"/>
      <c r="H23" s="228"/>
    </row>
    <row r="24" spans="1:8" ht="14.45" customHeight="1">
      <c r="A24" s="60"/>
      <c r="B24" s="227"/>
      <c r="C24" s="227"/>
      <c r="D24" s="227"/>
      <c r="E24" s="227"/>
      <c r="F24" s="227"/>
      <c r="G24" s="227"/>
      <c r="H24" s="228"/>
    </row>
    <row r="25" spans="1:8" ht="14.45" customHeight="1">
      <c r="A25" s="38"/>
      <c r="B25" s="227"/>
      <c r="C25" s="227"/>
      <c r="D25" s="227"/>
      <c r="E25" s="227"/>
      <c r="F25" s="227"/>
      <c r="G25" s="227"/>
      <c r="H25" s="228"/>
    </row>
    <row r="26" spans="1:8" ht="14.45" customHeight="1">
      <c r="A26" s="40"/>
      <c r="B26" s="229"/>
      <c r="C26" s="229"/>
      <c r="D26" s="229"/>
      <c r="E26" s="229"/>
      <c r="F26" s="229"/>
      <c r="G26" s="229"/>
      <c r="H26" s="230"/>
    </row>
    <row r="27" spans="1:8" ht="14.45" customHeight="1">
      <c r="A27" s="59" t="s">
        <v>272</v>
      </c>
      <c r="B27" s="225" t="s">
        <v>534</v>
      </c>
      <c r="C27" s="225"/>
      <c r="D27" s="225"/>
      <c r="E27" s="225"/>
      <c r="F27" s="225"/>
      <c r="G27" s="225"/>
      <c r="H27" s="226"/>
    </row>
    <row r="28" spans="1:8" ht="15.6" customHeight="1">
      <c r="A28" s="38"/>
      <c r="B28" s="227"/>
      <c r="C28" s="227"/>
      <c r="D28" s="227"/>
      <c r="E28" s="227"/>
      <c r="F28" s="227"/>
      <c r="G28" s="227"/>
      <c r="H28" s="228"/>
    </row>
    <row r="29" spans="1:8" ht="14.45" customHeight="1">
      <c r="A29" s="38"/>
      <c r="B29" s="227"/>
      <c r="C29" s="227"/>
      <c r="D29" s="227"/>
      <c r="E29" s="227"/>
      <c r="F29" s="227"/>
      <c r="G29" s="227"/>
      <c r="H29" s="228"/>
    </row>
    <row r="30" spans="1:8" ht="14.45" customHeight="1">
      <c r="A30" s="32"/>
      <c r="B30" s="227"/>
      <c r="C30" s="227"/>
      <c r="D30" s="227"/>
      <c r="E30" s="227"/>
      <c r="F30" s="227"/>
      <c r="G30" s="227"/>
      <c r="H30" s="228"/>
    </row>
    <row r="31" spans="1:8" ht="14.45" customHeight="1">
      <c r="A31" s="33"/>
      <c r="B31" s="229"/>
      <c r="C31" s="229"/>
      <c r="D31" s="229"/>
      <c r="E31" s="229"/>
      <c r="F31" s="229"/>
      <c r="G31" s="229"/>
      <c r="H31" s="230"/>
    </row>
    <row r="32" spans="1:8" ht="14.45" customHeight="1">
      <c r="A32" s="59" t="s">
        <v>273</v>
      </c>
      <c r="B32" s="225" t="s">
        <v>535</v>
      </c>
      <c r="C32" s="225"/>
      <c r="D32" s="225"/>
      <c r="E32" s="225"/>
      <c r="F32" s="225"/>
      <c r="G32" s="225"/>
      <c r="H32" s="226"/>
    </row>
    <row r="33" spans="1:8" ht="14.45" customHeight="1">
      <c r="A33" s="38"/>
      <c r="B33" s="227"/>
      <c r="C33" s="227"/>
      <c r="D33" s="227"/>
      <c r="E33" s="227"/>
      <c r="F33" s="227"/>
      <c r="G33" s="227"/>
      <c r="H33" s="228"/>
    </row>
    <row r="34" spans="1:8" ht="15.6" customHeight="1">
      <c r="A34" s="38"/>
      <c r="B34" s="227"/>
      <c r="C34" s="227"/>
      <c r="D34" s="227"/>
      <c r="E34" s="227"/>
      <c r="F34" s="227"/>
      <c r="G34" s="227"/>
      <c r="H34" s="228"/>
    </row>
    <row r="35" spans="1:8" ht="14.45" customHeight="1">
      <c r="A35" s="38"/>
      <c r="B35" s="227"/>
      <c r="C35" s="227"/>
      <c r="D35" s="227"/>
      <c r="E35" s="227"/>
      <c r="F35" s="227"/>
      <c r="G35" s="227"/>
      <c r="H35" s="228"/>
    </row>
    <row r="36" spans="1:8" ht="15.6" customHeight="1">
      <c r="A36" s="38"/>
      <c r="B36" s="227"/>
      <c r="C36" s="227"/>
      <c r="D36" s="227"/>
      <c r="E36" s="227"/>
      <c r="F36" s="227"/>
      <c r="G36" s="227"/>
      <c r="H36" s="228"/>
    </row>
    <row r="37" spans="1:8" ht="14.45" customHeight="1">
      <c r="A37" s="38"/>
      <c r="D37" s="213" t="str">
        <f>IF($A$6=Вмешательства!$D$3,Вмешательства!$F$18,"")</f>
        <v/>
      </c>
      <c r="E37" s="213"/>
      <c r="F37" s="119"/>
      <c r="G37" s="119"/>
      <c r="H37" s="123"/>
    </row>
    <row r="38" spans="1:8" ht="14.45" customHeight="1">
      <c r="A38" s="38"/>
      <c r="C38" s="124"/>
      <c r="D38" s="214"/>
      <c r="E38" s="215"/>
      <c r="F38" s="215"/>
      <c r="G38" s="215"/>
      <c r="H38" s="216"/>
    </row>
    <row r="39" spans="1:8" ht="14.45" customHeight="1">
      <c r="A39" s="35"/>
      <c r="B39" s="119"/>
      <c r="C39" s="124"/>
      <c r="D39" s="215"/>
      <c r="E39" s="215"/>
      <c r="F39" s="215"/>
      <c r="G39" s="215"/>
      <c r="H39" s="216"/>
    </row>
    <row r="40" spans="1:8" ht="14.45" customHeight="1">
      <c r="A40" s="35"/>
      <c r="B40" s="119"/>
      <c r="C40" s="124"/>
      <c r="D40" s="215"/>
      <c r="E40" s="215"/>
      <c r="F40" s="215"/>
      <c r="G40" s="215"/>
      <c r="H40" s="216"/>
    </row>
    <row r="41" spans="1:8" ht="14.45" customHeight="1">
      <c r="A41" s="35"/>
      <c r="B41" s="119"/>
      <c r="C41" s="124"/>
      <c r="D41" s="215"/>
      <c r="E41" s="215"/>
      <c r="F41" s="215"/>
      <c r="G41" s="215"/>
      <c r="H41" s="216"/>
    </row>
    <row r="42" spans="1:8" ht="14.45" customHeight="1">
      <c r="A42" s="35"/>
      <c r="B42" s="119"/>
      <c r="C42" s="125"/>
      <c r="D42" s="127"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10" t="s">
        <v>536</v>
      </c>
      <c r="E43" s="211"/>
      <c r="F43" s="211"/>
      <c r="G43" s="211"/>
      <c r="H43" s="212"/>
    </row>
    <row r="44" spans="1:8" ht="14.45" customHeight="1">
      <c r="A44" s="35"/>
      <c r="B44" s="119"/>
      <c r="C44" s="126"/>
      <c r="D44" s="211"/>
      <c r="E44" s="211"/>
      <c r="F44" s="211"/>
      <c r="G44" s="211"/>
      <c r="H44" s="212"/>
    </row>
    <row r="45" spans="1:8" ht="14.45" customHeight="1">
      <c r="A45" s="35"/>
      <c r="B45" s="119"/>
      <c r="C45" s="126"/>
      <c r="D45" s="211"/>
      <c r="E45" s="211"/>
      <c r="F45" s="211"/>
      <c r="G45" s="211"/>
      <c r="H45" s="212"/>
    </row>
    <row r="46" spans="1:8">
      <c r="A46" s="35"/>
      <c r="B46" s="119"/>
      <c r="C46" s="126"/>
      <c r="D46" s="211"/>
      <c r="E46" s="211"/>
      <c r="F46" s="211"/>
      <c r="G46" s="211"/>
      <c r="H46" s="212"/>
    </row>
    <row r="47" spans="1:8">
      <c r="A47" s="38"/>
      <c r="C47" s="126"/>
      <c r="D47" s="211"/>
      <c r="E47" s="211"/>
      <c r="F47" s="211"/>
      <c r="G47" s="211"/>
      <c r="H47" s="212"/>
    </row>
    <row r="48" spans="1:8">
      <c r="A48" s="38"/>
      <c r="C48" s="126"/>
      <c r="D48" s="211"/>
      <c r="E48" s="211"/>
      <c r="F48" s="211"/>
      <c r="G48" s="211"/>
      <c r="H48" s="212"/>
    </row>
    <row r="49" spans="1:13">
      <c r="A49" s="38"/>
      <c r="B49" s="205"/>
      <c r="C49" s="206"/>
      <c r="D49" s="211"/>
      <c r="E49" s="211"/>
      <c r="F49" s="211"/>
      <c r="G49" s="211"/>
      <c r="H49" s="212"/>
    </row>
    <row r="50" spans="1:13">
      <c r="A50" s="38"/>
      <c r="D50" s="211"/>
      <c r="E50" s="211"/>
      <c r="F50" s="211"/>
      <c r="G50" s="211"/>
      <c r="H50" s="212"/>
      <c r="M50" t="s">
        <v>211</v>
      </c>
    </row>
    <row r="51" spans="1:13">
      <c r="A51" s="62" t="s">
        <v>199</v>
      </c>
      <c r="B51" s="63" t="s">
        <v>519</v>
      </c>
      <c r="G51" s="74" t="str">
        <f>$G$9</f>
        <v>Щербаков А.С.</v>
      </c>
      <c r="H51" s="64"/>
    </row>
    <row r="52" spans="1:13">
      <c r="A52" s="38"/>
      <c r="H52" s="39"/>
    </row>
    <row r="53" spans="1:13">
      <c r="A53" s="65" t="s">
        <v>206</v>
      </c>
      <c r="B53" s="66" t="s">
        <v>530</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tabSelected="1" showWhiteSpace="0" view="pageBreakPreview" topLeftCell="A5" zoomScaleNormal="100" zoomScaleSheetLayoutView="100" zoomScalePageLayoutView="90" workbookViewId="0">
      <selection activeCell="R25" sqref="Q24:R25"/>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1" t="s">
        <v>208</v>
      </c>
      <c r="B6" s="242"/>
      <c r="C6" s="242"/>
      <c r="D6" s="242"/>
      <c r="E6" s="242"/>
      <c r="F6" s="242"/>
      <c r="G6" s="242"/>
      <c r="H6" s="243"/>
    </row>
    <row r="7" spans="1:8" ht="21.6" customHeight="1">
      <c r="A7" s="241"/>
      <c r="B7" s="242"/>
      <c r="C7" s="242"/>
      <c r="D7" s="242"/>
      <c r="E7" s="242"/>
      <c r="F7" s="242"/>
      <c r="G7" s="242"/>
      <c r="H7" s="243"/>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0" t="s">
        <v>216</v>
      </c>
      <c r="D8" s="240"/>
      <c r="E8" s="240"/>
      <c r="F8" s="190">
        <v>1</v>
      </c>
      <c r="G8" s="118" t="s">
        <v>309</v>
      </c>
      <c r="H8" s="158"/>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40"/>
      <c r="D9" s="240"/>
      <c r="E9" s="240"/>
      <c r="F9" s="190"/>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89"/>
      <c r="C10" s="244"/>
      <c r="D10" s="244"/>
      <c r="E10" s="244"/>
      <c r="F10" s="193"/>
      <c r="G10" s="118"/>
      <c r="H10" s="39"/>
    </row>
    <row r="11" spans="1:8">
      <c r="A11" s="192"/>
      <c r="B11" s="196"/>
      <c r="C11" s="199">
        <f>SUM(F8:F10)</f>
        <v>1</v>
      </c>
      <c r="H11" s="39"/>
    </row>
    <row r="12" spans="1:8" ht="18.75">
      <c r="A12" s="75" t="s">
        <v>191</v>
      </c>
      <c r="B12" s="20">
        <f>КАГ!B8</f>
        <v>45451</v>
      </c>
      <c r="C12" s="12"/>
      <c r="D12" s="16" t="s">
        <v>186</v>
      </c>
      <c r="E12" s="29"/>
      <c r="F12" s="29"/>
      <c r="G12" s="17"/>
      <c r="H12" s="18"/>
    </row>
    <row r="13" spans="1:8" ht="15.75">
      <c r="A13" s="76" t="s">
        <v>193</v>
      </c>
      <c r="B13" s="22">
        <v>7.7777777777777779E-2</v>
      </c>
      <c r="C13" s="12"/>
      <c r="D13" s="94" t="s">
        <v>172</v>
      </c>
      <c r="E13" s="92"/>
      <c r="F13" s="92"/>
      <c r="G13" s="79" t="str">
        <f>КАГ!G9</f>
        <v>Щербаков А.С.</v>
      </c>
      <c r="H13" s="90" t="str">
        <f>IF(ISBLANK(КАГ!H9),"",КАГ!H9)</f>
        <v/>
      </c>
    </row>
    <row r="14" spans="1:8" ht="15.75">
      <c r="A14" s="76" t="s">
        <v>194</v>
      </c>
      <c r="B14" s="22">
        <v>0.125</v>
      </c>
      <c r="C14" s="12"/>
      <c r="D14" s="95" t="s">
        <v>173</v>
      </c>
      <c r="E14" s="93"/>
      <c r="F14" s="93"/>
      <c r="G14" s="80" t="str">
        <f>КАГ!G10</f>
        <v>Нефёдова А.А.</v>
      </c>
      <c r="H14" s="91" t="str">
        <f>IF(ISBLANK(КАГ!H10),"",КАГ!H10)</f>
        <v/>
      </c>
    </row>
    <row r="15" spans="1:8" ht="16.5" thickBot="1">
      <c r="A15" s="163" t="s">
        <v>386</v>
      </c>
      <c r="B15" s="188">
        <f>IF(B14&lt;B13,B14+1,B14)-B13</f>
        <v>4.7222222222222221E-2</v>
      </c>
      <c r="D15" s="95" t="s">
        <v>170</v>
      </c>
      <c r="E15" s="93"/>
      <c r="F15" s="93"/>
      <c r="G15" s="80" t="str">
        <f>КАГ!G11</f>
        <v>Молотков А.В.</v>
      </c>
      <c r="H15" s="91" t="str">
        <f>IF(ISBLANK(КАГ!H11),"",КАГ!H11)</f>
        <v/>
      </c>
    </row>
    <row r="16" spans="1:8" ht="17.25" thickTop="1" thickBot="1">
      <c r="A16" s="89" t="s">
        <v>192</v>
      </c>
      <c r="B16" s="201" t="str">
        <f>КАГ!B11</f>
        <v>Амосов Н.Н.</v>
      </c>
      <c r="C16" s="200">
        <f>LEN(КАГ!B11)</f>
        <v>11</v>
      </c>
      <c r="D16" s="95" t="s">
        <v>303</v>
      </c>
      <c r="E16" s="93"/>
      <c r="F16" s="93"/>
      <c r="G16" s="80" t="str">
        <f>КАГ!G12</f>
        <v>Галамага Н.Е.</v>
      </c>
      <c r="H16" s="91" t="str">
        <f>IF(ISBLANK(КАГ!H12),"",КАГ!H12)</f>
        <v/>
      </c>
    </row>
    <row r="17" spans="1:8" ht="16.5" thickTop="1">
      <c r="A17" s="15" t="s">
        <v>8</v>
      </c>
      <c r="B17" s="67">
        <f>КАГ!B12</f>
        <v>22019</v>
      </c>
      <c r="D17" s="95" t="s">
        <v>184</v>
      </c>
      <c r="E17" s="93"/>
      <c r="F17" s="93"/>
      <c r="G17" s="80" t="str">
        <f>IF(ISBLANK(КАГ!G13),"",КАГ!G13)</f>
        <v/>
      </c>
      <c r="H17" s="91" t="str">
        <f>IF(ISBLANK(КАГ!H13),"",КАГ!H13)</f>
        <v/>
      </c>
    </row>
    <row r="18" spans="1:8" ht="15.75">
      <c r="A18" s="15" t="s">
        <v>10</v>
      </c>
      <c r="B18" s="30">
        <f>КАГ!B13</f>
        <v>64</v>
      </c>
      <c r="H18" s="39"/>
    </row>
    <row r="19" spans="1:8" ht="14.45" customHeight="1">
      <c r="A19" s="15" t="s">
        <v>12</v>
      </c>
      <c r="B19" s="68">
        <f>КАГ!B14</f>
        <v>16398</v>
      </c>
      <c r="C19" s="69"/>
      <c r="D19" s="69"/>
      <c r="E19" s="69"/>
      <c r="F19" s="69"/>
      <c r="G19" s="165" t="s">
        <v>398</v>
      </c>
      <c r="H19" s="180" t="str">
        <f>КАГ!H15</f>
        <v>29:00</v>
      </c>
    </row>
    <row r="20" spans="1:8" ht="14.45" customHeight="1">
      <c r="A20" s="15" t="s">
        <v>133</v>
      </c>
      <c r="B20" s="68">
        <f>КАГ!B15</f>
        <v>35</v>
      </c>
      <c r="C20" s="70"/>
      <c r="D20" s="70"/>
      <c r="E20" s="70"/>
      <c r="F20" s="70"/>
      <c r="G20" s="166" t="s">
        <v>400</v>
      </c>
      <c r="H20" s="181">
        <f>КАГ!H16</f>
        <v>17500</v>
      </c>
    </row>
    <row r="21" spans="1:8" ht="14.45" customHeight="1">
      <c r="A21" s="15" t="s">
        <v>106</v>
      </c>
      <c r="B21" s="67" t="str">
        <f>КАГ!B16</f>
        <v>ОКС с ↑ ST</v>
      </c>
      <c r="C21" s="70"/>
      <c r="E21" s="71"/>
      <c r="F21" s="71"/>
      <c r="G21" s="167" t="s">
        <v>387</v>
      </c>
      <c r="H21" s="168">
        <f>КАГ!H17</f>
        <v>33.25</v>
      </c>
    </row>
    <row r="22" spans="1:8" ht="14.45" customHeight="1">
      <c r="A22" s="57" t="str">
        <f>КАГ!G18</f>
        <v>Доступ:</v>
      </c>
      <c r="B22" s="77" t="str">
        <f>КАГ!H18</f>
        <v>лучевой</v>
      </c>
      <c r="C22" s="70"/>
      <c r="D22" s="70"/>
      <c r="E22" s="70"/>
      <c r="F22" s="70"/>
      <c r="G22" s="184" t="str">
        <f>IF(B21=Вмешательства!F3,Вмешательства!F19,"")</f>
        <v>Реканализация:</v>
      </c>
      <c r="H22" s="185">
        <f>IF($B$21=Вмешательства!F3,SUM(КАГ!B9+IF($C$16&lt;=10,0.00555555555555556,IF($C$16=11,0.00694444444444444,IF($C$16=12,0.00833333333333333,IF($C$16=13,0.00972222222222222,IF($C$16=14,0.0111111111111111,IF($C$16=15,0.0111111111111111,IF($C$16=16,0.0118055555555556,IF($C$16&gt;=17,0.0138888888888889))))))))),"")</f>
        <v>7.9861111111111105E-2</v>
      </c>
    </row>
    <row r="23" spans="1:8" ht="14.45" customHeight="1">
      <c r="A23" s="65" t="s">
        <v>390</v>
      </c>
      <c r="B23" s="172" t="s">
        <v>389</v>
      </c>
      <c r="C23" s="162"/>
      <c r="D23" s="162"/>
      <c r="E23" s="162"/>
      <c r="F23" s="162"/>
      <c r="H23" s="39"/>
    </row>
    <row r="24" spans="1:8" ht="14.45" customHeight="1">
      <c r="A24" s="183" t="s">
        <v>388</v>
      </c>
      <c r="B24" s="170"/>
      <c r="C24" s="170"/>
      <c r="D24" s="170"/>
      <c r="E24" s="170"/>
      <c r="F24" s="170"/>
      <c r="G24" s="170"/>
      <c r="H24" s="171"/>
    </row>
    <row r="25" spans="1:8" ht="14.45" customHeight="1">
      <c r="A25" s="247" t="s">
        <v>537</v>
      </c>
      <c r="B25" s="248"/>
      <c r="C25" s="248"/>
      <c r="D25" s="248"/>
      <c r="E25" s="248"/>
      <c r="F25" s="248"/>
      <c r="G25" s="248"/>
      <c r="H25" s="249"/>
    </row>
    <row r="26" spans="1:8" ht="14.45" customHeight="1">
      <c r="A26" s="250"/>
      <c r="B26" s="248"/>
      <c r="C26" s="248"/>
      <c r="D26" s="248"/>
      <c r="E26" s="248"/>
      <c r="F26" s="248"/>
      <c r="G26" s="248"/>
      <c r="H26" s="249"/>
    </row>
    <row r="27" spans="1:8" ht="14.45" customHeight="1">
      <c r="A27" s="250"/>
      <c r="B27" s="248"/>
      <c r="C27" s="248"/>
      <c r="D27" s="248"/>
      <c r="E27" s="248"/>
      <c r="F27" s="248"/>
      <c r="G27" s="248"/>
      <c r="H27" s="249"/>
    </row>
    <row r="28" spans="1:8" ht="14.45" customHeight="1">
      <c r="A28" s="250"/>
      <c r="B28" s="248"/>
      <c r="C28" s="248"/>
      <c r="D28" s="248"/>
      <c r="E28" s="248"/>
      <c r="F28" s="248"/>
      <c r="G28" s="248"/>
      <c r="H28" s="249"/>
    </row>
    <row r="29" spans="1:8" ht="14.45" customHeight="1">
      <c r="A29" s="250"/>
      <c r="B29" s="248"/>
      <c r="C29" s="248"/>
      <c r="D29" s="248"/>
      <c r="E29" s="248"/>
      <c r="F29" s="248"/>
      <c r="G29" s="248"/>
      <c r="H29" s="249"/>
    </row>
    <row r="30" spans="1:8" ht="14.45" customHeight="1">
      <c r="A30" s="250"/>
      <c r="B30" s="248"/>
      <c r="C30" s="248"/>
      <c r="D30" s="248"/>
      <c r="E30" s="248"/>
      <c r="F30" s="248"/>
      <c r="G30" s="248"/>
      <c r="H30" s="249"/>
    </row>
    <row r="31" spans="1:8" ht="14.45" customHeight="1">
      <c r="A31" s="250"/>
      <c r="B31" s="248"/>
      <c r="C31" s="248"/>
      <c r="D31" s="248"/>
      <c r="E31" s="248"/>
      <c r="F31" s="248"/>
      <c r="G31" s="248"/>
      <c r="H31" s="249"/>
    </row>
    <row r="32" spans="1:8" ht="14.45" customHeight="1">
      <c r="A32" s="250"/>
      <c r="B32" s="248"/>
      <c r="C32" s="248"/>
      <c r="D32" s="248"/>
      <c r="E32" s="248"/>
      <c r="F32" s="248"/>
      <c r="G32" s="248"/>
      <c r="H32" s="249"/>
    </row>
    <row r="33" spans="1:12" ht="14.45" customHeight="1">
      <c r="A33" s="250"/>
      <c r="B33" s="248"/>
      <c r="C33" s="248"/>
      <c r="D33" s="248"/>
      <c r="E33" s="248"/>
      <c r="F33" s="248"/>
      <c r="G33" s="248"/>
      <c r="H33" s="249"/>
    </row>
    <row r="34" spans="1:12" ht="14.45" customHeight="1">
      <c r="A34" s="250"/>
      <c r="B34" s="248"/>
      <c r="C34" s="248"/>
      <c r="D34" s="248"/>
      <c r="E34" s="248"/>
      <c r="F34" s="248"/>
      <c r="G34" s="248"/>
      <c r="H34" s="249"/>
    </row>
    <row r="35" spans="1:12" ht="14.45" customHeight="1">
      <c r="A35" s="250"/>
      <c r="B35" s="248"/>
      <c r="C35" s="248"/>
      <c r="D35" s="248"/>
      <c r="E35" s="248"/>
      <c r="F35" s="248"/>
      <c r="G35" s="248"/>
      <c r="H35" s="249"/>
    </row>
    <row r="36" spans="1:12" ht="14.45" customHeight="1">
      <c r="A36" s="250"/>
      <c r="B36" s="248"/>
      <c r="C36" s="248"/>
      <c r="D36" s="248"/>
      <c r="E36" s="248"/>
      <c r="F36" s="248"/>
      <c r="G36" s="248"/>
      <c r="H36" s="249"/>
    </row>
    <row r="37" spans="1:12" ht="14.45" customHeight="1">
      <c r="A37" s="250"/>
      <c r="B37" s="248"/>
      <c r="C37" s="248"/>
      <c r="D37" s="248"/>
      <c r="E37" s="248"/>
      <c r="F37" s="248"/>
      <c r="G37" s="248"/>
      <c r="H37" s="249"/>
    </row>
    <row r="38" spans="1:12" ht="14.45" customHeight="1">
      <c r="A38" s="177" t="s">
        <v>394</v>
      </c>
      <c r="B38" s="175"/>
      <c r="C38" s="176"/>
      <c r="D38" s="176"/>
      <c r="E38" s="186" t="str">
        <f>IF(A6=Вмешательства!D4,Вмешательства!V16,IF(ЧКВ!A6=Вмешательства!D36,Вмешательства!V16,"-----"))</f>
        <v>СТЕНТ/Ы</v>
      </c>
      <c r="F38" s="176"/>
      <c r="G38" s="179"/>
    </row>
    <row r="39" spans="1:12" ht="15.75">
      <c r="A39" s="173" t="s">
        <v>391</v>
      </c>
      <c r="B39" s="70" t="s">
        <v>393</v>
      </c>
      <c r="C39" s="121"/>
      <c r="D39" s="122" t="s">
        <v>187</v>
      </c>
      <c r="E39" s="72"/>
      <c r="F39" s="72"/>
      <c r="G39" s="72"/>
      <c r="H39" s="73"/>
    </row>
    <row r="40" spans="1:12" ht="14.45" customHeight="1">
      <c r="A40" s="174" t="s">
        <v>392</v>
      </c>
      <c r="B40" s="178" t="s">
        <v>527</v>
      </c>
      <c r="C40" s="120"/>
      <c r="D40" s="251" t="s">
        <v>528</v>
      </c>
      <c r="E40" s="245"/>
      <c r="F40" s="245"/>
      <c r="G40" s="245"/>
      <c r="H40" s="246"/>
    </row>
    <row r="41" spans="1:12" ht="14.45" customHeight="1">
      <c r="A41" s="32"/>
      <c r="B41" s="28"/>
      <c r="C41" s="120"/>
      <c r="D41" s="245"/>
      <c r="E41" s="245"/>
      <c r="F41" s="245"/>
      <c r="G41" s="245"/>
      <c r="H41" s="246"/>
    </row>
    <row r="42" spans="1:12" ht="14.45" customHeight="1">
      <c r="A42" s="32"/>
      <c r="B42" s="28"/>
      <c r="C42" s="120"/>
      <c r="D42" s="245"/>
      <c r="E42" s="245"/>
      <c r="F42" s="245"/>
      <c r="G42" s="245"/>
      <c r="H42" s="246"/>
    </row>
    <row r="43" spans="1:12" ht="14.45" customHeight="1">
      <c r="A43" s="32"/>
      <c r="B43" s="28"/>
      <c r="C43" s="120"/>
      <c r="D43" s="245"/>
      <c r="E43" s="245"/>
      <c r="F43" s="245"/>
      <c r="G43" s="245"/>
      <c r="H43" s="246"/>
    </row>
    <row r="44" spans="1:12" ht="14.45" customHeight="1">
      <c r="A44" s="32"/>
      <c r="B44" s="28"/>
      <c r="C44" s="120"/>
      <c r="D44" s="245"/>
      <c r="E44" s="245"/>
      <c r="F44" s="245"/>
      <c r="G44" s="245"/>
      <c r="H44" s="246"/>
      <c r="L44" s="160"/>
    </row>
    <row r="45" spans="1:12" ht="14.45" customHeight="1">
      <c r="A45" s="32"/>
      <c r="B45" s="28"/>
      <c r="C45" s="120"/>
      <c r="D45" s="245"/>
      <c r="E45" s="245"/>
      <c r="F45" s="245"/>
      <c r="G45" s="245"/>
      <c r="H45" s="246"/>
    </row>
    <row r="46" spans="1:12" ht="14.45" customHeight="1">
      <c r="A46" s="32"/>
      <c r="B46" s="28"/>
      <c r="C46" s="120"/>
      <c r="D46" s="245"/>
      <c r="E46" s="245"/>
      <c r="F46" s="245"/>
      <c r="G46" s="245"/>
      <c r="H46" s="246"/>
    </row>
    <row r="47" spans="1:12" ht="14.45" customHeight="1">
      <c r="A47" s="38"/>
      <c r="C47" s="120"/>
      <c r="D47" s="245"/>
      <c r="E47" s="245"/>
      <c r="F47" s="245"/>
      <c r="G47" s="245"/>
      <c r="H47" s="246"/>
    </row>
    <row r="48" spans="1:12" ht="14.45" customHeight="1">
      <c r="A48" s="38"/>
      <c r="C48" s="120"/>
      <c r="D48" s="245"/>
      <c r="E48" s="245"/>
      <c r="F48" s="245"/>
      <c r="G48" s="245"/>
      <c r="H48" s="246"/>
    </row>
    <row r="49" spans="1:8" ht="14.45" customHeight="1">
      <c r="A49" s="38"/>
      <c r="C49" s="120"/>
      <c r="D49" s="245"/>
      <c r="E49" s="245"/>
      <c r="F49" s="245"/>
      <c r="G49" s="245"/>
      <c r="H49" s="246"/>
    </row>
    <row r="50" spans="1:8">
      <c r="A50" s="62" t="s">
        <v>199</v>
      </c>
      <c r="B50" s="63" t="s">
        <v>523</v>
      </c>
      <c r="H50" s="39"/>
    </row>
    <row r="51" spans="1:8">
      <c r="A51" s="65" t="s">
        <v>206</v>
      </c>
      <c r="B51" s="66" t="s">
        <v>530</v>
      </c>
      <c r="G51" s="74" t="str">
        <f>$G$13</f>
        <v>Щербаков А.С.</v>
      </c>
      <c r="H51" s="64"/>
    </row>
    <row r="52" spans="1:8">
      <c r="A52" s="231" t="s">
        <v>370</v>
      </c>
      <c r="B52" s="232"/>
      <c r="C52" s="232"/>
      <c r="D52" s="232"/>
      <c r="E52" s="232"/>
      <c r="F52" s="233"/>
      <c r="H52" s="39"/>
    </row>
    <row r="53" spans="1:8" ht="15" customHeight="1">
      <c r="A53" s="234"/>
      <c r="B53" s="235"/>
      <c r="C53" s="235"/>
      <c r="D53" s="235"/>
      <c r="E53" s="235"/>
      <c r="F53" s="236"/>
      <c r="G53" s="74" t="str">
        <f>IF(ISBLANK(H13),"",H13)</f>
        <v/>
      </c>
      <c r="H53" s="64"/>
    </row>
    <row r="54" spans="1:8">
      <c r="A54" s="237"/>
      <c r="B54" s="238"/>
      <c r="C54" s="238"/>
      <c r="D54" s="238"/>
      <c r="E54" s="238"/>
      <c r="F54" s="239"/>
      <c r="G54" s="31"/>
      <c r="H54" s="41"/>
    </row>
  </sheetData>
  <sheetProtection sheet="1" objects="1" scenarios="1"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7" zoomScaleNormal="90" zoomScaleSheetLayoutView="100" zoomScalePageLayoutView="80" workbookViewId="0">
      <selection activeCell="I18" sqref="I18"/>
    </sheetView>
  </sheetViews>
  <sheetFormatPr defaultRowHeight="15"/>
  <cols>
    <col min="1" max="1" width="18.7109375" customWidth="1"/>
    <col min="2" max="2" width="45.7109375" customWidth="1"/>
    <col min="3" max="3" width="15.7109375" customWidth="1"/>
    <col min="4" max="4" width="20.71093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45451</v>
      </c>
      <c r="C2" s="152"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7" t="s">
        <v>195</v>
      </c>
      <c r="B4" s="148" t="s">
        <v>105</v>
      </c>
      <c r="C4" s="149" t="s">
        <v>15</v>
      </c>
      <c r="D4" s="204" t="str">
        <f>КАГ!$B$11</f>
        <v>Амосов Н.Н.</v>
      </c>
    </row>
    <row r="5" spans="1:4" ht="15.75" thickTop="1">
      <c r="A5"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3" t="str">
        <f>IF(ISBLANK(КАГ!A6),"",КАГ!A6)</f>
        <v>КОРОНАРОГРАФИЯ</v>
      </c>
      <c r="C5" s="131" t="s">
        <v>8</v>
      </c>
      <c r="D5" s="102">
        <f>КАГ!$B$12</f>
        <v>22019</v>
      </c>
    </row>
    <row r="6" spans="1:4" ht="30">
      <c r="A6"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4" t="str">
        <f>ЧКВ!A6</f>
        <v xml:space="preserve">Транслюминальная баллонная ангиопластика и стентирование коронарных артерий. </v>
      </c>
      <c r="C6" s="131" t="s">
        <v>10</v>
      </c>
      <c r="D6" s="103">
        <f>DATEDIF(D5,D10,"y")</f>
        <v>64</v>
      </c>
    </row>
    <row r="7" spans="1:4">
      <c r="A7" s="38"/>
      <c r="C7" s="101" t="s">
        <v>12</v>
      </c>
      <c r="D7" s="103">
        <f>КАГ!$B$14</f>
        <v>16398</v>
      </c>
    </row>
    <row r="8" spans="1:4">
      <c r="A8" s="194" t="str">
        <f>ЧКВ!$A$9</f>
        <v>Код модели: 21166</v>
      </c>
      <c r="B8" s="104"/>
      <c r="C8" s="101" t="s">
        <v>133</v>
      </c>
      <c r="D8" s="103">
        <f>КАГ!$B$15</f>
        <v>35</v>
      </c>
    </row>
    <row r="9" spans="1:4">
      <c r="A9" s="194" t="str">
        <f>ЧКВ!$A$10</f>
        <v>Код метода: 47</v>
      </c>
      <c r="C9" s="105" t="s">
        <v>106</v>
      </c>
      <c r="D9" s="103" t="str">
        <f>КАГ!$B$16</f>
        <v>ОКС с ↑ ST</v>
      </c>
    </row>
    <row r="10" spans="1:4">
      <c r="A10" s="195"/>
      <c r="B10" s="31"/>
      <c r="C10" s="150" t="s">
        <v>13</v>
      </c>
      <c r="D10" s="151">
        <f>КАГ!$B$8</f>
        <v>45451</v>
      </c>
    </row>
    <row r="11" spans="1:4">
      <c r="A11" s="27"/>
      <c r="B11" s="112"/>
      <c r="C11" s="112"/>
      <c r="D11" s="113"/>
    </row>
    <row r="12" spans="1:4" ht="18.75" customHeight="1">
      <c r="A12" s="136" t="s">
        <v>335</v>
      </c>
      <c r="B12" s="137" t="s">
        <v>0</v>
      </c>
      <c r="C12" s="137" t="s">
        <v>14</v>
      </c>
      <c r="D12" s="138" t="s">
        <v>100</v>
      </c>
    </row>
    <row r="13" spans="1:4" ht="27.75" customHeight="1">
      <c r="A13" s="139"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3" t="s">
        <v>306</v>
      </c>
      <c r="C13" s="187"/>
      <c r="D13" s="140">
        <v>1</v>
      </c>
    </row>
    <row r="14" spans="1:4" ht="27.75" customHeight="1">
      <c r="A14"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4" t="s">
        <v>522</v>
      </c>
      <c r="C14" s="135"/>
      <c r="D14" s="140">
        <v>1</v>
      </c>
    </row>
    <row r="15" spans="1:4" ht="27.75" customHeight="1">
      <c r="A15"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4" t="s">
        <v>314</v>
      </c>
      <c r="C15" s="135"/>
      <c r="D15" s="140">
        <v>1</v>
      </c>
    </row>
    <row r="16" spans="1:4" ht="27.75" customHeight="1">
      <c r="A16" s="141"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6" s="154" t="s">
        <v>310</v>
      </c>
      <c r="C16" s="135"/>
      <c r="D16" s="140">
        <v>1</v>
      </c>
    </row>
    <row r="17" spans="1:4" ht="27.75" customHeight="1">
      <c r="A17"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7" s="154" t="s">
        <v>330</v>
      </c>
      <c r="C17" s="135"/>
      <c r="D17" s="140">
        <v>1</v>
      </c>
    </row>
    <row r="18" spans="1:4" ht="27.75" customHeight="1">
      <c r="A18"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8" s="154" t="s">
        <v>350</v>
      </c>
      <c r="C18" s="135"/>
      <c r="D18" s="140">
        <v>1</v>
      </c>
    </row>
    <row r="19" spans="1:4" ht="27.75" customHeight="1">
      <c r="A19"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9" s="154" t="s">
        <v>374</v>
      </c>
      <c r="C19" s="182" t="s">
        <v>410</v>
      </c>
      <c r="D19" s="140">
        <v>1</v>
      </c>
    </row>
    <row r="20" spans="1:4" ht="27.75" customHeight="1">
      <c r="A20"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20" s="155" t="s">
        <v>513</v>
      </c>
      <c r="C20" s="135" t="s">
        <v>416</v>
      </c>
      <c r="D20" s="140">
        <v>1</v>
      </c>
    </row>
    <row r="21" spans="1:4" ht="27.75" customHeight="1">
      <c r="A21"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1" s="154" t="s">
        <v>517</v>
      </c>
      <c r="C21" s="135" t="s">
        <v>531</v>
      </c>
      <c r="D21" s="140">
        <v>1</v>
      </c>
    </row>
    <row r="22" spans="1:4" ht="27.75" customHeight="1">
      <c r="A22" s="141" t="str">
        <f>IFERROR(INDEX(Расходка[[Тип расходного материала ]],MATCH(Карта_Учёта[[#This Row],[Наименование расходного материала]],Расходка[Наименование расходного материала],0)),"")</f>
        <v/>
      </c>
      <c r="B22" s="154"/>
      <c r="C22" s="135"/>
      <c r="D22" s="142"/>
    </row>
    <row r="23" spans="1:4" ht="27.75" customHeight="1">
      <c r="A23" s="141" t="str">
        <f>IFERROR(INDEX(Расходка[[Тип расходного материала ]],MATCH(Карта_Учёта[[#This Row],[Наименование расходного материала]],Расходка[Наименование расходного материала],0)),"")</f>
        <v/>
      </c>
      <c r="B23" s="154"/>
      <c r="C23" s="135"/>
      <c r="D23" s="142"/>
    </row>
    <row r="24" spans="1:4" ht="27.75" customHeight="1">
      <c r="A24" s="143" t="str">
        <f>IFERROR(INDEX(Расходка[[Тип расходного материала ]],MATCH(Карта_Учёта[[#This Row],[Наименование расходного материала]],Расходка[Наименование расходного материала],0)),"")</f>
        <v/>
      </c>
      <c r="B24" s="154"/>
      <c r="C24" s="135"/>
      <c r="D24" s="142"/>
    </row>
    <row r="25" spans="1:4" ht="27.75" customHeight="1">
      <c r="A25" s="144" t="str">
        <f>IFERROR(INDEX(Расходка[[Тип расходного материала ]],MATCH(Карта_Учёта[[#This Row],[Наименование расходного материала]],Расходка[Наименование расходного материала],0)),"")</f>
        <v/>
      </c>
      <c r="B25" s="156"/>
      <c r="C25" s="145"/>
      <c r="D25" s="146"/>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376</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515</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485</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484</v>
      </c>
      <c r="G3" s="3" t="s">
        <v>485</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311</v>
      </c>
      <c r="G4" s="3" t="s">
        <v>485</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399</v>
      </c>
      <c r="F5" t="s">
        <v>131</v>
      </c>
      <c r="G5" s="3" t="s">
        <v>485</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485</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485</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485</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485</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486</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484</v>
      </c>
      <c r="G13" s="3" t="s">
        <v>486</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311</v>
      </c>
      <c r="G14" s="3" t="s">
        <v>486</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486</v>
      </c>
      <c r="H15" s="3">
        <v>2633</v>
      </c>
      <c r="I15" s="3">
        <v>46</v>
      </c>
      <c r="J15" s="3">
        <v>45</v>
      </c>
      <c r="K15" s="3">
        <v>45</v>
      </c>
      <c r="L15" s="3">
        <v>45</v>
      </c>
      <c r="M15" s="3">
        <v>45</v>
      </c>
      <c r="N15" s="3">
        <v>45</v>
      </c>
      <c r="O15" s="3">
        <v>45</v>
      </c>
      <c r="P15" s="3">
        <v>45</v>
      </c>
      <c r="Q15" s="3">
        <v>45</v>
      </c>
      <c r="R15" s="3">
        <v>45</v>
      </c>
      <c r="S15" s="3">
        <v>45</v>
      </c>
      <c r="T15" s="3">
        <v>45</v>
      </c>
      <c r="V15" t="s">
        <v>394</v>
      </c>
      <c r="W15" s="12"/>
    </row>
    <row r="16" spans="1:23">
      <c r="A16" s="8">
        <v>15</v>
      </c>
      <c r="B16" s="2" t="s">
        <v>31</v>
      </c>
      <c r="C16" s="8" t="s">
        <v>237</v>
      </c>
      <c r="D16" s="5" t="s">
        <v>32</v>
      </c>
      <c r="V16" t="s">
        <v>395</v>
      </c>
    </row>
    <row r="17" spans="1:23">
      <c r="A17" s="8">
        <v>16</v>
      </c>
      <c r="B17" s="2" t="s">
        <v>33</v>
      </c>
      <c r="C17" s="8" t="s">
        <v>238</v>
      </c>
      <c r="D17" s="5" t="s">
        <v>34</v>
      </c>
      <c r="F17" t="s">
        <v>487</v>
      </c>
      <c r="V17" t="s">
        <v>396</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336</v>
      </c>
      <c r="J21" s="12"/>
    </row>
    <row r="22" spans="1:23" ht="30">
      <c r="A22" s="8">
        <v>21</v>
      </c>
      <c r="B22" s="2" t="s">
        <v>52</v>
      </c>
      <c r="C22" s="8" t="s">
        <v>53</v>
      </c>
      <c r="D22" s="5" t="s">
        <v>54</v>
      </c>
      <c r="F22" t="s">
        <v>337</v>
      </c>
      <c r="J22" s="12"/>
      <c r="U22" s="2"/>
    </row>
    <row r="23" spans="1:23">
      <c r="A23" s="8">
        <v>22</v>
      </c>
      <c r="B23" s="2" t="s">
        <v>55</v>
      </c>
      <c r="C23" s="8" t="s">
        <v>56</v>
      </c>
      <c r="D23" s="5" t="s">
        <v>57</v>
      </c>
      <c r="F23" t="s">
        <v>347</v>
      </c>
      <c r="J23" s="12"/>
      <c r="U23" s="2"/>
    </row>
    <row r="24" spans="1:23">
      <c r="A24" s="8">
        <v>23</v>
      </c>
      <c r="B24" s="2" t="s">
        <v>58</v>
      </c>
      <c r="C24" s="8" t="s">
        <v>59</v>
      </c>
      <c r="D24" s="5" t="s">
        <v>60</v>
      </c>
      <c r="F24" t="s">
        <v>502</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40" zoomScaleNormal="100" workbookViewId="0">
      <selection activeCell="AM64" sqref="AM64"/>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499</v>
      </c>
      <c r="AN1" s="2" t="s">
        <v>493</v>
      </c>
      <c r="AO1" t="s">
        <v>356</v>
      </c>
      <c r="AP1" s="159"/>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1</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0</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Abbot Whisper LS</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Hunter® 6F</v>
      </c>
      <c r="V2" s="115" t="str">
        <f>IFERROR(INDEX(Расходка[Наименование расходного материала],MATCH(Расходка[[#This Row],[№]],Поиск_расходки[Индекс5],0)),"")</f>
        <v>Launcher 6F JR 4.0</v>
      </c>
      <c r="W2" s="115" t="str">
        <f>IFERROR(INDEX(Расходка[Наименование расходного материала],MATCH(Расходка[[#This Row],[№]],Поиск_расходки[Индекс6],0)),"")</f>
        <v>Launcher 6F AL 1</v>
      </c>
      <c r="X2" s="115" t="str">
        <f>IFERROR(INDEX(Расходка[Наименование расходного материала],MATCH(Расходка[[#This Row],[№]],Поиск_расходки[Индекс7],0)),"")</f>
        <v>Колибри</v>
      </c>
      <c r="Y2" s="115" t="str">
        <f>IFERROR(INDEX(Расходка[Наименование расходного материала],MATCH(Расходка[[#This Row],[№]],Поиск_расходки[Индекс8],0)),"")</f>
        <v>NC АКСИОМА</v>
      </c>
      <c r="Z2" s="115" t="str">
        <f>IFERROR(INDEX(Расходка[Наименование расходного материала],MATCH(Расходка[[#This Row],[№]],Поиск_расходки[Индекс9],0)),"")</f>
        <v>Meril Evermine50™</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401</v>
      </c>
      <c r="AI2" t="s">
        <v>190</v>
      </c>
      <c r="AJ2" t="s">
        <v>199</v>
      </c>
      <c r="AK2" t="str">
        <f>CONCATENATE(AI2,AJ2)</f>
        <v xml:space="preserve">Контраст: Ультравист 370 </v>
      </c>
      <c r="AM2" s="207">
        <v>155800</v>
      </c>
      <c r="AN2" s="208" t="s">
        <v>309</v>
      </c>
      <c r="AO2" s="209" t="s">
        <v>495</v>
      </c>
      <c r="AP2" s="128"/>
    </row>
    <row r="3" spans="1:42">
      <c r="A3">
        <v>2</v>
      </c>
      <c r="B3" t="s">
        <v>94</v>
      </c>
      <c r="C3" t="s">
        <v>369</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0</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xml:space="preserve">NC Колибри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402</v>
      </c>
      <c r="AI3" t="s">
        <v>190</v>
      </c>
      <c r="AJ3" t="s">
        <v>200</v>
      </c>
      <c r="AK3" t="str">
        <f t="shared" ref="AK3:AK6" si="0">CONCATENATE(AI3,AJ3)</f>
        <v>Контраст: Омнипак 350</v>
      </c>
      <c r="AM3" s="189">
        <v>218190</v>
      </c>
      <c r="AN3" s="2" t="s">
        <v>488</v>
      </c>
      <c r="AO3" t="s">
        <v>496</v>
      </c>
      <c r="AP3" s="129"/>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0</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403</v>
      </c>
      <c r="AI4" t="s">
        <v>190</v>
      </c>
      <c r="AJ4" t="s">
        <v>201</v>
      </c>
      <c r="AK4" t="str">
        <f t="shared" si="0"/>
        <v>Контраст: Оптирей 350</v>
      </c>
      <c r="AM4" s="189">
        <v>337440</v>
      </c>
      <c r="AN4" s="2" t="s">
        <v>501</v>
      </c>
      <c r="AO4" t="s">
        <v>498</v>
      </c>
      <c r="AP4" s="129"/>
    </row>
    <row r="5" spans="1:42">
      <c r="A5">
        <v>4</v>
      </c>
      <c r="B5" t="s">
        <v>5</v>
      </c>
      <c r="C5" t="s">
        <v>312</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0</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404</v>
      </c>
      <c r="AI5" t="s">
        <v>190</v>
      </c>
      <c r="AJ5" t="s">
        <v>202</v>
      </c>
      <c r="AK5" t="str">
        <f t="shared" si="0"/>
        <v>Контраст: Юнигексол 350</v>
      </c>
      <c r="AM5" s="207">
        <v>136170</v>
      </c>
      <c r="AN5" s="208"/>
      <c r="AO5" s="209" t="s">
        <v>497</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0</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405</v>
      </c>
      <c r="AI6" t="s">
        <v>190</v>
      </c>
      <c r="AJ6" t="s">
        <v>203</v>
      </c>
      <c r="AK6" t="str">
        <f t="shared" si="0"/>
        <v>Контраст: Сканлюкс 370</v>
      </c>
      <c r="AM6" s="189">
        <v>135820</v>
      </c>
      <c r="AN6" s="2"/>
      <c r="AO6" t="s">
        <v>500</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0</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406</v>
      </c>
      <c r="AI7" t="s">
        <v>190</v>
      </c>
      <c r="AJ7" t="s">
        <v>204</v>
      </c>
      <c r="AK7" t="str">
        <f t="shared" ref="AK7:AK8" si="1">CONCATENATE(AI7,AJ7)</f>
        <v>Контраст: Йогексол 350</v>
      </c>
      <c r="AM7" s="207">
        <v>155760</v>
      </c>
      <c r="AN7" s="208"/>
      <c r="AO7" s="209" t="s">
        <v>494</v>
      </c>
    </row>
    <row r="8" spans="1:42">
      <c r="A8">
        <v>7</v>
      </c>
      <c r="B8" t="s">
        <v>5</v>
      </c>
      <c r="C8" t="s">
        <v>313</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0</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407</v>
      </c>
      <c r="AI8" t="s">
        <v>190</v>
      </c>
      <c r="AJ8" t="s">
        <v>205</v>
      </c>
      <c r="AK8" t="str">
        <f t="shared" si="1"/>
        <v>Контраст: Визипак 320</v>
      </c>
      <c r="AM8" s="189">
        <v>218140</v>
      </c>
      <c r="AN8" s="2"/>
      <c r="AO8" t="s">
        <v>89</v>
      </c>
    </row>
    <row r="9" spans="1:42">
      <c r="A9">
        <v>8</v>
      </c>
      <c r="B9" t="s">
        <v>5</v>
      </c>
      <c r="C9" t="s">
        <v>358</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0</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408</v>
      </c>
      <c r="AM9" s="189">
        <v>218160</v>
      </c>
      <c r="AN9" s="2"/>
      <c r="AO9" t="s">
        <v>90</v>
      </c>
    </row>
    <row r="10" spans="1:42">
      <c r="A10">
        <v>9</v>
      </c>
      <c r="B10" t="s">
        <v>5</v>
      </c>
      <c r="C10" t="s">
        <v>374</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1</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0</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409</v>
      </c>
      <c r="AI10" t="s">
        <v>355</v>
      </c>
      <c r="AM10" s="189">
        <v>194510</v>
      </c>
      <c r="AN10" s="2"/>
      <c r="AO10" t="s">
        <v>91</v>
      </c>
    </row>
    <row r="11" spans="1:42">
      <c r="A11">
        <v>10</v>
      </c>
      <c r="B11" t="s">
        <v>5</v>
      </c>
      <c r="C11" t="s">
        <v>397</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2</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410</v>
      </c>
      <c r="AI11" t="s">
        <v>4</v>
      </c>
      <c r="AM11" s="189">
        <v>323500</v>
      </c>
      <c r="AN11" s="2"/>
      <c r="AO11" t="s">
        <v>92</v>
      </c>
    </row>
    <row r="12" spans="1:42">
      <c r="A12">
        <v>11</v>
      </c>
      <c r="B12" t="s">
        <v>5</v>
      </c>
      <c r="C12" t="s">
        <v>513</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1</v>
      </c>
      <c r="M12" s="116">
        <f>IF(ISNUMBER(SEARCH('Карта учёта'!$B$21,Расходка[[#This Row],[Наименование расходного материала]])),MAX($M$1:M11)+1,0)</f>
        <v>0</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
      </c>
      <c r="AA12" s="115" t="str">
        <f>IFERROR(INDEX(Расходка[Наименование расходного материала],MATCH(Расходка[[#This Row],[№]],Поиск_расходки[Индекс10],0)),"")</f>
        <v>NC АКСИОМА</v>
      </c>
      <c r="AB12" s="115" t="str">
        <f>IFERROR(INDEX(Расходка[Наименование расходного материала],MATCH(Расходка[[#This Row],[№]],Поиск_расходки[Индекс11],0)),"")</f>
        <v>NC АКСИОМА</v>
      </c>
      <c r="AC12" s="115" t="str">
        <f>IFERROR(INDEX(Расходка[Наименование расходного материала],MATCH(Расходка[[#This Row],[№]],Поиск_расходки[Индекс12],0)),"")</f>
        <v>NC АКСИОМА</v>
      </c>
      <c r="AD12" s="115" t="str">
        <f>IFERROR(INDEX(Расходка[Наименование расходного материала],MATCH(Расходка[[#This Row],[№]],Поиск_расходки[Индекс13],0)),"")</f>
        <v>NC АКСИОМА</v>
      </c>
      <c r="AF12" s="4" t="s">
        <v>5</v>
      </c>
      <c r="AG12" s="4" t="s">
        <v>411</v>
      </c>
      <c r="AI12" t="s">
        <v>3</v>
      </c>
      <c r="AM12" s="189">
        <v>323510</v>
      </c>
      <c r="AN12" s="2"/>
      <c r="AO12" t="s">
        <v>93</v>
      </c>
    </row>
    <row r="13" spans="1:42">
      <c r="A13">
        <v>12</v>
      </c>
      <c r="B13" t="s">
        <v>308</v>
      </c>
      <c r="C13" s="1" t="s">
        <v>333</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0</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
      </c>
      <c r="AA13" s="115" t="str">
        <f>IFERROR(INDEX(Расходка[Наименование расходного материала],MATCH(Расходка[[#This Row],[№]],Поиск_расходки[Индекс10],0)),"")</f>
        <v>Nitrex 260</v>
      </c>
      <c r="AB13" s="115" t="str">
        <f>IFERROR(INDEX(Расходка[Наименование расходного материала],MATCH(Расходка[[#This Row],[№]],Поиск_расходки[Индекс11],0)),"")</f>
        <v>Nitrex 260</v>
      </c>
      <c r="AC13" s="115" t="str">
        <f>IFERROR(INDEX(Расходка[Наименование расходного материала],MATCH(Расходка[[#This Row],[№]],Поиск_расходки[Индекс12],0)),"")</f>
        <v>Nitrex 260</v>
      </c>
      <c r="AD13" s="115" t="str">
        <f>IFERROR(INDEX(Расходка[Наименование расходного материала],MATCH(Расходка[[#This Row],[№]],Поиск_расходки[Индекс13],0)),"")</f>
        <v>Nitrex 260</v>
      </c>
      <c r="AF13" s="4" t="s">
        <v>5</v>
      </c>
      <c r="AG13" s="4" t="s">
        <v>412</v>
      </c>
      <c r="AI13" t="s">
        <v>6</v>
      </c>
      <c r="AN13" s="2"/>
    </row>
    <row r="14" spans="1:42">
      <c r="A14">
        <v>13</v>
      </c>
      <c r="B14" t="s">
        <v>308</v>
      </c>
      <c r="C14" t="s">
        <v>365</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0</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
      </c>
      <c r="AA14" s="115" t="str">
        <f>IFERROR(INDEX(Расходка[Наименование расходного материала],MATCH(Расходка[[#This Row],[№]],Поиск_расходки[Индекс10],0)),"")</f>
        <v>RadiFocus</v>
      </c>
      <c r="AB14" s="115" t="str">
        <f>IFERROR(INDEX(Расходка[Наименование расходного материала],MATCH(Расходка[[#This Row],[№]],Поиск_расходки[Индекс11],0)),"")</f>
        <v>RadiFocus</v>
      </c>
      <c r="AC14" s="115" t="str">
        <f>IFERROR(INDEX(Расходка[Наименование расходного материала],MATCH(Расходка[[#This Row],[№]],Поиск_расходки[Индекс12],0)),"")</f>
        <v>RadiFocus</v>
      </c>
      <c r="AD14" s="115" t="str">
        <f>IFERROR(INDEX(Расходка[Наименование расходного материала],MATCH(Расходка[[#This Row],[№]],Поиск_расходки[Индекс13],0)),"")</f>
        <v>RadiFocus</v>
      </c>
      <c r="AF14" s="4" t="s">
        <v>5</v>
      </c>
      <c r="AG14" s="4" t="s">
        <v>491</v>
      </c>
      <c r="AI14" t="s">
        <v>5</v>
      </c>
      <c r="AM14" s="189"/>
      <c r="AN14" s="2"/>
    </row>
    <row r="15" spans="1:42">
      <c r="A15">
        <v>14</v>
      </c>
      <c r="B15" t="s">
        <v>306</v>
      </c>
      <c r="C15" t="s">
        <v>332</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0</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
      </c>
      <c r="AA15" s="115" t="str">
        <f>IFERROR(INDEX(Расходка[Наименование расходного материала],MATCH(Расходка[[#This Row],[№]],Поиск_расходки[Индекс10],0)),"")</f>
        <v>BasixCOMPAK</v>
      </c>
      <c r="AB15" s="115" t="str">
        <f>IFERROR(INDEX(Расходка[Наименование расходного материала],MATCH(Расходка[[#This Row],[№]],Поиск_расходки[Индекс11],0)),"")</f>
        <v>BasixCOMPAK</v>
      </c>
      <c r="AC15" s="115" t="str">
        <f>IFERROR(INDEX(Расходка[Наименование расходного материала],MATCH(Расходка[[#This Row],[№]],Поиск_расходки[Индекс12],0)),"")</f>
        <v>BasixCOMPAK</v>
      </c>
      <c r="AD15" s="115" t="str">
        <f>IFERROR(INDEX(Расходка[Наименование расходного материала],MATCH(Расходка[[#This Row],[№]],Поиск_расходки[Индекс13],0)),"")</f>
        <v>BasixCOMPAK</v>
      </c>
      <c r="AF15" s="4" t="s">
        <v>5</v>
      </c>
      <c r="AG15" s="4" t="s">
        <v>413</v>
      </c>
      <c r="AI15" t="s">
        <v>94</v>
      </c>
    </row>
    <row r="16" spans="1:42">
      <c r="A16">
        <v>15</v>
      </c>
      <c r="B16" t="s">
        <v>306</v>
      </c>
      <c r="C16" t="s">
        <v>362</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0</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
      </c>
      <c r="AA16" s="115" t="str">
        <f>IFERROR(INDEX(Расходка[Наименование расходного материала],MATCH(Расходка[[#This Row],[№]],Поиск_расходки[Индекс10],0)),"")</f>
        <v>BasixTOUCH</v>
      </c>
      <c r="AB16" s="115" t="str">
        <f>IFERROR(INDEX(Расходка[Наименование расходного материала],MATCH(Расходка[[#This Row],[№]],Поиск_расходки[Индекс11],0)),"")</f>
        <v>BasixTOUCH</v>
      </c>
      <c r="AC16" s="115" t="str">
        <f>IFERROR(INDEX(Расходка[Наименование расходного материала],MATCH(Расходка[[#This Row],[№]],Поиск_расходки[Индекс12],0)),"")</f>
        <v>BasixTOUCH</v>
      </c>
      <c r="AD16" s="115" t="str">
        <f>IFERROR(INDEX(Расходка[Наименование расходного материала],MATCH(Расходка[[#This Row],[№]],Поиск_расходки[Индекс13],0)),"")</f>
        <v>BasixTOUCH</v>
      </c>
      <c r="AF16" s="4" t="s">
        <v>5</v>
      </c>
      <c r="AG16" s="4" t="s">
        <v>414</v>
      </c>
      <c r="AI16" t="s">
        <v>306</v>
      </c>
    </row>
    <row r="17" spans="1:35">
      <c r="A17">
        <v>16</v>
      </c>
      <c r="B17" t="s">
        <v>306</v>
      </c>
      <c r="C17" t="s">
        <v>354</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0</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
      </c>
      <c r="AA17" s="115" t="str">
        <f>IFERROR(INDEX(Расходка[Наименование расходного материала],MATCH(Расходка[[#This Row],[№]],Поиск_расходки[Индекс10],0)),"")</f>
        <v>Dolphin</v>
      </c>
      <c r="AB17" s="115" t="str">
        <f>IFERROR(INDEX(Расходка[Наименование расходного материала],MATCH(Расходка[[#This Row],[№]],Поиск_расходки[Индекс11],0)),"")</f>
        <v>Dolphin</v>
      </c>
      <c r="AC17" s="115" t="str">
        <f>IFERROR(INDEX(Расходка[Наименование расходного материала],MATCH(Расходка[[#This Row],[№]],Поиск_расходки[Индекс12],0)),"")</f>
        <v>Dolphin</v>
      </c>
      <c r="AD17" s="115" t="str">
        <f>IFERROR(INDEX(Расходка[Наименование расходного материала],MATCH(Расходка[[#This Row],[№]],Поиск_расходки[Индекс13],0)),"")</f>
        <v>Dolphin</v>
      </c>
      <c r="AF17" s="4" t="s">
        <v>5</v>
      </c>
      <c r="AG17" s="4" t="s">
        <v>415</v>
      </c>
      <c r="AI17" t="s">
        <v>206</v>
      </c>
    </row>
    <row r="18" spans="1:35">
      <c r="A18">
        <v>17</v>
      </c>
      <c r="B18" t="s">
        <v>306</v>
      </c>
      <c r="C18" t="s">
        <v>375</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0</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
      </c>
      <c r="AA18" s="115" t="str">
        <f>IFERROR(INDEX(Расходка[Наименование расходного материала],MATCH(Расходка[[#This Row],[№]],Поиск_расходки[Индекс10],0)),"")</f>
        <v>Lepu Medical</v>
      </c>
      <c r="AB18" s="115" t="str">
        <f>IFERROR(INDEX(Расходка[Наименование расходного материала],MATCH(Расходка[[#This Row],[№]],Поиск_расходки[Индекс11],0)),"")</f>
        <v>Lepu Medical</v>
      </c>
      <c r="AC18" s="115" t="str">
        <f>IFERROR(INDEX(Расходка[Наименование расходного материала],MATCH(Расходка[[#This Row],[№]],Поиск_расходки[Индекс12],0)),"")</f>
        <v>Lepu Medical</v>
      </c>
      <c r="AD18" s="115" t="str">
        <f>IFERROR(INDEX(Расходка[Наименование расходного материала],MATCH(Расходка[[#This Row],[№]],Поиск_расходки[Индекс13],0)),"")</f>
        <v>Lepu Medical</v>
      </c>
      <c r="AF18" s="4" t="s">
        <v>5</v>
      </c>
      <c r="AG18" s="4" t="s">
        <v>416</v>
      </c>
      <c r="AI18" t="s">
        <v>95</v>
      </c>
    </row>
    <row r="19" spans="1:35">
      <c r="A19">
        <v>18</v>
      </c>
      <c r="B19" t="s">
        <v>306</v>
      </c>
      <c r="C19" t="s">
        <v>367</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0</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
      </c>
      <c r="AA19" s="115" t="str">
        <f>IFERROR(INDEX(Расходка[Наименование расходного материала],MATCH(Расходка[[#This Row],[№]],Поиск_расходки[Индекс10],0)),"")</f>
        <v>Perouse Medical FLAMINGO</v>
      </c>
      <c r="AB19" s="115" t="str">
        <f>IFERROR(INDEX(Расходка[Наименование расходного материала],MATCH(Расходка[[#This Row],[№]],Поиск_расходки[Индекс11],0)),"")</f>
        <v>Perouse Medical FLAMINGO</v>
      </c>
      <c r="AC19" s="115" t="str">
        <f>IFERROR(INDEX(Расходка[Наименование расходного материала],MATCH(Расходка[[#This Row],[№]],Поиск_расходки[Индекс12],0)),"")</f>
        <v>Perouse Medical FLAMINGO</v>
      </c>
      <c r="AD19" s="115" t="str">
        <f>IFERROR(INDEX(Расходка[Наименование расходного материала],MATCH(Расходка[[#This Row],[№]],Поиск_расходки[Индекс13],0)),"")</f>
        <v>Perouse Medical FLAMINGO</v>
      </c>
      <c r="AF19" s="4" t="s">
        <v>5</v>
      </c>
      <c r="AG19" s="4" t="s">
        <v>417</v>
      </c>
      <c r="AI19" t="s">
        <v>301</v>
      </c>
    </row>
    <row r="20" spans="1:35">
      <c r="A20">
        <v>19</v>
      </c>
      <c r="B20" t="s">
        <v>306</v>
      </c>
      <c r="C20" t="s">
        <v>504</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0</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
      </c>
      <c r="AA20" s="115" t="str">
        <f>IFERROR(INDEX(Расходка[Наименование расходного материала],MATCH(Расходка[[#This Row],[№]],Поиск_расходки[Индекс10],0)),"")</f>
        <v>Demax</v>
      </c>
      <c r="AB20" s="115" t="str">
        <f>IFERROR(INDEX(Расходка[Наименование расходного материала],MATCH(Расходка[[#This Row],[№]],Поиск_расходки[Индекс11],0)),"")</f>
        <v>Demax</v>
      </c>
      <c r="AC20" s="115" t="str">
        <f>IFERROR(INDEX(Расходка[Наименование расходного материала],MATCH(Расходка[[#This Row],[№]],Поиск_расходки[Индекс12],0)),"")</f>
        <v>Demax</v>
      </c>
      <c r="AD20" s="115" t="str">
        <f>IFERROR(INDEX(Расходка[Наименование расходного материала],MATCH(Расходка[[#This Row],[№]],Поиск_расходки[Индекс13],0)),"")</f>
        <v>Demax</v>
      </c>
      <c r="AF20" s="4" t="s">
        <v>5</v>
      </c>
      <c r="AG20" s="4" t="s">
        <v>418</v>
      </c>
      <c r="AI20" t="s">
        <v>308</v>
      </c>
    </row>
    <row r="21" spans="1:35">
      <c r="A21">
        <v>20</v>
      </c>
      <c r="B21" t="s">
        <v>206</v>
      </c>
      <c r="C21" s="1" t="s">
        <v>338</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
      </c>
      <c r="AA21" s="115" t="str">
        <f>IFERROR(INDEX(Расходка[Наименование расходного материала],MATCH(Расходка[[#This Row],[№]],Поиск_расходки[Индекс10],0)),"")</f>
        <v>Oscor 7F</v>
      </c>
      <c r="AB21" s="115" t="str">
        <f>IFERROR(INDEX(Расходка[Наименование расходного материала],MATCH(Расходка[[#This Row],[№]],Поиск_расходки[Индекс11],0)),"")</f>
        <v>Oscor 7F</v>
      </c>
      <c r="AC21" s="115" t="str">
        <f>IFERROR(INDEX(Расходка[Наименование расходного материала],MATCH(Расходка[[#This Row],[№]],Поиск_расходки[Индекс12],0)),"")</f>
        <v>Oscor 7F</v>
      </c>
      <c r="AD21" s="115" t="str">
        <f>IFERROR(INDEX(Расходка[Наименование расходного материала],MATCH(Расходка[[#This Row],[№]],Поиск_расходки[Индекс13],0)),"")</f>
        <v>Oscor 7F</v>
      </c>
      <c r="AF21" s="4" t="s">
        <v>5</v>
      </c>
      <c r="AG21" s="4" t="s">
        <v>419</v>
      </c>
    </row>
    <row r="22" spans="1:35">
      <c r="A22">
        <v>21</v>
      </c>
      <c r="B22" t="s">
        <v>306</v>
      </c>
      <c r="C22" s="1" t="s">
        <v>506</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0</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c>
      <c r="AA22" s="115" t="str">
        <f>IFERROR(INDEX(Расходка[Наименование расходного материала],MATCH(Расходка[[#This Row],[№]],Поиск_расходки[Индекс10],0)),"")</f>
        <v>"МИМ". Тюмень</v>
      </c>
      <c r="AB22" s="115" t="str">
        <f>IFERROR(INDEX(Расходка[Наименование расходного материала],MATCH(Расходка[[#This Row],[№]],Поиск_расходки[Индекс11],0)),"")</f>
        <v>"МИМ". Тюмень</v>
      </c>
      <c r="AC22" s="115" t="str">
        <f>IFERROR(INDEX(Расходка[Наименование расходного материала],MATCH(Расходка[[#This Row],[№]],Поиск_расходки[Индекс12],0)),"")</f>
        <v>"МИМ". Тюмень</v>
      </c>
      <c r="AD22" s="115" t="str">
        <f>IFERROR(INDEX(Расходка[Наименование расходного материала],MATCH(Расходка[[#This Row],[№]],Поиск_расходки[Индекс13],0)),"")</f>
        <v>"МИМ". Тюмень</v>
      </c>
      <c r="AF22" s="4" t="s">
        <v>5</v>
      </c>
      <c r="AG22" s="4" t="s">
        <v>420</v>
      </c>
    </row>
    <row r="23" spans="1:35">
      <c r="A23">
        <v>22</v>
      </c>
      <c r="B23" t="s">
        <v>306</v>
      </c>
      <c r="C23" s="1" t="s">
        <v>508</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0</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
      </c>
      <c r="AA23" s="115" t="str">
        <f>IFERROR(INDEX(Расходка[Наименование расходного материала],MATCH(Расходка[[#This Row],[№]],Поиск_расходки[Индекс10],0)),"")</f>
        <v>Поток CTЗ по ТУ</v>
      </c>
      <c r="AB23" s="115" t="str">
        <f>IFERROR(INDEX(Расходка[Наименование расходного материала],MATCH(Расходка[[#This Row],[№]],Поиск_расходки[Индекс11],0)),"")</f>
        <v>Поток CTЗ по ТУ</v>
      </c>
      <c r="AC23" s="115" t="str">
        <f>IFERROR(INDEX(Расходка[Наименование расходного материала],MATCH(Расходка[[#This Row],[№]],Поиск_расходки[Индекс12],0)),"")</f>
        <v>Поток CTЗ по ТУ</v>
      </c>
      <c r="AD23" s="115" t="str">
        <f>IFERROR(INDEX(Расходка[Наименование расходного материала],MATCH(Расходка[[#This Row],[№]],Поиск_расходки[Индекс13],0)),"")</f>
        <v>Поток CTЗ по ТУ</v>
      </c>
      <c r="AF23" s="4" t="s">
        <v>5</v>
      </c>
      <c r="AG23" s="4" t="s">
        <v>421</v>
      </c>
    </row>
    <row r="24" spans="1:35">
      <c r="A24">
        <v>23</v>
      </c>
      <c r="B24" t="s">
        <v>306</v>
      </c>
      <c r="C24" s="1" t="s">
        <v>306</v>
      </c>
      <c r="E24" s="116">
        <f>IF(ISNUMBER(SEARCH('Карта учёта'!$B$13,Расходка[[#This Row],[Наименование расходного материала]])),MAX($E$1:E23)+1,0)</f>
        <v>1</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0</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
      </c>
      <c r="AA24" s="115" t="str">
        <f>IFERROR(INDEX(Расходка[Наименование расходного материала],MATCH(Расходка[[#This Row],[№]],Поиск_расходки[Индекс10],0)),"")</f>
        <v>Индефлятор</v>
      </c>
      <c r="AB24" s="115" t="str">
        <f>IFERROR(INDEX(Расходка[Наименование расходного материала],MATCH(Расходка[[#This Row],[№]],Поиск_расходки[Индекс11],0)),"")</f>
        <v>Индефлятор</v>
      </c>
      <c r="AC24" s="115" t="str">
        <f>IFERROR(INDEX(Расходка[Наименование расходного материала],MATCH(Расходка[[#This Row],[№]],Поиск_расходки[Индекс12],0)),"")</f>
        <v>Индефлятор</v>
      </c>
      <c r="AD24" s="115" t="str">
        <f>IFERROR(INDEX(Расходка[Наименование расходного материала],MATCH(Расходка[[#This Row],[№]],Поиск_расходки[Индекс13],0)),"")</f>
        <v>Индефлятор</v>
      </c>
      <c r="AF24" s="4" t="s">
        <v>5</v>
      </c>
      <c r="AG24" s="4" t="s">
        <v>422</v>
      </c>
    </row>
    <row r="25" spans="1:35">
      <c r="A25">
        <v>24</v>
      </c>
      <c r="B25" t="s">
        <v>3</v>
      </c>
      <c r="C25" t="s">
        <v>321</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0</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
      </c>
      <c r="AA25" s="115" t="str">
        <f>IFERROR(INDEX(Расходка[Наименование расходного материала],MATCH(Расходка[[#This Row],[№]],Поиск_расходки[Индекс10],0)),"")</f>
        <v>Cougar LS Hydro-Track®</v>
      </c>
      <c r="AB25" s="115" t="str">
        <f>IFERROR(INDEX(Расходка[Наименование расходного материала],MATCH(Расходка[[#This Row],[№]],Поиск_расходки[Индекс11],0)),"")</f>
        <v>Cougar LS Hydro-Track®</v>
      </c>
      <c r="AC25" s="115" t="str">
        <f>IFERROR(INDEX(Расходка[Наименование расходного материала],MATCH(Расходка[[#This Row],[№]],Поиск_расходки[Индекс12],0)),"")</f>
        <v>Cougar LS Hydro-Track®</v>
      </c>
      <c r="AD25" s="115" t="str">
        <f>IFERROR(INDEX(Расходка[Наименование расходного материала],MATCH(Расходка[[#This Row],[№]],Поиск_расходки[Индекс13],0)),"")</f>
        <v>Cougar LS Hydro-Track®</v>
      </c>
      <c r="AF25" s="4" t="s">
        <v>5</v>
      </c>
      <c r="AG25" s="4" t="s">
        <v>423</v>
      </c>
    </row>
    <row r="26" spans="1:35">
      <c r="A26">
        <v>25</v>
      </c>
      <c r="B26" t="s">
        <v>3</v>
      </c>
      <c r="C26" t="s">
        <v>342</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0</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
      </c>
      <c r="AA26" s="115" t="str">
        <f>IFERROR(INDEX(Расходка[Наименование расходного материала],MATCH(Расходка[[#This Row],[№]],Поиск_расходки[Индекс10],0)),"")</f>
        <v>Cougar XT Hydro-Track®</v>
      </c>
      <c r="AB26" s="115" t="str">
        <f>IFERROR(INDEX(Расходка[Наименование расходного материала],MATCH(Расходка[[#This Row],[№]],Поиск_расходки[Индекс11],0)),"")</f>
        <v>Cougar XT Hydro-Track®</v>
      </c>
      <c r="AC26" s="115" t="str">
        <f>IFERROR(INDEX(Расходка[Наименование расходного материала],MATCH(Расходка[[#This Row],[№]],Поиск_расходки[Индекс12],0)),"")</f>
        <v>Cougar XT Hydro-Track®</v>
      </c>
      <c r="AD26" s="115" t="str">
        <f>IFERROR(INDEX(Расходка[Наименование расходного материала],MATCH(Расходка[[#This Row],[№]],Поиск_расходки[Индекс13],0)),"")</f>
        <v>Cougar XT Hydro-Track®</v>
      </c>
      <c r="AF26" s="4" t="s">
        <v>5</v>
      </c>
      <c r="AG26" s="4" t="s">
        <v>424</v>
      </c>
    </row>
    <row r="27" spans="1:35">
      <c r="A27">
        <v>26</v>
      </c>
      <c r="B27" t="s">
        <v>3</v>
      </c>
      <c r="C27" t="s">
        <v>314</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1</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0</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
      </c>
      <c r="AA27" s="115" t="str">
        <f>IFERROR(INDEX(Расходка[Наименование расходного материала],MATCH(Расходка[[#This Row],[№]],Поиск_расходки[Индекс10],0)),"")</f>
        <v>Fielder</v>
      </c>
      <c r="AB27" s="115" t="str">
        <f>IFERROR(INDEX(Расходка[Наименование расходного материала],MATCH(Расходка[[#This Row],[№]],Поиск_расходки[Индекс11],0)),"")</f>
        <v>Fielder</v>
      </c>
      <c r="AC27" s="115" t="str">
        <f>IFERROR(INDEX(Расходка[Наименование расходного материала],MATCH(Расходка[[#This Row],[№]],Поиск_расходки[Индекс12],0)),"")</f>
        <v>Fielder</v>
      </c>
      <c r="AD27" s="115" t="str">
        <f>IFERROR(INDEX(Расходка[Наименование расходного материала],MATCH(Расходка[[#This Row],[№]],Поиск_расходки[Индекс13],0)),"")</f>
        <v>Fielder</v>
      </c>
      <c r="AF27" s="4" t="s">
        <v>5</v>
      </c>
      <c r="AG27" s="4" t="s">
        <v>425</v>
      </c>
    </row>
    <row r="28" spans="1:35">
      <c r="A28">
        <v>27</v>
      </c>
      <c r="B28" t="s">
        <v>3</v>
      </c>
      <c r="C28" t="s">
        <v>372</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2</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0</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
      </c>
      <c r="AA28" s="115" t="str">
        <f>IFERROR(INDEX(Расходка[Наименование расходного материала],MATCH(Расходка[[#This Row],[№]],Поиск_расходки[Индекс10],0)),"")</f>
        <v>Fielder XT-A</v>
      </c>
      <c r="AB28" s="115" t="str">
        <f>IFERROR(INDEX(Расходка[Наименование расходного материала],MATCH(Расходка[[#This Row],[№]],Поиск_расходки[Индекс11],0)),"")</f>
        <v>Fielder XT-A</v>
      </c>
      <c r="AC28" s="115" t="str">
        <f>IFERROR(INDEX(Расходка[Наименование расходного материала],MATCH(Расходка[[#This Row],[№]],Поиск_расходки[Индекс12],0)),"")</f>
        <v>Fielder XT-A</v>
      </c>
      <c r="AD28" s="115" t="str">
        <f>IFERROR(INDEX(Расходка[Наименование расходного материала],MATCH(Расходка[[#This Row],[№]],Поиск_расходки[Индекс13],0)),"")</f>
        <v>Fielder XT-A</v>
      </c>
      <c r="AF28" s="4" t="s">
        <v>5</v>
      </c>
      <c r="AG28" s="4" t="s">
        <v>426</v>
      </c>
    </row>
    <row r="29" spans="1:35">
      <c r="A29">
        <v>28</v>
      </c>
      <c r="B29" t="s">
        <v>3</v>
      </c>
      <c r="C29" t="s">
        <v>373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3</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0</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
      </c>
      <c r="AA29" s="115" t="str">
        <f>IFERROR(INDEX(Расходка[Наименование расходного материала],MATCH(Расходка[[#This Row],[№]],Поиск_расходки[Индекс10],0)),"")</f>
        <v>Fielder XT-R</v>
      </c>
      <c r="AB29" s="115" t="str">
        <f>IFERROR(INDEX(Расходка[Наименование расходного материала],MATCH(Расходка[[#This Row],[№]],Поиск_расходки[Индекс11],0)),"")</f>
        <v>Fielder XT-R</v>
      </c>
      <c r="AC29" s="115" t="str">
        <f>IFERROR(INDEX(Расходка[Наименование расходного материала],MATCH(Расходка[[#This Row],[№]],Поиск_расходки[Индекс12],0)),"")</f>
        <v>Fielder XT-R</v>
      </c>
      <c r="AD29" s="115" t="str">
        <f>IFERROR(INDEX(Расходка[Наименование расходного материала],MATCH(Расходка[[#This Row],[№]],Поиск_расходки[Индекс13],0)),"")</f>
        <v>Fielder XT-R</v>
      </c>
      <c r="AF29" s="4" t="s">
        <v>5</v>
      </c>
      <c r="AG29" s="4" t="s">
        <v>427</v>
      </c>
    </row>
    <row r="30" spans="1:35">
      <c r="A30">
        <v>29</v>
      </c>
      <c r="B30" t="s">
        <v>3</v>
      </c>
      <c r="C30" t="s">
        <v>510</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0</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
      </c>
      <c r="AA30" s="115" t="str">
        <f>IFERROR(INDEX(Расходка[Наименование расходного материала],MATCH(Расходка[[#This Row],[№]],Поиск_расходки[Индекс10],0)),"")</f>
        <v>Asahi Gaia First</v>
      </c>
      <c r="AB30" s="115" t="str">
        <f>IFERROR(INDEX(Расходка[Наименование расходного материала],MATCH(Расходка[[#This Row],[№]],Поиск_расходки[Индекс11],0)),"")</f>
        <v>Asahi Gaia First</v>
      </c>
      <c r="AC30" s="115" t="str">
        <f>IFERROR(INDEX(Расходка[Наименование расходного материала],MATCH(Расходка[[#This Row],[№]],Поиск_расходки[Индекс12],0)),"")</f>
        <v>Asahi Gaia First</v>
      </c>
      <c r="AD30" s="115" t="str">
        <f>IFERROR(INDEX(Расходка[Наименование расходного материала],MATCH(Расходка[[#This Row],[№]],Поиск_расходки[Индекс13],0)),"")</f>
        <v>Asahi Gaia First</v>
      </c>
      <c r="AF30" s="4" t="s">
        <v>5</v>
      </c>
      <c r="AG30" s="4" t="s">
        <v>489</v>
      </c>
    </row>
    <row r="31" spans="1:35">
      <c r="A31">
        <v>30</v>
      </c>
      <c r="B31" t="s">
        <v>3</v>
      </c>
      <c r="C31" s="1" t="s">
        <v>511</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
      </c>
      <c r="AA31" s="115" t="str">
        <f>IFERROR(INDEX(Расходка[Наименование расходного материала],MATCH(Расходка[[#This Row],[№]],Поиск_расходки[Индекс10],0)),"")</f>
        <v>Asahi Gaia Second</v>
      </c>
      <c r="AB31" s="115" t="str">
        <f>IFERROR(INDEX(Расходка[Наименование расходного материала],MATCH(Расходка[[#This Row],[№]],Поиск_расходки[Индекс11],0)),"")</f>
        <v>Asahi Gaia Second</v>
      </c>
      <c r="AC31" s="115" t="str">
        <f>IFERROR(INDEX(Расходка[Наименование расходного материала],MATCH(Расходка[[#This Row],[№]],Поиск_расходки[Индекс12],0)),"")</f>
        <v>Asahi Gaia Second</v>
      </c>
      <c r="AD31" s="115" t="str">
        <f>IFERROR(INDEX(Расходка[Наименование расходного материала],MATCH(Расходка[[#This Row],[№]],Поиск_расходки[Индекс13],0)),"")</f>
        <v>Asahi Gaia Second</v>
      </c>
      <c r="AF31" s="4" t="s">
        <v>5</v>
      </c>
      <c r="AG31" s="4" t="s">
        <v>428</v>
      </c>
    </row>
    <row r="32" spans="1:35">
      <c r="A32">
        <v>31</v>
      </c>
      <c r="B32" t="s">
        <v>3</v>
      </c>
      <c r="C32" s="1" t="s">
        <v>512</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0</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
      </c>
      <c r="AA32" s="115" t="str">
        <f>IFERROR(INDEX(Расходка[Наименование расходного материала],MATCH(Расходка[[#This Row],[№]],Поиск_расходки[Индекс10],0)),"")</f>
        <v>Asahi Gaia Third</v>
      </c>
      <c r="AB32" s="115" t="str">
        <f>IFERROR(INDEX(Расходка[Наименование расходного материала],MATCH(Расходка[[#This Row],[№]],Поиск_расходки[Индекс11],0)),"")</f>
        <v>Asahi Gaia Third</v>
      </c>
      <c r="AC32" s="115" t="str">
        <f>IFERROR(INDEX(Расходка[Наименование расходного материала],MATCH(Расходка[[#This Row],[№]],Поиск_расходки[Индекс12],0)),"")</f>
        <v>Asahi Gaia Third</v>
      </c>
      <c r="AD32" s="115" t="str">
        <f>IFERROR(INDEX(Расходка[Наименование расходного материала],MATCH(Расходка[[#This Row],[№]],Поиск_расходки[Индекс13],0)),"")</f>
        <v>Asahi Gaia Third</v>
      </c>
      <c r="AF32" s="4" t="s">
        <v>5</v>
      </c>
      <c r="AG32" s="4" t="s">
        <v>429</v>
      </c>
    </row>
    <row r="33" spans="1:33">
      <c r="A33">
        <v>32</v>
      </c>
      <c r="B33" t="s">
        <v>3</v>
      </c>
      <c r="C33" s="1" t="s">
        <v>322</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0</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
      </c>
      <c r="AA33" s="115" t="str">
        <f>IFERROR(INDEX(Расходка[Наименование расходного материала],MATCH(Расходка[[#This Row],[№]],Поиск_расходки[Индекс10],0)),"")</f>
        <v>Intuition</v>
      </c>
      <c r="AB33" s="115" t="str">
        <f>IFERROR(INDEX(Расходка[Наименование расходного материала],MATCH(Расходка[[#This Row],[№]],Поиск_расходки[Индекс11],0)),"")</f>
        <v>Intuition</v>
      </c>
      <c r="AC33" s="115" t="str">
        <f>IFERROR(INDEX(Расходка[Наименование расходного материала],MATCH(Расходка[[#This Row],[№]],Поиск_расходки[Индекс12],0)),"")</f>
        <v>Intuition</v>
      </c>
      <c r="AD33" s="115" t="str">
        <f>IFERROR(INDEX(Расходка[Наименование расходного материала],MATCH(Расходка[[#This Row],[№]],Поиск_расходки[Индекс13],0)),"")</f>
        <v>Intuition</v>
      </c>
      <c r="AF33" s="4" t="s">
        <v>5</v>
      </c>
      <c r="AG33" s="4" t="s">
        <v>430</v>
      </c>
    </row>
    <row r="34" spans="1:33">
      <c r="A34">
        <v>33</v>
      </c>
      <c r="B34" t="s">
        <v>3</v>
      </c>
      <c r="C34" t="s">
        <v>318</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0</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
      </c>
      <c r="AA34" s="115" t="str">
        <f>IFERROR(INDEX(Расходка[Наименование расходного материала],MATCH(Расходка[[#This Row],[№]],Поиск_расходки[Индекс10],0)),"")</f>
        <v>ProVia 3 Hydro-Track®</v>
      </c>
      <c r="AB34" s="115" t="str">
        <f>IFERROR(INDEX(Расходка[Наименование расходного материала],MATCH(Расходка[[#This Row],[№]],Поиск_расходки[Индекс11],0)),"")</f>
        <v>ProVia 3 Hydro-Track®</v>
      </c>
      <c r="AC34" s="115" t="str">
        <f>IFERROR(INDEX(Расходка[Наименование расходного материала],MATCH(Расходка[[#This Row],[№]],Поиск_расходки[Индекс12],0)),"")</f>
        <v>ProVia 3 Hydro-Track®</v>
      </c>
      <c r="AD34" s="115" t="str">
        <f>IFERROR(INDEX(Расходка[Наименование расходного материала],MATCH(Расходка[[#This Row],[№]],Поиск_расходки[Индекс13],0)),"")</f>
        <v>ProVia 3 Hydro-Track®</v>
      </c>
      <c r="AF34" s="4" t="s">
        <v>5</v>
      </c>
      <c r="AG34" s="4" t="s">
        <v>431</v>
      </c>
    </row>
    <row r="35" spans="1:33">
      <c r="A35">
        <v>34</v>
      </c>
      <c r="B35" t="s">
        <v>3</v>
      </c>
      <c r="C35" t="s">
        <v>319</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0</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
      </c>
      <c r="AA35" s="115" t="str">
        <f>IFERROR(INDEX(Расходка[Наименование расходного материала],MATCH(Расходка[[#This Row],[№]],Поиск_расходки[Индекс10],0)),"")</f>
        <v>ProVia 6 Hydro-Track®</v>
      </c>
      <c r="AB35" s="115" t="str">
        <f>IFERROR(INDEX(Расходка[Наименование расходного материала],MATCH(Расходка[[#This Row],[№]],Поиск_расходки[Индекс11],0)),"")</f>
        <v>ProVia 6 Hydro-Track®</v>
      </c>
      <c r="AC35" s="115" t="str">
        <f>IFERROR(INDEX(Расходка[Наименование расходного материала],MATCH(Расходка[[#This Row],[№]],Поиск_расходки[Индекс12],0)),"")</f>
        <v>ProVia 6 Hydro-Track®</v>
      </c>
      <c r="AD35" s="115" t="str">
        <f>IFERROR(INDEX(Расходка[Наименование расходного материала],MATCH(Расходка[[#This Row],[№]],Поиск_расходки[Индекс13],0)),"")</f>
        <v>ProVia 6 Hydro-Track®</v>
      </c>
      <c r="AF35" s="4" t="s">
        <v>5</v>
      </c>
      <c r="AG35" s="4" t="s">
        <v>490</v>
      </c>
    </row>
    <row r="36" spans="1:33">
      <c r="A36">
        <v>35</v>
      </c>
      <c r="B36" t="s">
        <v>3</v>
      </c>
      <c r="C36" t="s">
        <v>320</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0</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
      </c>
      <c r="AA36" s="115" t="str">
        <f>IFERROR(INDEX(Расходка[Наименование расходного материала],MATCH(Расходка[[#This Row],[№]],Поиск_расходки[Индекс10],0)),"")</f>
        <v>ProVia 9 Hydro-Track®</v>
      </c>
      <c r="AB36" s="115" t="str">
        <f>IFERROR(INDEX(Расходка[Наименование расходного материала],MATCH(Расходка[[#This Row],[№]],Поиск_расходки[Индекс11],0)),"")</f>
        <v>ProVia 9 Hydro-Track®</v>
      </c>
      <c r="AC36" s="115" t="str">
        <f>IFERROR(INDEX(Расходка[Наименование расходного материала],MATCH(Расходка[[#This Row],[№]],Поиск_расходки[Индекс12],0)),"")</f>
        <v>ProVia 9 Hydro-Track®</v>
      </c>
      <c r="AD36" s="115" t="str">
        <f>IFERROR(INDEX(Расходка[Наименование расходного материала],MATCH(Расходка[[#This Row],[№]],Поиск_расходки[Индекс13],0)),"")</f>
        <v>ProVia 9 Hydro-Track®</v>
      </c>
      <c r="AF36" s="4" t="s">
        <v>5</v>
      </c>
      <c r="AG36" s="4" t="s">
        <v>432</v>
      </c>
    </row>
    <row r="37" spans="1:33">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0</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
      </c>
      <c r="AA37" s="115" t="str">
        <f>IFERROR(INDEX(Расходка[Наименование расходного материала],MATCH(Расходка[[#This Row],[№]],Поиск_расходки[Индекс10],0)),"")</f>
        <v>Rinato</v>
      </c>
      <c r="AB37" s="115" t="str">
        <f>IFERROR(INDEX(Расходка[Наименование расходного материала],MATCH(Расходка[[#This Row],[№]],Поиск_расходки[Индекс11],0)),"")</f>
        <v>Rinato</v>
      </c>
      <c r="AC37" s="115" t="str">
        <f>IFERROR(INDEX(Расходка[Наименование расходного материала],MATCH(Расходка[[#This Row],[№]],Поиск_расходки[Индекс12],0)),"")</f>
        <v>Rinato</v>
      </c>
      <c r="AD37" s="115" t="str">
        <f>IFERROR(INDEX(Расходка[Наименование расходного материала],MATCH(Расходка[[#This Row],[№]],Поиск_расходки[Индекс13],0)),"")</f>
        <v>Rinato</v>
      </c>
      <c r="AF37" s="4" t="s">
        <v>6</v>
      </c>
      <c r="AG37" s="4" t="s">
        <v>405</v>
      </c>
    </row>
    <row r="38" spans="1:33">
      <c r="A38">
        <v>37</v>
      </c>
      <c r="B38" t="s">
        <v>3</v>
      </c>
      <c r="C38" s="1" t="s">
        <v>353</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0</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
      </c>
      <c r="AA38" s="115" t="str">
        <f>IFERROR(INDEX(Расходка[Наименование расходного материала],MATCH(Расходка[[#This Row],[№]],Поиск_расходки[Индекс10],0)),"")</f>
        <v>Runthrough NS (Floppy)</v>
      </c>
      <c r="AB38" s="115" t="str">
        <f>IFERROR(INDEX(Расходка[Наименование расходного материала],MATCH(Расходка[[#This Row],[№]],Поиск_расходки[Индекс11],0)),"")</f>
        <v>Runthrough NS (Floppy)</v>
      </c>
      <c r="AC38" s="115" t="str">
        <f>IFERROR(INDEX(Расходка[Наименование расходного материала],MATCH(Расходка[[#This Row],[№]],Поиск_расходки[Индекс12],0)),"")</f>
        <v>Runthrough NS (Floppy)</v>
      </c>
      <c r="AD38" s="115" t="str">
        <f>IFERROR(INDEX(Расходка[Наименование расходного материала],MATCH(Расходка[[#This Row],[№]],Поиск_расходки[Индекс13],0)),"")</f>
        <v>Runthrough NS (Floppy)</v>
      </c>
      <c r="AF38" s="4" t="s">
        <v>6</v>
      </c>
      <c r="AG38" s="4" t="s">
        <v>492</v>
      </c>
    </row>
    <row r="39" spans="1:33">
      <c r="A39">
        <v>38</v>
      </c>
      <c r="B39" t="s">
        <v>3</v>
      </c>
      <c r="C39" s="1" t="s">
        <v>360</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0</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
      </c>
      <c r="AA39" s="115" t="str">
        <f>IFERROR(INDEX(Расходка[Наименование расходного материала],MATCH(Расходка[[#This Row],[№]],Поиск_расходки[Индекс10],0)),"")</f>
        <v>Runthrough NS Hypercoat</v>
      </c>
      <c r="AB39" s="115" t="str">
        <f>IFERROR(INDEX(Расходка[Наименование расходного материала],MATCH(Расходка[[#This Row],[№]],Поиск_расходки[Индекс11],0)),"")</f>
        <v>Runthrough NS Hypercoat</v>
      </c>
      <c r="AC39" s="115" t="str">
        <f>IFERROR(INDEX(Расходка[Наименование расходного материала],MATCH(Расходка[[#This Row],[№]],Поиск_расходки[Индекс12],0)),"")</f>
        <v>Runthrough NS Hypercoat</v>
      </c>
      <c r="AD39" s="115" t="str">
        <f>IFERROR(INDEX(Расходка[Наименование расходного материала],MATCH(Расходка[[#This Row],[№]],Поиск_расходки[Индекс13],0)),"")</f>
        <v>Runthrough NS Hypercoat</v>
      </c>
      <c r="AF39" s="4" t="s">
        <v>6</v>
      </c>
      <c r="AG39" s="4" t="s">
        <v>433</v>
      </c>
    </row>
    <row r="40" spans="1:33">
      <c r="A40">
        <v>39</v>
      </c>
      <c r="B40" t="s">
        <v>3</v>
      </c>
      <c r="C40" s="1" t="s">
        <v>359</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0</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
      </c>
      <c r="AA40" s="115" t="str">
        <f>IFERROR(INDEX(Расходка[Наименование расходного материала],MATCH(Расходка[[#This Row],[№]],Поиск_расходки[Индекс10],0)),"")</f>
        <v>Runthrough NS Intermediate</v>
      </c>
      <c r="AB40" s="115" t="str">
        <f>IFERROR(INDEX(Расходка[Наименование расходного материала],MATCH(Расходка[[#This Row],[№]],Поиск_расходки[Индекс11],0)),"")</f>
        <v>Runthrough NS Intermediate</v>
      </c>
      <c r="AC40" s="115" t="str">
        <f>IFERROR(INDEX(Расходка[Наименование расходного материала],MATCH(Расходка[[#This Row],[№]],Поиск_расходки[Индекс12],0)),"")</f>
        <v>Runthrough NS Intermediate</v>
      </c>
      <c r="AD40" s="115" t="str">
        <f>IFERROR(INDEX(Расходка[Наименование расходного материала],MATCH(Расходка[[#This Row],[№]],Поиск_расходки[Индекс13],0)),"")</f>
        <v>Runthrough NS Intermediate</v>
      </c>
      <c r="AF40" s="4" t="s">
        <v>6</v>
      </c>
      <c r="AG40" s="4" t="s">
        <v>434</v>
      </c>
    </row>
    <row r="41" spans="1:33">
      <c r="A41">
        <v>40</v>
      </c>
      <c r="B41" t="s">
        <v>3</v>
      </c>
      <c r="C41" t="s">
        <v>315</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
      </c>
      <c r="AA41" s="115" t="str">
        <f>IFERROR(INDEX(Расходка[Наименование расходного материала],MATCH(Расходка[[#This Row],[№]],Поиск_расходки[Индекс10],0)),"")</f>
        <v>Sion</v>
      </c>
      <c r="AB41" s="115" t="str">
        <f>IFERROR(INDEX(Расходка[Наименование расходного материала],MATCH(Расходка[[#This Row],[№]],Поиск_расходки[Индекс11],0)),"")</f>
        <v>Sion</v>
      </c>
      <c r="AC41" s="115" t="str">
        <f>IFERROR(INDEX(Расходка[Наименование расходного материала],MATCH(Расходка[[#This Row],[№]],Поиск_расходки[Индекс12],0)),"")</f>
        <v>Sion</v>
      </c>
      <c r="AD41" s="115" t="str">
        <f>IFERROR(INDEX(Расходка[Наименование расходного материала],MATCH(Расходка[[#This Row],[№]],Поиск_расходки[Индекс13],0)),"")</f>
        <v>Sion</v>
      </c>
      <c r="AF41" s="4" t="s">
        <v>6</v>
      </c>
      <c r="AG41" s="4" t="s">
        <v>435</v>
      </c>
    </row>
    <row r="42" spans="1:33">
      <c r="A42">
        <v>41</v>
      </c>
      <c r="B42" t="s">
        <v>3</v>
      </c>
      <c r="C42" t="s">
        <v>377</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0</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
      </c>
      <c r="AA42" s="115" t="str">
        <f>IFERROR(INDEX(Расходка[Наименование расходного материала],MATCH(Расходка[[#This Row],[№]],Поиск_расходки[Индекс10],0)),"")</f>
        <v>Sion Black</v>
      </c>
      <c r="AB42" s="115" t="str">
        <f>IFERROR(INDEX(Расходка[Наименование расходного материала],MATCH(Расходка[[#This Row],[№]],Поиск_расходки[Индекс11],0)),"")</f>
        <v>Sion Black</v>
      </c>
      <c r="AC42" s="115" t="str">
        <f>IFERROR(INDEX(Расходка[Наименование расходного материала],MATCH(Расходка[[#This Row],[№]],Поиск_расходки[Индекс12],0)),"")</f>
        <v>Sion Black</v>
      </c>
      <c r="AD42" s="115" t="str">
        <f>IFERROR(INDEX(Расходка[Наименование расходного материала],MATCH(Расходка[[#This Row],[№]],Поиск_расходки[Индекс13],0)),"")</f>
        <v>Sion Black</v>
      </c>
      <c r="AF42" s="4" t="s">
        <v>6</v>
      </c>
      <c r="AG42" s="4" t="s">
        <v>436</v>
      </c>
    </row>
    <row r="43" spans="1:33">
      <c r="A43">
        <v>42</v>
      </c>
      <c r="B43" t="s">
        <v>3</v>
      </c>
      <c r="C43" s="1" t="s">
        <v>371</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0</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
      </c>
      <c r="AA43" s="115" t="str">
        <f>IFERROR(INDEX(Расходка[Наименование расходного материала],MATCH(Расходка[[#This Row],[№]],Поиск_расходки[Индекс10],0)),"")</f>
        <v>Sion Blue</v>
      </c>
      <c r="AB43" s="115" t="str">
        <f>IFERROR(INDEX(Расходка[Наименование расходного материала],MATCH(Расходка[[#This Row],[№]],Поиск_расходки[Индекс11],0)),"")</f>
        <v>Sion Blue</v>
      </c>
      <c r="AC43" s="115" t="str">
        <f>IFERROR(INDEX(Расходка[Наименование расходного материала],MATCH(Расходка[[#This Row],[№]],Поиск_расходки[Индекс12],0)),"")</f>
        <v>Sion Blue</v>
      </c>
      <c r="AD43" s="115" t="str">
        <f>IFERROR(INDEX(Расходка[Наименование расходного материала],MATCH(Расходка[[#This Row],[№]],Поиск_расходки[Индекс13],0)),"")</f>
        <v>Sion Blue</v>
      </c>
      <c r="AF43" s="4" t="s">
        <v>6</v>
      </c>
      <c r="AG43" s="4" t="s">
        <v>409</v>
      </c>
    </row>
    <row r="44" spans="1:33">
      <c r="A44">
        <v>43</v>
      </c>
      <c r="B44" t="s">
        <v>3</v>
      </c>
      <c r="C44" t="s">
        <v>317</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0</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
      </c>
      <c r="AA44" s="115" t="str">
        <f>IFERROR(INDEX(Расходка[Наименование расходного материала],MATCH(Расходка[[#This Row],[№]],Поиск_расходки[Индекс10],0)),"")</f>
        <v>Thunder</v>
      </c>
      <c r="AB44" s="115" t="str">
        <f>IFERROR(INDEX(Расходка[Наименование расходного материала],MATCH(Расходка[[#This Row],[№]],Поиск_расходки[Индекс11],0)),"")</f>
        <v>Thunder</v>
      </c>
      <c r="AC44" s="115" t="str">
        <f>IFERROR(INDEX(Расходка[Наименование расходного материала],MATCH(Расходка[[#This Row],[№]],Поиск_расходки[Индекс12],0)),"")</f>
        <v>Thunder</v>
      </c>
      <c r="AD44" s="115" t="str">
        <f>IFERROR(INDEX(Расходка[Наименование расходного материала],MATCH(Расходка[[#This Row],[№]],Поиск_расходки[Индекс13],0)),"")</f>
        <v>Thunder</v>
      </c>
      <c r="AF44" s="4" t="s">
        <v>6</v>
      </c>
      <c r="AG44" s="4" t="s">
        <v>437</v>
      </c>
    </row>
    <row r="45" spans="1:33">
      <c r="A45">
        <v>44</v>
      </c>
      <c r="B45" t="s">
        <v>3</v>
      </c>
      <c r="C45" t="s">
        <v>521</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0</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
      </c>
      <c r="AA45" s="115" t="str">
        <f>IFERROR(INDEX(Расходка[Наименование расходного материала],MATCH(Расходка[[#This Row],[№]],Поиск_расходки[Индекс10],0)),"")</f>
        <v>Abbot Whisper MS</v>
      </c>
      <c r="AB45" s="115" t="str">
        <f>IFERROR(INDEX(Расходка[Наименование расходного материала],MATCH(Расходка[[#This Row],[№]],Поиск_расходки[Индекс11],0)),"")</f>
        <v>Abbot Whisper MS</v>
      </c>
      <c r="AC45" s="115" t="str">
        <f>IFERROR(INDEX(Расходка[Наименование расходного материала],MATCH(Расходка[[#This Row],[№]],Поиск_расходки[Индекс12],0)),"")</f>
        <v>Abbot Whisper MS</v>
      </c>
      <c r="AD45" s="115" t="str">
        <f>IFERROR(INDEX(Расходка[Наименование расходного материала],MATCH(Расходка[[#This Row],[№]],Поиск_расходки[Индекс13],0)),"")</f>
        <v>Abbot Whisper MS</v>
      </c>
      <c r="AF45" s="4" t="s">
        <v>6</v>
      </c>
      <c r="AG45" s="4" t="s">
        <v>438</v>
      </c>
    </row>
    <row r="46" spans="1:33">
      <c r="A46">
        <v>45</v>
      </c>
      <c r="B46" t="s">
        <v>3</v>
      </c>
      <c r="C46" t="s">
        <v>522</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1</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0</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
      </c>
      <c r="AA46" s="115" t="str">
        <f>IFERROR(INDEX(Расходка[Наименование расходного материала],MATCH(Расходка[[#This Row],[№]],Поиск_расходки[Индекс10],0)),"")</f>
        <v>Abbot Whisper LS</v>
      </c>
      <c r="AB46" s="115" t="str">
        <f>IFERROR(INDEX(Расходка[Наименование расходного материала],MATCH(Расходка[[#This Row],[№]],Поиск_расходки[Индекс11],0)),"")</f>
        <v>Abbot Whisper LS</v>
      </c>
      <c r="AC46" s="115" t="str">
        <f>IFERROR(INDEX(Расходка[Наименование расходного материала],MATCH(Расходка[[#This Row],[№]],Поиск_расходки[Индекс12],0)),"")</f>
        <v>Abbot Whisper LS</v>
      </c>
      <c r="AD46" s="115" t="str">
        <f>IFERROR(INDEX(Расходка[Наименование расходного материала],MATCH(Расходка[[#This Row],[№]],Поиск_расходки[Индекс13],0)),"")</f>
        <v>Abbot Whisper LS</v>
      </c>
      <c r="AF46" s="4" t="s">
        <v>6</v>
      </c>
      <c r="AG46" s="4" t="s">
        <v>439</v>
      </c>
    </row>
    <row r="47" spans="1:33">
      <c r="A47">
        <v>46</v>
      </c>
      <c r="B47" t="s">
        <v>3</v>
      </c>
      <c r="C47" t="s">
        <v>361</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0</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
      </c>
      <c r="AA47" s="115" t="str">
        <f>IFERROR(INDEX(Расходка[Наименование расходного материала],MATCH(Расходка[[#This Row],[№]],Поиск_расходки[Индекс10],0)),"")</f>
        <v>Winn 200T</v>
      </c>
      <c r="AB47" s="115" t="str">
        <f>IFERROR(INDEX(Расходка[Наименование расходного материала],MATCH(Расходка[[#This Row],[№]],Поиск_расходки[Индекс11],0)),"")</f>
        <v>Winn 200T</v>
      </c>
      <c r="AC47" s="115" t="str">
        <f>IFERROR(INDEX(Расходка[Наименование расходного материала],MATCH(Расходка[[#This Row],[№]],Поиск_расходки[Индекс12],0)),"")</f>
        <v>Winn 200T</v>
      </c>
      <c r="AD47" s="115" t="str">
        <f>IFERROR(INDEX(Расходка[Наименование расходного материала],MATCH(Расходка[[#This Row],[№]],Поиск_расходки[Индекс13],0)),"")</f>
        <v>Winn 200T</v>
      </c>
      <c r="AF47" s="4" t="s">
        <v>6</v>
      </c>
      <c r="AG47" s="4" t="s">
        <v>440</v>
      </c>
    </row>
    <row r="48" spans="1:33">
      <c r="A48">
        <v>47</v>
      </c>
      <c r="B48" t="s">
        <v>3</v>
      </c>
      <c r="C48" t="s">
        <v>346</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0</v>
      </c>
      <c r="L48" s="116">
        <f>IF(ISNUMBER(SEARCH('Карта учёта'!$B$20,Расходка[[#This Row],[Наименование расходного материала]])),MAX($L$1:L47)+1,0)</f>
        <v>0</v>
      </c>
      <c r="M48" s="116">
        <f>IF(ISNUMBER(SEARCH('Карта учёта'!$B$21,Расходка[[#This Row],[Наименование расходного материала]])),MAX($M$1:M47)+1,0)</f>
        <v>0</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
      </c>
      <c r="AA48" s="115" t="str">
        <f>IFERROR(INDEX(Расходка[Наименование расходного материала],MATCH(Расходка[[#This Row],[№]],Поиск_расходки[Индекс10],0)),"")</f>
        <v>Проводник коронарный  1g, Angioline</v>
      </c>
      <c r="AB48" s="115" t="str">
        <f>IFERROR(INDEX(Расходка[Наименование расходного материала],MATCH(Расходка[[#This Row],[№]],Поиск_расходки[Индекс11],0)),"")</f>
        <v>Проводник коронарный  1g, Angioline</v>
      </c>
      <c r="AC48" s="115" t="str">
        <f>IFERROR(INDEX(Расходка[Наименование расходного материала],MATCH(Расходка[[#This Row],[№]],Поиск_расходки[Индекс12],0)),"")</f>
        <v>Проводник коронарный  1g, Angioline</v>
      </c>
      <c r="AD48" s="115" t="str">
        <f>IFERROR(INDEX(Расходка[Наименование расходного материала],MATCH(Расходка[[#This Row],[№]],Поиск_расходки[Индекс13],0)),"")</f>
        <v>Проводник коронарный  1g, Angioline</v>
      </c>
      <c r="AF48" s="4" t="s">
        <v>6</v>
      </c>
      <c r="AG48" s="4" t="s">
        <v>441</v>
      </c>
    </row>
    <row r="49" spans="1:33">
      <c r="A49">
        <v>48</v>
      </c>
      <c r="B49" t="s">
        <v>3</v>
      </c>
      <c r="C49" t="s">
        <v>509</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0</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
      </c>
      <c r="AA49" s="115" t="str">
        <f>IFERROR(INDEX(Расходка[Наименование расходного материала],MATCH(Расходка[[#This Row],[№]],Поиск_расходки[Индекс10],0)),"")</f>
        <v>Проводник коронарный  0,8g, Angioline</v>
      </c>
      <c r="AB49" s="115" t="str">
        <f>IFERROR(INDEX(Расходка[Наименование расходного материала],MATCH(Расходка[[#This Row],[№]],Поиск_расходки[Индекс11],0)),"")</f>
        <v>Проводник коронарный  0,8g, Angioline</v>
      </c>
      <c r="AC49" s="115" t="str">
        <f>IFERROR(INDEX(Расходка[Наименование расходного материала],MATCH(Расходка[[#This Row],[№]],Поиск_расходки[Индекс12],0)),"")</f>
        <v>Проводник коронарный  0,8g, Angioline</v>
      </c>
      <c r="AD49" s="115" t="str">
        <f>IFERROR(INDEX(Расходка[Наименование расходного материала],MATCH(Расходка[[#This Row],[№]],Поиск_расходки[Индекс13],0)),"")</f>
        <v>Проводник коронарный  0,8g, Angioline</v>
      </c>
      <c r="AF49" s="4" t="s">
        <v>6</v>
      </c>
      <c r="AG49" s="4" t="s">
        <v>442</v>
      </c>
    </row>
    <row r="50" spans="1:33">
      <c r="A50">
        <v>49</v>
      </c>
      <c r="B50" t="s">
        <v>3</v>
      </c>
      <c r="C50" t="s">
        <v>96</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0</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
      </c>
      <c r="AA50" s="115" t="str">
        <f>IFERROR(INDEX(Расходка[Наименование расходного материала],MATCH(Расходка[[#This Row],[№]],Поиск_расходки[Индекс10],0)),"")</f>
        <v>Проводник коронарный  3g, Angioline</v>
      </c>
      <c r="AB50" s="115" t="str">
        <f>IFERROR(INDEX(Расходка[Наименование расходного материала],MATCH(Расходка[[#This Row],[№]],Поиск_расходки[Индекс11],0)),"")</f>
        <v>Проводник коронарный  3g, Angioline</v>
      </c>
      <c r="AC50" s="115" t="str">
        <f>IFERROR(INDEX(Расходка[Наименование расходного материала],MATCH(Расходка[[#This Row],[№]],Поиск_расходки[Индекс12],0)),"")</f>
        <v>Проводник коронарный  3g, Angioline</v>
      </c>
      <c r="AD50" s="115" t="str">
        <f>IFERROR(INDEX(Расходка[Наименование расходного материала],MATCH(Расходка[[#This Row],[№]],Поиск_расходки[Индекс13],0)),"")</f>
        <v>Проводник коронарный  3g, Angioline</v>
      </c>
      <c r="AF50" s="4" t="s">
        <v>6</v>
      </c>
      <c r="AG50" s="4" t="s">
        <v>443</v>
      </c>
    </row>
    <row r="51" spans="1:33">
      <c r="A51">
        <v>50</v>
      </c>
      <c r="B51" t="s">
        <v>3</v>
      </c>
      <c r="C51" t="s">
        <v>507</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
      </c>
      <c r="AA51" s="115" t="str">
        <f>IFERROR(INDEX(Расходка[Наименование расходного материала],MATCH(Расходка[[#This Row],[№]],Поиск_расходки[Индекс10],0)),"")</f>
        <v xml:space="preserve">Balancium </v>
      </c>
      <c r="AB51" s="115" t="str">
        <f>IFERROR(INDEX(Расходка[Наименование расходного материала],MATCH(Расходка[[#This Row],[№]],Поиск_расходки[Индекс11],0)),"")</f>
        <v xml:space="preserve">Balancium </v>
      </c>
      <c r="AC51" s="115" t="str">
        <f>IFERROR(INDEX(Расходка[Наименование расходного материала],MATCH(Расходка[[#This Row],[№]],Поиск_расходки[Индекс12],0)),"")</f>
        <v xml:space="preserve">Balancium </v>
      </c>
      <c r="AD51" s="115" t="str">
        <f>IFERROR(INDEX(Расходка[Наименование расходного материала],MATCH(Расходка[[#This Row],[№]],Поиск_расходки[Индекс13],0)),"")</f>
        <v xml:space="preserve">Balancium </v>
      </c>
      <c r="AF51" s="4" t="s">
        <v>6</v>
      </c>
      <c r="AG51" s="4" t="s">
        <v>444</v>
      </c>
    </row>
    <row r="52" spans="1:33">
      <c r="A52">
        <v>51</v>
      </c>
      <c r="B52" t="s">
        <v>3</v>
      </c>
      <c r="C52" t="s">
        <v>518</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0</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
      </c>
      <c r="AA52" s="115" t="str">
        <f>IFERROR(INDEX(Расходка[Наименование расходного материала],MATCH(Расходка[[#This Row],[№]],Поиск_расходки[Индекс10],0)),"")</f>
        <v>Shunmei</v>
      </c>
      <c r="AB52" s="115" t="str">
        <f>IFERROR(INDEX(Расходка[Наименование расходного материала],MATCH(Расходка[[#This Row],[№]],Поиск_расходки[Индекс11],0)),"")</f>
        <v>Shunmei</v>
      </c>
      <c r="AC52" s="115" t="str">
        <f>IFERROR(INDEX(Расходка[Наименование расходного материала],MATCH(Расходка[[#This Row],[№]],Поиск_расходки[Индекс12],0)),"")</f>
        <v>Shunmei</v>
      </c>
      <c r="AD52" s="115" t="str">
        <f>IFERROR(INDEX(Расходка[Наименование расходного материала],MATCH(Расходка[[#This Row],[№]],Поиск_расходки[Индекс13],0)),"")</f>
        <v>Shunmei</v>
      </c>
      <c r="AF52" s="4" t="s">
        <v>6</v>
      </c>
      <c r="AG52" s="4" t="s">
        <v>445</v>
      </c>
    </row>
    <row r="53" spans="1:33">
      <c r="A53">
        <v>52</v>
      </c>
      <c r="B53" t="s">
        <v>3</v>
      </c>
      <c r="C53" t="s">
        <v>524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0</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
      </c>
      <c r="AA53" s="115" t="str">
        <f>IFERROR(INDEX(Расходка[Наименование расходного материала],MATCH(Расходка[[#This Row],[№]],Поиск_расходки[Индекс10],0)),"")</f>
        <v>Pilot 150</v>
      </c>
      <c r="AB53" s="115" t="str">
        <f>IFERROR(INDEX(Расходка[Наименование расходного материала],MATCH(Расходка[[#This Row],[№]],Поиск_расходки[Индекс11],0)),"")</f>
        <v>Pilot 150</v>
      </c>
      <c r="AC53" s="115" t="str">
        <f>IFERROR(INDEX(Расходка[Наименование расходного материала],MATCH(Расходка[[#This Row],[№]],Поиск_расходки[Индекс12],0)),"")</f>
        <v>Pilot 150</v>
      </c>
      <c r="AD53" s="115" t="str">
        <f>IFERROR(INDEX(Расходка[Наименование расходного материала],MATCH(Расходка[[#This Row],[№]],Поиск_расходки[Индекс13],0)),"")</f>
        <v>Pilot 150</v>
      </c>
      <c r="AF53" s="4" t="s">
        <v>6</v>
      </c>
      <c r="AG53" s="4" t="s">
        <v>446</v>
      </c>
    </row>
    <row r="54" spans="1:33">
      <c r="A54">
        <v>53</v>
      </c>
      <c r="B54" t="s">
        <v>6</v>
      </c>
      <c r="C54" s="1" t="s">
        <v>278</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0</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
      </c>
      <c r="AA54" s="115" t="str">
        <f>IFERROR(INDEX(Расходка[Наименование расходного материала],MATCH(Расходка[[#This Row],[№]],Поиск_расходки[Индекс10],0)),"")</f>
        <v>BMS, Integtity</v>
      </c>
      <c r="AB54" s="115" t="str">
        <f>IFERROR(INDEX(Расходка[Наименование расходного материала],MATCH(Расходка[[#This Row],[№]],Поиск_расходки[Индекс11],0)),"")</f>
        <v>BMS, Integtity</v>
      </c>
      <c r="AC54" s="115" t="str">
        <f>IFERROR(INDEX(Расходка[Наименование расходного материала],MATCH(Расходка[[#This Row],[№]],Поиск_расходки[Индекс12],0)),"")</f>
        <v>BMS, Integtity</v>
      </c>
      <c r="AD54" s="115" t="str">
        <f>IFERROR(INDEX(Расходка[Наименование расходного материала],MATCH(Расходка[[#This Row],[№]],Поиск_расходки[Индекс13],0)),"")</f>
        <v>BMS, Integtity</v>
      </c>
      <c r="AF54" s="4" t="s">
        <v>6</v>
      </c>
      <c r="AG54" s="4" t="s">
        <v>447</v>
      </c>
    </row>
    <row r="55" spans="1:33">
      <c r="A55">
        <v>54</v>
      </c>
      <c r="B55" t="s">
        <v>6</v>
      </c>
      <c r="C55" s="157" t="s">
        <v>345</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0</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
      </c>
      <c r="AA55" s="115" t="str">
        <f>IFERROR(INDEX(Расходка[Наименование расходного материала],MATCH(Расходка[[#This Row],[№]],Поиск_расходки[Индекс10],0)),"")</f>
        <v>DES, Calipso</v>
      </c>
      <c r="AB55" s="115" t="str">
        <f>IFERROR(INDEX(Расходка[Наименование расходного материала],MATCH(Расходка[[#This Row],[№]],Поиск_расходки[Индекс11],0)),"")</f>
        <v>DES, Calipso</v>
      </c>
      <c r="AC55" s="115" t="str">
        <f>IFERROR(INDEX(Расходка[Наименование расходного материала],MATCH(Расходка[[#This Row],[№]],Поиск_расходки[Индекс12],0)),"")</f>
        <v>DES, Calipso</v>
      </c>
      <c r="AD55" s="115" t="str">
        <f>IFERROR(INDEX(Расходка[Наименование расходного материала],MATCH(Расходка[[#This Row],[№]],Поиск_расходки[Индекс13],0)),"")</f>
        <v>DES, Calipso</v>
      </c>
      <c r="AF55" s="4" t="s">
        <v>6</v>
      </c>
      <c r="AG55" s="4" t="s">
        <v>448</v>
      </c>
    </row>
    <row r="56" spans="1:33">
      <c r="A56">
        <v>55</v>
      </c>
      <c r="B56" t="s">
        <v>6</v>
      </c>
      <c r="C56" s="157" t="s">
        <v>344</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0</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
      </c>
      <c r="AA56" s="115" t="str">
        <f>IFERROR(INDEX(Расходка[Наименование расходного материала],MATCH(Расходка[[#This Row],[№]],Поиск_расходки[Индекс10],0)),"")</f>
        <v>DES, NanoMed</v>
      </c>
      <c r="AB56" s="115" t="str">
        <f>IFERROR(INDEX(Расходка[Наименование расходного материала],MATCH(Расходка[[#This Row],[№]],Поиск_расходки[Индекс11],0)),"")</f>
        <v>DES, NanoMed</v>
      </c>
      <c r="AC56" s="115" t="str">
        <f>IFERROR(INDEX(Расходка[Наименование расходного материала],MATCH(Расходка[[#This Row],[№]],Поиск_расходки[Индекс12],0)),"")</f>
        <v>DES, NanoMed</v>
      </c>
      <c r="AD56" s="115" t="str">
        <f>IFERROR(INDEX(Расходка[Наименование расходного материала],MATCH(Расходка[[#This Row],[№]],Поиск_расходки[Индекс13],0)),"")</f>
        <v>DES, NanoMed</v>
      </c>
      <c r="AF56" s="4" t="s">
        <v>6</v>
      </c>
      <c r="AG56" s="4" t="s">
        <v>449</v>
      </c>
    </row>
    <row r="57" spans="1:33">
      <c r="A57">
        <v>56</v>
      </c>
      <c r="B57" t="s">
        <v>6</v>
      </c>
      <c r="C57" s="130" t="s">
        <v>323</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0</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
      </c>
      <c r="AA57" s="115" t="str">
        <f>IFERROR(INDEX(Расходка[Наименование расходного материала],MATCH(Расходка[[#This Row],[№]],Поиск_расходки[Индекс10],0)),"")</f>
        <v>DES, Resolute Integtity</v>
      </c>
      <c r="AB57" s="115" t="str">
        <f>IFERROR(INDEX(Расходка[Наименование расходного материала],MATCH(Расходка[[#This Row],[№]],Поиск_расходки[Индекс11],0)),"")</f>
        <v>DES, Resolute Integtity</v>
      </c>
      <c r="AC57" s="115" t="str">
        <f>IFERROR(INDEX(Расходка[Наименование расходного материала],MATCH(Расходка[[#This Row],[№]],Поиск_расходки[Индекс12],0)),"")</f>
        <v>DES, Resolute Integtity</v>
      </c>
      <c r="AD57" s="115" t="str">
        <f>IFERROR(INDEX(Расходка[Наименование расходного материала],MATCH(Расходка[[#This Row],[№]],Поиск_расходки[Индекс13],0)),"")</f>
        <v>DES, Resolute Integtity</v>
      </c>
      <c r="AF57" s="4" t="s">
        <v>6</v>
      </c>
      <c r="AG57" s="4" t="s">
        <v>450</v>
      </c>
    </row>
    <row r="58" spans="1:33">
      <c r="A58">
        <v>57</v>
      </c>
      <c r="B58" t="s">
        <v>6</v>
      </c>
      <c r="C58" t="s">
        <v>357</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0</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
      </c>
      <c r="AA58" s="115" t="str">
        <f>IFERROR(INDEX(Расходка[Наименование расходного материала],MATCH(Расходка[[#This Row],[№]],Поиск_расходки[Индекс10],0)),"")</f>
        <v>DES, Yukon Chrome PC</v>
      </c>
      <c r="AB58" s="115" t="str">
        <f>IFERROR(INDEX(Расходка[Наименование расходного материала],MATCH(Расходка[[#This Row],[№]],Поиск_расходки[Индекс11],0)),"")</f>
        <v>DES, Yukon Chrome PC</v>
      </c>
      <c r="AC58" s="115" t="str">
        <f>IFERROR(INDEX(Расходка[Наименование расходного материала],MATCH(Расходка[[#This Row],[№]],Поиск_расходки[Индекс12],0)),"")</f>
        <v>DES, Yukon Chrome PC</v>
      </c>
      <c r="AD58" s="115" t="str">
        <f>IFERROR(INDEX(Расходка[Наименование расходного материала],MATCH(Расходка[[#This Row],[№]],Поиск_расходки[Индекс13],0)),"")</f>
        <v>DES, Yukon Chrome PC</v>
      </c>
      <c r="AF58" s="4" t="s">
        <v>6</v>
      </c>
      <c r="AG58" s="4" t="s">
        <v>451</v>
      </c>
    </row>
    <row r="59" spans="1:33">
      <c r="A59">
        <v>58</v>
      </c>
      <c r="B59" t="s">
        <v>6</v>
      </c>
      <c r="C59" s="161" t="s">
        <v>385</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0</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
      </c>
      <c r="AA59" s="115" t="str">
        <f>IFERROR(INDEX(Расходка[Наименование расходного материала],MATCH(Расходка[[#This Row],[№]],Поиск_расходки[Индекс10],0)),"")</f>
        <v>DES, Firehawk</v>
      </c>
      <c r="AB59" s="115" t="str">
        <f>IFERROR(INDEX(Расходка[Наименование расходного материала],MATCH(Расходка[[#This Row],[№]],Поиск_расходки[Индекс11],0)),"")</f>
        <v>DES, Firehawk</v>
      </c>
      <c r="AC59" s="115" t="str">
        <f>IFERROR(INDEX(Расходка[Наименование расходного материала],MATCH(Расходка[[#This Row],[№]],Поиск_расходки[Индекс12],0)),"")</f>
        <v>DES, Firehawk</v>
      </c>
      <c r="AD59" s="115" t="str">
        <f>IFERROR(INDEX(Расходка[Наименование расходного материала],MATCH(Расходка[[#This Row],[№]],Поиск_расходки[Индекс13],0)),"")</f>
        <v>DES, Firehawk</v>
      </c>
      <c r="AF59" s="4" t="s">
        <v>6</v>
      </c>
      <c r="AG59" s="4" t="s">
        <v>452</v>
      </c>
    </row>
    <row r="60" spans="1:33">
      <c r="A60">
        <v>59</v>
      </c>
      <c r="B60" t="s">
        <v>6</v>
      </c>
      <c r="C60" t="s">
        <v>384</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0</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
      </c>
      <c r="AA60" s="115" t="str">
        <f>IFERROR(INDEX(Расходка[Наименование расходного материала],MATCH(Расходка[[#This Row],[№]],Поиск_расходки[Индекс10],0)),"")</f>
        <v>DES, Resolute Onyx</v>
      </c>
      <c r="AB60" s="115" t="str">
        <f>IFERROR(INDEX(Расходка[Наименование расходного материала],MATCH(Расходка[[#This Row],[№]],Поиск_расходки[Индекс11],0)),"")</f>
        <v>DES, Resolute Onyx</v>
      </c>
      <c r="AC60" s="115" t="str">
        <f>IFERROR(INDEX(Расходка[Наименование расходного материала],MATCH(Расходка[[#This Row],[№]],Поиск_расходки[Индекс12],0)),"")</f>
        <v>DES, Resolute Onyx</v>
      </c>
      <c r="AD60" s="115" t="str">
        <f>IFERROR(INDEX(Расходка[Наименование расходного материала],MATCH(Расходка[[#This Row],[№]],Поиск_расходки[Индекс13],0)),"")</f>
        <v>DES, Resolute Onyx</v>
      </c>
      <c r="AF60" s="4" t="s">
        <v>6</v>
      </c>
      <c r="AG60" s="4" t="s">
        <v>453</v>
      </c>
    </row>
    <row r="61" spans="1:33">
      <c r="A61">
        <v>60</v>
      </c>
      <c r="B61" t="s">
        <v>6</v>
      </c>
      <c r="C61" t="s">
        <v>516</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
      </c>
      <c r="AA61" s="115" t="str">
        <f>IFERROR(INDEX(Расходка[Наименование расходного материала],MATCH(Расходка[[#This Row],[№]],Поиск_расходки[Индекс10],0)),"")</f>
        <v>DES, Калипсо</v>
      </c>
      <c r="AB61" s="115" t="str">
        <f>IFERROR(INDEX(Расходка[Наименование расходного материала],MATCH(Расходка[[#This Row],[№]],Поиск_расходки[Индекс11],0)),"")</f>
        <v>DES, Калипсо</v>
      </c>
      <c r="AC61" s="115" t="str">
        <f>IFERROR(INDEX(Расходка[Наименование расходного материала],MATCH(Расходка[[#This Row],[№]],Поиск_расходки[Индекс12],0)),"")</f>
        <v>DES, Калипсо</v>
      </c>
      <c r="AD61" s="115" t="str">
        <f>IFERROR(INDEX(Расходка[Наименование расходного материала],MATCH(Расходка[[#This Row],[№]],Поиск_расходки[Индекс13],0)),"")</f>
        <v>DES, Калипсо</v>
      </c>
      <c r="AF61" s="4" t="s">
        <v>6</v>
      </c>
      <c r="AG61" s="4" t="s">
        <v>414</v>
      </c>
    </row>
    <row r="62" spans="1:33">
      <c r="A62">
        <v>61</v>
      </c>
      <c r="B62" t="s">
        <v>6</v>
      </c>
      <c r="C62" t="s">
        <v>517</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
      </c>
      <c r="AA62" s="115" t="str">
        <f>IFERROR(INDEX(Расходка[Наименование расходного материала],MATCH(Расходка[[#This Row],[№]],Поиск_расходки[Индекс10],0)),"")</f>
        <v>Meril Evermine50™</v>
      </c>
      <c r="AB62" s="115" t="str">
        <f>IFERROR(INDEX(Расходка[Наименование расходного материала],MATCH(Расходка[[#This Row],[№]],Поиск_расходки[Индекс11],0)),"")</f>
        <v>Meril Evermine50™</v>
      </c>
      <c r="AC62" s="115" t="str">
        <f>IFERROR(INDEX(Расходка[Наименование расходного материала],MATCH(Расходка[[#This Row],[№]],Поиск_расходки[Индекс12],0)),"")</f>
        <v>Meril Evermine50™</v>
      </c>
      <c r="AD62" s="115" t="str">
        <f>IFERROR(INDEX(Расходка[Наименование расходного материала],MATCH(Расходка[[#This Row],[№]],Поиск_расходки[Индекс13],0)),"")</f>
        <v>Meril Evermine50™</v>
      </c>
      <c r="AF62" s="4" t="s">
        <v>6</v>
      </c>
      <c r="AG62" s="4" t="s">
        <v>454</v>
      </c>
    </row>
    <row r="63" spans="1:33">
      <c r="A63">
        <v>62</v>
      </c>
      <c r="B63" t="s">
        <v>95</v>
      </c>
      <c r="C63" s="1" t="s">
        <v>324</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0</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
      </c>
      <c r="AA63" s="115" t="str">
        <f>IFERROR(INDEX(Расходка[Наименование расходного материала],MATCH(Расходка[[#This Row],[№]],Поиск_расходки[Индекс10],0)),"")</f>
        <v>Guidezilla™ II 6F</v>
      </c>
      <c r="AB63" s="115" t="str">
        <f>IFERROR(INDEX(Расходка[Наименование расходного материала],MATCH(Расходка[[#This Row],[№]],Поиск_расходки[Индекс11],0)),"")</f>
        <v>Guidezilla™ II 6F</v>
      </c>
      <c r="AC63" s="115" t="str">
        <f>IFERROR(INDEX(Расходка[Наименование расходного материала],MATCH(Расходка[[#This Row],[№]],Поиск_расходки[Индекс12],0)),"")</f>
        <v>Guidezilla™ II 6F</v>
      </c>
      <c r="AD63" s="115" t="str">
        <f>IFERROR(INDEX(Расходка[Наименование расходного материала],MATCH(Расходка[[#This Row],[№]],Поиск_расходки[Индекс13],0)),"")</f>
        <v>Guidezilla™ II 6F</v>
      </c>
      <c r="AF63" s="4" t="s">
        <v>6</v>
      </c>
      <c r="AG63" s="4" t="s">
        <v>455</v>
      </c>
    </row>
    <row r="64" spans="1:33">
      <c r="A64">
        <v>63</v>
      </c>
      <c r="B64" t="s">
        <v>95</v>
      </c>
      <c r="C64" s="1" t="s">
        <v>343</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0</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
      </c>
      <c r="AA64" s="115" t="str">
        <f>IFERROR(INDEX(Расходка[Наименование расходного материала],MATCH(Расходка[[#This Row],[№]],Поиск_расходки[Индекс10],0)),"")</f>
        <v>Telescope ™ II 6F</v>
      </c>
      <c r="AB64" s="115" t="str">
        <f>IFERROR(INDEX(Расходка[Наименование расходного материала],MATCH(Расходка[[#This Row],[№]],Поиск_расходки[Индекс11],0)),"")</f>
        <v>Telescope ™ II 6F</v>
      </c>
      <c r="AC64" s="115" t="str">
        <f>IFERROR(INDEX(Расходка[Наименование расходного материала],MATCH(Расходка[[#This Row],[№]],Поиск_расходки[Индекс12],0)),"")</f>
        <v>Telescope ™ II 6F</v>
      </c>
      <c r="AD64" s="115" t="str">
        <f>IFERROR(INDEX(Расходка[Наименование расходного материала],MATCH(Расходка[[#This Row],[№]],Поиск_расходки[Индекс13],0)),"")</f>
        <v>Telescope ™ II 6F</v>
      </c>
      <c r="AF64" s="4" t="s">
        <v>6</v>
      </c>
      <c r="AG64" s="4" t="s">
        <v>456</v>
      </c>
    </row>
    <row r="65" spans="1:33">
      <c r="A65">
        <v>64</v>
      </c>
      <c r="B65" t="s">
        <v>4</v>
      </c>
      <c r="C65" t="s">
        <v>350</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1</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0</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
      </c>
      <c r="AA65" s="115" t="str">
        <f>IFERROR(INDEX(Расходка[Наименование расходного материала],MATCH(Расходка[[#This Row],[№]],Поиск_расходки[Индекс10],0)),"")</f>
        <v>Launcher 6F AL 1</v>
      </c>
      <c r="AB65" s="115" t="str">
        <f>IFERROR(INDEX(Расходка[Наименование расходного материала],MATCH(Расходка[[#This Row],[№]],Поиск_расходки[Индекс11],0)),"")</f>
        <v>Launcher 6F AL 1</v>
      </c>
      <c r="AC65" s="115" t="str">
        <f>IFERROR(INDEX(Расходка[Наименование расходного материала],MATCH(Расходка[[#This Row],[№]],Поиск_расходки[Индекс12],0)),"")</f>
        <v>Launcher 6F AL 1</v>
      </c>
      <c r="AD65" s="115" t="str">
        <f>IFERROR(INDEX(Расходка[Наименование расходного материала],MATCH(Расходка[[#This Row],[№]],Поиск_расходки[Индекс13],0)),"")</f>
        <v>Launcher 6F AL 1</v>
      </c>
      <c r="AF65" s="4" t="s">
        <v>6</v>
      </c>
      <c r="AG65" s="4" t="s">
        <v>457</v>
      </c>
    </row>
    <row r="66" spans="1:33">
      <c r="A66">
        <v>65</v>
      </c>
      <c r="B66" t="s">
        <v>4</v>
      </c>
      <c r="C66" t="s">
        <v>351</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Launcher 6F AL 2</v>
      </c>
      <c r="AB66" s="115" t="str">
        <f>IFERROR(INDEX(Расходка[Наименование расходного материала],MATCH(Расходка[[#This Row],[№]],Поиск_расходки[Индекс11],0)),"")</f>
        <v>Launcher 6F AL 2</v>
      </c>
      <c r="AC66" s="115" t="str">
        <f>IFERROR(INDEX(Расходка[Наименование расходного материала],MATCH(Расходка[[#This Row],[№]],Поиск_расходки[Индекс12],0)),"")</f>
        <v>Launcher 6F AL 2</v>
      </c>
      <c r="AD66" s="115" t="str">
        <f>IFERROR(INDEX(Расходка[Наименование расходного материала],MATCH(Расходка[[#This Row],[№]],Поиск_расходки[Индекс13],0)),"")</f>
        <v>Launcher 6F AL 2</v>
      </c>
      <c r="AF66" s="4" t="s">
        <v>6</v>
      </c>
      <c r="AG66" s="4" t="s">
        <v>458</v>
      </c>
    </row>
    <row r="67" spans="1:33">
      <c r="A67">
        <v>66</v>
      </c>
      <c r="B67" t="s">
        <v>4</v>
      </c>
      <c r="C67" t="s">
        <v>325</v>
      </c>
      <c r="E67" s="197">
        <f>IF(ISNUMBER(SEARCH('Карта учёта'!$B$13,Расходка[[#This Row],[Наименование расходного материала]])),MAX($E$1:E66)+1,0)</f>
        <v>0</v>
      </c>
      <c r="F67" s="197">
        <f>IF(ISNUMBER(SEARCH('Карта учёта'!$B$14,Расходка[[#This Row],[Наименование расходного материала]])),MAX($F$1:F66)+1,0)</f>
        <v>0</v>
      </c>
      <c r="G67" s="197">
        <f>IF(ISNUMBER(SEARCH('Карта учёта'!$B$15,Расходка[[#This Row],[Наименование расходного материала]])),MAX($G$1:G66)+1,0)</f>
        <v>0</v>
      </c>
      <c r="H67" s="197">
        <f>IF(ISNUMBER(SEARCH('Карта учёта'!$B$16,Расходка[[#This Row],[Наименование расходного материала]])),MAX($H$1:H66)+1,0)</f>
        <v>0</v>
      </c>
      <c r="I67" s="197">
        <f>IF(ISNUMBER(SEARCH('Карта учёта'!$B$17,Расходка[[#This Row],[Наименование расходного материала]])),MAX($I$1:I66)+1,0)</f>
        <v>0</v>
      </c>
      <c r="J67" s="197">
        <f>IF(ISNUMBER(SEARCH('Карта учёта'!$B$18,Расходка[[#This Row],[Наименование расходного материала]])),MAX($J$1:J66)+1,0)</f>
        <v>0</v>
      </c>
      <c r="K67" s="197">
        <f>IF(ISNUMBER(SEARCH('Карта учёта'!$B$19,Расходка[[#This Row],[Наименование расходного материала]])),MAX($K$1:K66)+1,0)</f>
        <v>0</v>
      </c>
      <c r="L67" s="197">
        <f>IF(ISNUMBER(SEARCH('Карта учёта'!$B$20,Расходка[[#This Row],[Наименование расходного материала]])),MAX($L$1:L66)+1,0)</f>
        <v>0</v>
      </c>
      <c r="M67" s="197">
        <f>IF(ISNUMBER(SEARCH('Карта учёта'!$B$21,Расходка[[#This Row],[Наименование расходного материала]])),MAX($M$1:M66)+1,0)</f>
        <v>0</v>
      </c>
      <c r="N67" s="197">
        <f>IF(ISNUMBER(SEARCH('Карта учёта'!$B$22,Расходка[[#This Row],[Наименование расходного материала]])),MAX($N$1:N66)+1,0)</f>
        <v>66</v>
      </c>
      <c r="O67" s="197">
        <f>IF(ISNUMBER(SEARCH('Карта учёта'!$B$23,Расходка[[#This Row],[Наименование расходного материала]])),MAX($O$1:O66)+1,0)</f>
        <v>66</v>
      </c>
      <c r="P67" s="197">
        <f>IF(ISNUMBER(SEARCH('Карта учёта'!$B$24,Расходка[[#This Row],[Наименование расходного материала]])),MAX($P$1:P66)+1,0)</f>
        <v>66</v>
      </c>
      <c r="Q67" s="197">
        <f>IF(ISNUMBER(SEARCH('Карта учёта'!$B$25,Расходка[[#This Row],[Наименование расходного материала]])),MAX($Q$1:Q66)+1,0)</f>
        <v>66</v>
      </c>
      <c r="R67" s="198" t="str">
        <f>IFERROR(INDEX(Расходка[Наименование расходного материала],MATCH(Расходка[[#This Row],[№]],Поиск_расходки[Индекс1],0)),"")</f>
        <v/>
      </c>
      <c r="S67" s="198" t="str">
        <f>IFERROR(INDEX(Расходка[Наименование расходного материала],MATCH(Расходка[[#This Row],[№]],Поиск_расходки[Индекс2],0)),"")</f>
        <v/>
      </c>
      <c r="T67" s="198" t="str">
        <f>IFERROR(INDEX(Расходка[Наименование расходного материала],MATCH(Расходка[[#This Row],[№]],Поиск_расходки[Индекс3],0)),"")</f>
        <v/>
      </c>
      <c r="U67" s="198" t="str">
        <f>IFERROR(INDEX(Расходка[Наименование расходного материала],MATCH(Расходка[[#This Row],[№]],Поиск_расходки[Индекс4],0)),"")</f>
        <v/>
      </c>
      <c r="V67" s="198" t="str">
        <f>IFERROR(INDEX(Расходка[Наименование расходного материала],MATCH(Расходка[[#This Row],[№]],Поиск_расходки[Индекс5],0)),"")</f>
        <v/>
      </c>
      <c r="W67" s="198" t="str">
        <f>IFERROR(INDEX(Расходка[Наименование расходного материала],MATCH(Расходка[[#This Row],[№]],Поиск_расходки[Индекс6],0)),"")</f>
        <v/>
      </c>
      <c r="X67" s="198" t="str">
        <f>IFERROR(INDEX(Расходка[Наименование расходного материала],MATCH(Расходка[[#This Row],[№]],Поиск_расходки[Индекс7],0)),"")</f>
        <v/>
      </c>
      <c r="Y67" s="198" t="str">
        <f>IFERROR(INDEX(Расходка[Наименование расходного материала],MATCH(Расходка[[#This Row],[№]],Поиск_расходки[Индекс8],0)),"")</f>
        <v/>
      </c>
      <c r="Z67" s="198" t="str">
        <f>IFERROR(INDEX(Расходка[Наименование расходного материала],MATCH(Расходка[[#This Row],[№]],Поиск_расходки[Индекс9],0)),"")</f>
        <v/>
      </c>
      <c r="AA67" s="198" t="str">
        <f>IFERROR(INDEX(Расходка[Наименование расходного материала],MATCH(Расходка[[#This Row],[№]],Поиск_расходки[Индекс10],0)),"")</f>
        <v>Launcher 6F EBU 3.5</v>
      </c>
      <c r="AB67" s="198" t="str">
        <f>IFERROR(INDEX(Расходка[Наименование расходного материала],MATCH(Расходка[[#This Row],[№]],Поиск_расходки[Индекс11],0)),"")</f>
        <v>Launcher 6F EBU 3.5</v>
      </c>
      <c r="AC67" s="198" t="str">
        <f>IFERROR(INDEX(Расходка[Наименование расходного материала],MATCH(Расходка[[#This Row],[№]],Поиск_расходки[Индекс12],0)),"")</f>
        <v>Launcher 6F EBU 3.5</v>
      </c>
      <c r="AD67" s="198" t="str">
        <f>IFERROR(INDEX(Расходка[Наименование расходного материала],MATCH(Расходка[[#This Row],[№]],Поиск_расходки[Индекс13],0)),"")</f>
        <v>Launcher 6F EBU 3.5</v>
      </c>
      <c r="AF67" s="4" t="s">
        <v>6</v>
      </c>
      <c r="AG67" s="4" t="s">
        <v>459</v>
      </c>
    </row>
    <row r="68" spans="1:33">
      <c r="A68">
        <v>67</v>
      </c>
      <c r="B68" t="s">
        <v>4</v>
      </c>
      <c r="C68" t="s">
        <v>326</v>
      </c>
      <c r="E68" s="197">
        <f>IF(ISNUMBER(SEARCH('Карта учёта'!$B$13,Расходка[[#This Row],[Наименование расходного материала]])),MAX($E$1:E67)+1,0)</f>
        <v>0</v>
      </c>
      <c r="F68" s="197">
        <f>IF(ISNUMBER(SEARCH('Карта учёта'!$B$14,Расходка[[#This Row],[Наименование расходного материала]])),MAX($F$1:F67)+1,0)</f>
        <v>0</v>
      </c>
      <c r="G68" s="197">
        <f>IF(ISNUMBER(SEARCH('Карта учёта'!$B$15,Расходка[[#This Row],[Наименование расходного материала]])),MAX($G$1:G67)+1,0)</f>
        <v>0</v>
      </c>
      <c r="H68" s="197">
        <f>IF(ISNUMBER(SEARCH('Карта учёта'!$B$16,Расходка[[#This Row],[Наименование расходного материала]])),MAX($H$1:H67)+1,0)</f>
        <v>0</v>
      </c>
      <c r="I68" s="197">
        <f>IF(ISNUMBER(SEARCH('Карта учёта'!$B$17,Расходка[[#This Row],[Наименование расходного материала]])),MAX($I$1:I67)+1,0)</f>
        <v>0</v>
      </c>
      <c r="J68" s="197">
        <f>IF(ISNUMBER(SEARCH('Карта учёта'!$B$18,Расходка[[#This Row],[Наименование расходного материала]])),MAX($J$1:J67)+1,0)</f>
        <v>0</v>
      </c>
      <c r="K68" s="197">
        <f>IF(ISNUMBER(SEARCH('Карта учёта'!$B$19,Расходка[[#This Row],[Наименование расходного материала]])),MAX($K$1:K67)+1,0)</f>
        <v>0</v>
      </c>
      <c r="L68" s="197">
        <f>IF(ISNUMBER(SEARCH('Карта учёта'!$B$20,Расходка[[#This Row],[Наименование расходного материала]])),MAX($L$1:L67)+1,0)</f>
        <v>0</v>
      </c>
      <c r="M68" s="197">
        <f>IF(ISNUMBER(SEARCH('Карта учёта'!$B$21,Расходка[[#This Row],[Наименование расходного материала]])),MAX($M$1:M67)+1,0)</f>
        <v>0</v>
      </c>
      <c r="N68" s="197">
        <f>IF(ISNUMBER(SEARCH('Карта учёта'!$B$22,Расходка[[#This Row],[Наименование расходного материала]])),MAX($N$1:N67)+1,0)</f>
        <v>67</v>
      </c>
      <c r="O68" s="197">
        <f>IF(ISNUMBER(SEARCH('Карта учёта'!$B$23,Расходка[[#This Row],[Наименование расходного материала]])),MAX($O$1:O67)+1,0)</f>
        <v>67</v>
      </c>
      <c r="P68" s="197">
        <f>IF(ISNUMBER(SEARCH('Карта учёта'!$B$24,Расходка[[#This Row],[Наименование расходного материала]])),MAX($P$1:P67)+1,0)</f>
        <v>67</v>
      </c>
      <c r="Q68" s="197">
        <f>IF(ISNUMBER(SEARCH('Карта учёта'!$B$25,Расходка[[#This Row],[Наименование расходного материала]])),MAX($Q$1:Q67)+1,0)</f>
        <v>67</v>
      </c>
      <c r="R68" s="198" t="str">
        <f>IFERROR(INDEX(Расходка[Наименование расходного материала],MATCH(Расходка[[#This Row],[№]],Поиск_расходки[Индекс1],0)),"")</f>
        <v/>
      </c>
      <c r="S68" s="198" t="str">
        <f>IFERROR(INDEX(Расходка[Наименование расходного материала],MATCH(Расходка[[#This Row],[№]],Поиск_расходки[Индекс2],0)),"")</f>
        <v/>
      </c>
      <c r="T68" s="198" t="str">
        <f>IFERROR(INDEX(Расходка[Наименование расходного материала],MATCH(Расходка[[#This Row],[№]],Поиск_расходки[Индекс3],0)),"")</f>
        <v/>
      </c>
      <c r="U68" s="198" t="str">
        <f>IFERROR(INDEX(Расходка[Наименование расходного материала],MATCH(Расходка[[#This Row],[№]],Поиск_расходки[Индекс4],0)),"")</f>
        <v/>
      </c>
      <c r="V68" s="198" t="str">
        <f>IFERROR(INDEX(Расходка[Наименование расходного материала],MATCH(Расходка[[#This Row],[№]],Поиск_расходки[Индекс5],0)),"")</f>
        <v/>
      </c>
      <c r="W68" s="198" t="str">
        <f>IFERROR(INDEX(Расходка[Наименование расходного материала],MATCH(Расходка[[#This Row],[№]],Поиск_расходки[Индекс6],0)),"")</f>
        <v/>
      </c>
      <c r="X68" s="198" t="str">
        <f>IFERROR(INDEX(Расходка[Наименование расходного материала],MATCH(Расходка[[#This Row],[№]],Поиск_расходки[Индекс7],0)),"")</f>
        <v/>
      </c>
      <c r="Y68" s="198" t="str">
        <f>IFERROR(INDEX(Расходка[Наименование расходного материала],MATCH(Расходка[[#This Row],[№]],Поиск_расходки[Индекс8],0)),"")</f>
        <v/>
      </c>
      <c r="Z68" s="198" t="str">
        <f>IFERROR(INDEX(Расходка[Наименование расходного материала],MATCH(Расходка[[#This Row],[№]],Поиск_расходки[Индекс9],0)),"")</f>
        <v/>
      </c>
      <c r="AA68" s="198" t="str">
        <f>IFERROR(INDEX(Расходка[Наименование расходного материала],MATCH(Расходка[[#This Row],[№]],Поиск_расходки[Индекс10],0)),"")</f>
        <v>Launcher 6F EBU 4.0</v>
      </c>
      <c r="AB68" s="198" t="str">
        <f>IFERROR(INDEX(Расходка[Наименование расходного материала],MATCH(Расходка[[#This Row],[№]],Поиск_расходки[Индекс11],0)),"")</f>
        <v>Launcher 6F EBU 4.0</v>
      </c>
      <c r="AC68" s="198" t="str">
        <f>IFERROR(INDEX(Расходка[Наименование расходного материала],MATCH(Расходка[[#This Row],[№]],Поиск_расходки[Индекс12],0)),"")</f>
        <v>Launcher 6F EBU 4.0</v>
      </c>
      <c r="AD68" s="198" t="str">
        <f>IFERROR(INDEX(Расходка[Наименование расходного материала],MATCH(Расходка[[#This Row],[№]],Поиск_расходки[Индекс13],0)),"")</f>
        <v>Launcher 6F EBU 4.0</v>
      </c>
      <c r="AF68" s="4" t="s">
        <v>6</v>
      </c>
      <c r="AG68" s="4" t="s">
        <v>460</v>
      </c>
    </row>
    <row r="69" spans="1:33">
      <c r="A69">
        <v>68</v>
      </c>
      <c r="B69" t="s">
        <v>4</v>
      </c>
      <c r="C69" t="s">
        <v>327</v>
      </c>
      <c r="E69" s="197">
        <f>IF(ISNUMBER(SEARCH('Карта учёта'!$B$13,Расходка[[#This Row],[Наименование расходного материала]])),MAX($E$1:E68)+1,0)</f>
        <v>0</v>
      </c>
      <c r="F69" s="197">
        <f>IF(ISNUMBER(SEARCH('Карта учёта'!$B$14,Расходка[[#This Row],[Наименование расходного материала]])),MAX($F$1:F68)+1,0)</f>
        <v>0</v>
      </c>
      <c r="G69" s="197">
        <f>IF(ISNUMBER(SEARCH('Карта учёта'!$B$15,Расходка[[#This Row],[Наименование расходного материала]])),MAX($G$1:G68)+1,0)</f>
        <v>0</v>
      </c>
      <c r="H69" s="197">
        <f>IF(ISNUMBER(SEARCH('Карта учёта'!$B$16,Расходка[[#This Row],[Наименование расходного материала]])),MAX($H$1:H68)+1,0)</f>
        <v>0</v>
      </c>
      <c r="I69" s="197">
        <f>IF(ISNUMBER(SEARCH('Карта учёта'!$B$17,Расходка[[#This Row],[Наименование расходного материала]])),MAX($I$1:I68)+1,0)</f>
        <v>0</v>
      </c>
      <c r="J69" s="197">
        <f>IF(ISNUMBER(SEARCH('Карта учёта'!$B$18,Расходка[[#This Row],[Наименование расходного материала]])),MAX($J$1:J68)+1,0)</f>
        <v>0</v>
      </c>
      <c r="K69" s="197">
        <f>IF(ISNUMBER(SEARCH('Карта учёта'!$B$19,Расходка[[#This Row],[Наименование расходного материала]])),MAX($K$1:K68)+1,0)</f>
        <v>0</v>
      </c>
      <c r="L69" s="197">
        <f>IF(ISNUMBER(SEARCH('Карта учёта'!$B$20,Расходка[[#This Row],[Наименование расходного материала]])),MAX($L$1:L68)+1,0)</f>
        <v>0</v>
      </c>
      <c r="M69" s="197">
        <f>IF(ISNUMBER(SEARCH('Карта учёта'!$B$21,Расходка[[#This Row],[Наименование расходного материала]])),MAX($M$1:M68)+1,0)</f>
        <v>0</v>
      </c>
      <c r="N69" s="197">
        <f>IF(ISNUMBER(SEARCH('Карта учёта'!$B$22,Расходка[[#This Row],[Наименование расходного материала]])),MAX($N$1:N68)+1,0)</f>
        <v>68</v>
      </c>
      <c r="O69" s="197">
        <f>IF(ISNUMBER(SEARCH('Карта учёта'!$B$23,Расходка[[#This Row],[Наименование расходного материала]])),MAX($O$1:O68)+1,0)</f>
        <v>68</v>
      </c>
      <c r="P69" s="197">
        <f>IF(ISNUMBER(SEARCH('Карта учёта'!$B$24,Расходка[[#This Row],[Наименование расходного материала]])),MAX($P$1:P68)+1,0)</f>
        <v>68</v>
      </c>
      <c r="Q69" s="197">
        <f>IF(ISNUMBER(SEARCH('Карта учёта'!$B$25,Расходка[[#This Row],[Наименование расходного материала]])),MAX($Q$1:Q68)+1,0)</f>
        <v>68</v>
      </c>
      <c r="R69" s="198" t="str">
        <f>IFERROR(INDEX(Расходка[Наименование расходного материала],MATCH(Расходка[[#This Row],[№]],Поиск_расходки[Индекс1],0)),"")</f>
        <v/>
      </c>
      <c r="S69" s="198" t="str">
        <f>IFERROR(INDEX(Расходка[Наименование расходного материала],MATCH(Расходка[[#This Row],[№]],Поиск_расходки[Индекс2],0)),"")</f>
        <v/>
      </c>
      <c r="T69" s="198" t="str">
        <f>IFERROR(INDEX(Расходка[Наименование расходного материала],MATCH(Расходка[[#This Row],[№]],Поиск_расходки[Индекс3],0)),"")</f>
        <v/>
      </c>
      <c r="U69" s="198" t="str">
        <f>IFERROR(INDEX(Расходка[Наименование расходного материала],MATCH(Расходка[[#This Row],[№]],Поиск_расходки[Индекс4],0)),"")</f>
        <v/>
      </c>
      <c r="V69" s="198" t="str">
        <f>IFERROR(INDEX(Расходка[Наименование расходного материала],MATCH(Расходка[[#This Row],[№]],Поиск_расходки[Индекс5],0)),"")</f>
        <v/>
      </c>
      <c r="W69" s="198" t="str">
        <f>IFERROR(INDEX(Расходка[Наименование расходного материала],MATCH(Расходка[[#This Row],[№]],Поиск_расходки[Индекс6],0)),"")</f>
        <v/>
      </c>
      <c r="X69" s="198" t="str">
        <f>IFERROR(INDEX(Расходка[Наименование расходного материала],MATCH(Расходка[[#This Row],[№]],Поиск_расходки[Индекс7],0)),"")</f>
        <v/>
      </c>
      <c r="Y69" s="198" t="str">
        <f>IFERROR(INDEX(Расходка[Наименование расходного материала],MATCH(Расходка[[#This Row],[№]],Поиск_расходки[Индекс8],0)),"")</f>
        <v/>
      </c>
      <c r="Z69" s="198" t="str">
        <f>IFERROR(INDEX(Расходка[Наименование расходного материала],MATCH(Расходка[[#This Row],[№]],Поиск_расходки[Индекс9],0)),"")</f>
        <v/>
      </c>
      <c r="AA69" s="198" t="str">
        <f>IFERROR(INDEX(Расходка[Наименование расходного материала],MATCH(Расходка[[#This Row],[№]],Поиск_расходки[Индекс10],0)),"")</f>
        <v>Launcher 6F JL 3.5</v>
      </c>
      <c r="AB69" s="198" t="str">
        <f>IFERROR(INDEX(Расходка[Наименование расходного материала],MATCH(Расходка[[#This Row],[№]],Поиск_расходки[Индекс11],0)),"")</f>
        <v>Launcher 6F JL 3.5</v>
      </c>
      <c r="AC69" s="198" t="str">
        <f>IFERROR(INDEX(Расходка[Наименование расходного материала],MATCH(Расходка[[#This Row],[№]],Поиск_расходки[Индекс12],0)),"")</f>
        <v>Launcher 6F JL 3.5</v>
      </c>
      <c r="AD69" s="198" t="str">
        <f>IFERROR(INDEX(Расходка[Наименование расходного материала],MATCH(Расходка[[#This Row],[№]],Поиск_расходки[Индекс13],0)),"")</f>
        <v>Launcher 6F JL 3.5</v>
      </c>
      <c r="AF69" s="4" t="s">
        <v>6</v>
      </c>
      <c r="AG69" s="4" t="s">
        <v>461</v>
      </c>
    </row>
    <row r="70" spans="1:33">
      <c r="A70">
        <v>69</v>
      </c>
      <c r="B70" t="s">
        <v>4</v>
      </c>
      <c r="C70" t="s">
        <v>328</v>
      </c>
      <c r="E70" s="197">
        <f>IF(ISNUMBER(SEARCH('Карта учёта'!$B$13,Расходка[[#This Row],[Наименование расходного материала]])),MAX($E$1:E69)+1,0)</f>
        <v>0</v>
      </c>
      <c r="F70" s="197">
        <f>IF(ISNUMBER(SEARCH('Карта учёта'!$B$14,Расходка[[#This Row],[Наименование расходного материала]])),MAX($F$1:F69)+1,0)</f>
        <v>0</v>
      </c>
      <c r="G70" s="197">
        <f>IF(ISNUMBER(SEARCH('Карта учёта'!$B$15,Расходка[[#This Row],[Наименование расходного материала]])),MAX($G$1:G69)+1,0)</f>
        <v>0</v>
      </c>
      <c r="H70" s="197">
        <f>IF(ISNUMBER(SEARCH('Карта учёта'!$B$16,Расходка[[#This Row],[Наименование расходного материала]])),MAX($H$1:H69)+1,0)</f>
        <v>0</v>
      </c>
      <c r="I70" s="197">
        <f>IF(ISNUMBER(SEARCH('Карта учёта'!$B$17,Расходка[[#This Row],[Наименование расходного материала]])),MAX($I$1:I69)+1,0)</f>
        <v>0</v>
      </c>
      <c r="J70" s="197">
        <f>IF(ISNUMBER(SEARCH('Карта учёта'!$B$18,Расходка[[#This Row],[Наименование расходного материала]])),MAX($J$1:J69)+1,0)</f>
        <v>0</v>
      </c>
      <c r="K70" s="197">
        <f>IF(ISNUMBER(SEARCH('Карта учёта'!$B$19,Расходка[[#This Row],[Наименование расходного материала]])),MAX($K$1:K69)+1,0)</f>
        <v>0</v>
      </c>
      <c r="L70" s="197">
        <f>IF(ISNUMBER(SEARCH('Карта учёта'!$B$20,Расходка[[#This Row],[Наименование расходного материала]])),MAX($L$1:L69)+1,0)</f>
        <v>0</v>
      </c>
      <c r="M70" s="197">
        <f>IF(ISNUMBER(SEARCH('Карта учёта'!$B$21,Расходка[[#This Row],[Наименование расходного материала]])),MAX($M$1:M69)+1,0)</f>
        <v>0</v>
      </c>
      <c r="N70" s="197">
        <f>IF(ISNUMBER(SEARCH('Карта учёта'!$B$22,Расходка[[#This Row],[Наименование расходного материала]])),MAX($N$1:N69)+1,0)</f>
        <v>69</v>
      </c>
      <c r="O70" s="197">
        <f>IF(ISNUMBER(SEARCH('Карта учёта'!$B$23,Расходка[[#This Row],[Наименование расходного материала]])),MAX($O$1:O69)+1,0)</f>
        <v>69</v>
      </c>
      <c r="P70" s="197">
        <f>IF(ISNUMBER(SEARCH('Карта учёта'!$B$24,Расходка[[#This Row],[Наименование расходного материала]])),MAX($P$1:P69)+1,0)</f>
        <v>69</v>
      </c>
      <c r="Q70" s="197">
        <f>IF(ISNUMBER(SEARCH('Карта учёта'!$B$25,Расходка[[#This Row],[Наименование расходного материала]])),MAX($Q$1:Q69)+1,0)</f>
        <v>69</v>
      </c>
      <c r="R70" s="198" t="str">
        <f>IFERROR(INDEX(Расходка[Наименование расходного материала],MATCH(Расходка[[#This Row],[№]],Поиск_расходки[Индекс1],0)),"")</f>
        <v/>
      </c>
      <c r="S70" s="198" t="str">
        <f>IFERROR(INDEX(Расходка[Наименование расходного материала],MATCH(Расходка[[#This Row],[№]],Поиск_расходки[Индекс2],0)),"")</f>
        <v/>
      </c>
      <c r="T70" s="198" t="str">
        <f>IFERROR(INDEX(Расходка[Наименование расходного материала],MATCH(Расходка[[#This Row],[№]],Поиск_расходки[Индекс3],0)),"")</f>
        <v/>
      </c>
      <c r="U70" s="198" t="str">
        <f>IFERROR(INDEX(Расходка[Наименование расходного материала],MATCH(Расходка[[#This Row],[№]],Поиск_расходки[Индекс4],0)),"")</f>
        <v/>
      </c>
      <c r="V70" s="198" t="str">
        <f>IFERROR(INDEX(Расходка[Наименование расходного материала],MATCH(Расходка[[#This Row],[№]],Поиск_расходки[Индекс5],0)),"")</f>
        <v/>
      </c>
      <c r="W70" s="198" t="str">
        <f>IFERROR(INDEX(Расходка[Наименование расходного материала],MATCH(Расходка[[#This Row],[№]],Поиск_расходки[Индекс6],0)),"")</f>
        <v/>
      </c>
      <c r="X70" s="198" t="str">
        <f>IFERROR(INDEX(Расходка[Наименование расходного материала],MATCH(Расходка[[#This Row],[№]],Поиск_расходки[Индекс7],0)),"")</f>
        <v/>
      </c>
      <c r="Y70" s="198" t="str">
        <f>IFERROR(INDEX(Расходка[Наименование расходного материала],MATCH(Расходка[[#This Row],[№]],Поиск_расходки[Индекс8],0)),"")</f>
        <v/>
      </c>
      <c r="Z70" s="198" t="str">
        <f>IFERROR(INDEX(Расходка[Наименование расходного материала],MATCH(Расходка[[#This Row],[№]],Поиск_расходки[Индекс9],0)),"")</f>
        <v/>
      </c>
      <c r="AA70" s="198" t="str">
        <f>IFERROR(INDEX(Расходка[Наименование расходного материала],MATCH(Расходка[[#This Row],[№]],Поиск_расходки[Индекс10],0)),"")</f>
        <v>Launcher 6F JL 4.0</v>
      </c>
      <c r="AB70" s="198" t="str">
        <f>IFERROR(INDEX(Расходка[Наименование расходного материала],MATCH(Расходка[[#This Row],[№]],Поиск_расходки[Индекс11],0)),"")</f>
        <v>Launcher 6F JL 4.0</v>
      </c>
      <c r="AC70" s="198" t="str">
        <f>IFERROR(INDEX(Расходка[Наименование расходного материала],MATCH(Расходка[[#This Row],[№]],Поиск_расходки[Индекс12],0)),"")</f>
        <v>Launcher 6F JL 4.0</v>
      </c>
      <c r="AD70" s="198" t="str">
        <f>IFERROR(INDEX(Расходка[Наименование расходного материала],MATCH(Расходка[[#This Row],[№]],Поиск_расходки[Индекс13],0)),"")</f>
        <v>Launcher 6F JL 4.0</v>
      </c>
      <c r="AF70" s="4" t="s">
        <v>6</v>
      </c>
      <c r="AG70" s="4" t="s">
        <v>462</v>
      </c>
    </row>
    <row r="71" spans="1:33">
      <c r="A71">
        <v>70</v>
      </c>
      <c r="B71" t="s">
        <v>4</v>
      </c>
      <c r="C71" t="s">
        <v>334</v>
      </c>
      <c r="E71" s="197">
        <f>IF(ISNUMBER(SEARCH('Карта учёта'!$B$13,Расходка[[#This Row],[Наименование расходного материала]])),MAX($E$1:E70)+1,0)</f>
        <v>0</v>
      </c>
      <c r="F71" s="197">
        <f>IF(ISNUMBER(SEARCH('Карта учёта'!$B$14,Расходка[[#This Row],[Наименование расходного материала]])),MAX($F$1:F70)+1,0)</f>
        <v>0</v>
      </c>
      <c r="G71" s="197">
        <f>IF(ISNUMBER(SEARCH('Карта учёта'!$B$15,Расходка[[#This Row],[Наименование расходного материала]])),MAX($G$1:G70)+1,0)</f>
        <v>0</v>
      </c>
      <c r="H71" s="197">
        <f>IF(ISNUMBER(SEARCH('Карта учёта'!$B$16,Расходка[[#This Row],[Наименование расходного материала]])),MAX($H$1:H70)+1,0)</f>
        <v>0</v>
      </c>
      <c r="I71" s="197">
        <f>IF(ISNUMBER(SEARCH('Карта учёта'!$B$17,Расходка[[#This Row],[Наименование расходного материала]])),MAX($I$1:I70)+1,0)</f>
        <v>0</v>
      </c>
      <c r="J71" s="197">
        <f>IF(ISNUMBER(SEARCH('Карта учёта'!$B$18,Расходка[[#This Row],[Наименование расходного материала]])),MAX($J$1:J70)+1,0)</f>
        <v>0</v>
      </c>
      <c r="K71" s="197">
        <f>IF(ISNUMBER(SEARCH('Карта учёта'!$B$19,Расходка[[#This Row],[Наименование расходного материала]])),MAX($K$1:K70)+1,0)</f>
        <v>0</v>
      </c>
      <c r="L71" s="197">
        <f>IF(ISNUMBER(SEARCH('Карта учёта'!$B$20,Расходка[[#This Row],[Наименование расходного материала]])),MAX($L$1:L70)+1,0)</f>
        <v>0</v>
      </c>
      <c r="M71" s="197">
        <f>IF(ISNUMBER(SEARCH('Карта учёта'!$B$21,Расходка[[#This Row],[Наименование расходного материала]])),MAX($M$1:M70)+1,0)</f>
        <v>0</v>
      </c>
      <c r="N71" s="197">
        <f>IF(ISNUMBER(SEARCH('Карта учёта'!$B$22,Расходка[[#This Row],[Наименование расходного материала]])),MAX($N$1:N70)+1,0)</f>
        <v>70</v>
      </c>
      <c r="O71" s="197">
        <f>IF(ISNUMBER(SEARCH('Карта учёта'!$B$23,Расходка[[#This Row],[Наименование расходного материала]])),MAX($O$1:O70)+1,0)</f>
        <v>70</v>
      </c>
      <c r="P71" s="197">
        <f>IF(ISNUMBER(SEARCH('Карта учёта'!$B$24,Расходка[[#This Row],[Наименование расходного материала]])),MAX($P$1:P70)+1,0)</f>
        <v>70</v>
      </c>
      <c r="Q71" s="197">
        <f>IF(ISNUMBER(SEARCH('Карта учёта'!$B$25,Расходка[[#This Row],[Наименование расходного материала]])),MAX($Q$1:Q70)+1,0)</f>
        <v>70</v>
      </c>
      <c r="R71" s="198" t="str">
        <f>IFERROR(INDEX(Расходка[Наименование расходного материала],MATCH(Расходка[[#This Row],[№]],Поиск_расходки[Индекс1],0)),"")</f>
        <v/>
      </c>
      <c r="S71" s="198" t="str">
        <f>IFERROR(INDEX(Расходка[Наименование расходного материала],MATCH(Расходка[[#This Row],[№]],Поиск_расходки[Индекс2],0)),"")</f>
        <v/>
      </c>
      <c r="T71" s="198" t="str">
        <f>IFERROR(INDEX(Расходка[Наименование расходного материала],MATCH(Расходка[[#This Row],[№]],Поиск_расходки[Индекс3],0)),"")</f>
        <v/>
      </c>
      <c r="U71" s="198" t="str">
        <f>IFERROR(INDEX(Расходка[Наименование расходного материала],MATCH(Расходка[[#This Row],[№]],Поиск_расходки[Индекс4],0)),"")</f>
        <v/>
      </c>
      <c r="V71" s="198" t="str">
        <f>IFERROR(INDEX(Расходка[Наименование расходного материала],MATCH(Расходка[[#This Row],[№]],Поиск_расходки[Индекс5],0)),"")</f>
        <v/>
      </c>
      <c r="W71" s="198" t="str">
        <f>IFERROR(INDEX(Расходка[Наименование расходного материала],MATCH(Расходка[[#This Row],[№]],Поиск_расходки[Индекс6],0)),"")</f>
        <v/>
      </c>
      <c r="X71" s="198" t="str">
        <f>IFERROR(INDEX(Расходка[Наименование расходного материала],MATCH(Расходка[[#This Row],[№]],Поиск_расходки[Индекс7],0)),"")</f>
        <v/>
      </c>
      <c r="Y71" s="198" t="str">
        <f>IFERROR(INDEX(Расходка[Наименование расходного материала],MATCH(Расходка[[#This Row],[№]],Поиск_расходки[Индекс8],0)),"")</f>
        <v/>
      </c>
      <c r="Z71" s="198" t="str">
        <f>IFERROR(INDEX(Расходка[Наименование расходного материала],MATCH(Расходка[[#This Row],[№]],Поиск_расходки[Индекс9],0)),"")</f>
        <v/>
      </c>
      <c r="AA71" s="198" t="str">
        <f>IFERROR(INDEX(Расходка[Наименование расходного материала],MATCH(Расходка[[#This Row],[№]],Поиск_расходки[Индекс10],0)),"")</f>
        <v>Launcher 6F JL 4.5</v>
      </c>
      <c r="AB71" s="198" t="str">
        <f>IFERROR(INDEX(Расходка[Наименование расходного материала],MATCH(Расходка[[#This Row],[№]],Поиск_расходки[Индекс11],0)),"")</f>
        <v>Launcher 6F JL 4.5</v>
      </c>
      <c r="AC71" s="198" t="str">
        <f>IFERROR(INDEX(Расходка[Наименование расходного материала],MATCH(Расходка[[#This Row],[№]],Поиск_расходки[Индекс12],0)),"")</f>
        <v>Launcher 6F JL 4.5</v>
      </c>
      <c r="AD71" s="198" t="str">
        <f>IFERROR(INDEX(Расходка[Наименование расходного материала],MATCH(Расходка[[#This Row],[№]],Поиск_расходки[Индекс13],0)),"")</f>
        <v>Launcher 6F JL 4.5</v>
      </c>
      <c r="AF71" s="4" t="s">
        <v>6</v>
      </c>
      <c r="AG71" s="4" t="s">
        <v>417</v>
      </c>
    </row>
    <row r="72" spans="1:33">
      <c r="A72">
        <v>71</v>
      </c>
      <c r="B72" t="s">
        <v>4</v>
      </c>
      <c r="C72" t="s">
        <v>329</v>
      </c>
      <c r="E72" s="197">
        <f>IF(ISNUMBER(SEARCH('Карта учёта'!$B$13,Расходка[[#This Row],[Наименование расходного материала]])),MAX($E$1:E71)+1,0)</f>
        <v>0</v>
      </c>
      <c r="F72" s="197">
        <f>IF(ISNUMBER(SEARCH('Карта учёта'!$B$14,Расходка[[#This Row],[Наименование расходного материала]])),MAX($F$1:F71)+1,0)</f>
        <v>0</v>
      </c>
      <c r="G72" s="197">
        <f>IF(ISNUMBER(SEARCH('Карта учёта'!$B$15,Расходка[[#This Row],[Наименование расходного материала]])),MAX($G$1:G71)+1,0)</f>
        <v>0</v>
      </c>
      <c r="H72" s="197">
        <f>IF(ISNUMBER(SEARCH('Карта учёта'!$B$16,Расходка[[#This Row],[Наименование расходного материала]])),MAX($H$1:H71)+1,0)</f>
        <v>0</v>
      </c>
      <c r="I72" s="197">
        <f>IF(ISNUMBER(SEARCH('Карта учёта'!$B$17,Расходка[[#This Row],[Наименование расходного материала]])),MAX($I$1:I71)+1,0)</f>
        <v>0</v>
      </c>
      <c r="J72" s="197">
        <f>IF(ISNUMBER(SEARCH('Карта учёта'!$B$18,Расходка[[#This Row],[Наименование расходного материала]])),MAX($J$1:J71)+1,0)</f>
        <v>0</v>
      </c>
      <c r="K72" s="197">
        <f>IF(ISNUMBER(SEARCH('Карта учёта'!$B$19,Расходка[[#This Row],[Наименование расходного материала]])),MAX($K$1:K71)+1,0)</f>
        <v>0</v>
      </c>
      <c r="L72" s="197">
        <f>IF(ISNUMBER(SEARCH('Карта учёта'!$B$20,Расходка[[#This Row],[Наименование расходного материала]])),MAX($L$1:L71)+1,0)</f>
        <v>0</v>
      </c>
      <c r="M72" s="197">
        <f>IF(ISNUMBER(SEARCH('Карта учёта'!$B$21,Расходка[[#This Row],[Наименование расходного материала]])),MAX($M$1:M71)+1,0)</f>
        <v>0</v>
      </c>
      <c r="N72" s="197">
        <f>IF(ISNUMBER(SEARCH('Карта учёта'!$B$22,Расходка[[#This Row],[Наименование расходного материала]])),MAX($N$1:N71)+1,0)</f>
        <v>71</v>
      </c>
      <c r="O72" s="197">
        <f>IF(ISNUMBER(SEARCH('Карта учёта'!$B$23,Расходка[[#This Row],[Наименование расходного материала]])),MAX($O$1:O71)+1,0)</f>
        <v>71</v>
      </c>
      <c r="P72" s="197">
        <f>IF(ISNUMBER(SEARCH('Карта учёта'!$B$24,Расходка[[#This Row],[Наименование расходного материала]])),MAX($P$1:P71)+1,0)</f>
        <v>71</v>
      </c>
      <c r="Q72" s="197">
        <f>IF(ISNUMBER(SEARCH('Карта учёта'!$B$25,Расходка[[#This Row],[Наименование расходного материала]])),MAX($Q$1:Q71)+1,0)</f>
        <v>71</v>
      </c>
      <c r="R72" s="198" t="str">
        <f>IFERROR(INDEX(Расходка[Наименование расходного материала],MATCH(Расходка[[#This Row],[№]],Поиск_расходки[Индекс1],0)),"")</f>
        <v/>
      </c>
      <c r="S72" s="198" t="str">
        <f>IFERROR(INDEX(Расходка[Наименование расходного материала],MATCH(Расходка[[#This Row],[№]],Поиск_расходки[Индекс2],0)),"")</f>
        <v/>
      </c>
      <c r="T72" s="198" t="str">
        <f>IFERROR(INDEX(Расходка[Наименование расходного материала],MATCH(Расходка[[#This Row],[№]],Поиск_расходки[Индекс3],0)),"")</f>
        <v/>
      </c>
      <c r="U72" s="198" t="str">
        <f>IFERROR(INDEX(Расходка[Наименование расходного материала],MATCH(Расходка[[#This Row],[№]],Поиск_расходки[Индекс4],0)),"")</f>
        <v/>
      </c>
      <c r="V72" s="198" t="str">
        <f>IFERROR(INDEX(Расходка[Наименование расходного материала],MATCH(Расходка[[#This Row],[№]],Поиск_расходки[Индекс5],0)),"")</f>
        <v/>
      </c>
      <c r="W72" s="198" t="str">
        <f>IFERROR(INDEX(Расходка[Наименование расходного материала],MATCH(Расходка[[#This Row],[№]],Поиск_расходки[Индекс6],0)),"")</f>
        <v/>
      </c>
      <c r="X72" s="198" t="str">
        <f>IFERROR(INDEX(Расходка[Наименование расходного материала],MATCH(Расходка[[#This Row],[№]],Поиск_расходки[Индекс7],0)),"")</f>
        <v/>
      </c>
      <c r="Y72" s="198" t="str">
        <f>IFERROR(INDEX(Расходка[Наименование расходного материала],MATCH(Расходка[[#This Row],[№]],Поиск_расходки[Индекс8],0)),"")</f>
        <v/>
      </c>
      <c r="Z72" s="198" t="str">
        <f>IFERROR(INDEX(Расходка[Наименование расходного материала],MATCH(Расходка[[#This Row],[№]],Поиск_расходки[Индекс9],0)),"")</f>
        <v/>
      </c>
      <c r="AA72" s="198" t="str">
        <f>IFERROR(INDEX(Расходка[Наименование расходного материала],MATCH(Расходка[[#This Row],[№]],Поиск_расходки[Индекс10],0)),"")</f>
        <v>Launcher 6F JR 3.5</v>
      </c>
      <c r="AB72" s="198" t="str">
        <f>IFERROR(INDEX(Расходка[Наименование расходного материала],MATCH(Расходка[[#This Row],[№]],Поиск_расходки[Индекс11],0)),"")</f>
        <v>Launcher 6F JR 3.5</v>
      </c>
      <c r="AC72" s="198" t="str">
        <f>IFERROR(INDEX(Расходка[Наименование расходного материала],MATCH(Расходка[[#This Row],[№]],Поиск_расходки[Индекс12],0)),"")</f>
        <v>Launcher 6F JR 3.5</v>
      </c>
      <c r="AD72" s="198" t="str">
        <f>IFERROR(INDEX(Расходка[Наименование расходного материала],MATCH(Расходка[[#This Row],[№]],Поиск_расходки[Индекс13],0)),"")</f>
        <v>Launcher 6F JR 3.5</v>
      </c>
      <c r="AF72" s="4" t="s">
        <v>6</v>
      </c>
      <c r="AG72" s="4" t="s">
        <v>463</v>
      </c>
    </row>
    <row r="73" spans="1:33">
      <c r="A73">
        <v>72</v>
      </c>
      <c r="B73" t="s">
        <v>4</v>
      </c>
      <c r="C73" t="s">
        <v>330</v>
      </c>
      <c r="E73" s="197">
        <f>IF(ISNUMBER(SEARCH('Карта учёта'!$B$13,Расходка[[#This Row],[Наименование расходного материала]])),MAX($E$1:E72)+1,0)</f>
        <v>0</v>
      </c>
      <c r="F73" s="197">
        <f>IF(ISNUMBER(SEARCH('Карта учёта'!$B$14,Расходка[[#This Row],[Наименование расходного материала]])),MAX($F$1:F72)+1,0)</f>
        <v>0</v>
      </c>
      <c r="G73" s="197">
        <f>IF(ISNUMBER(SEARCH('Карта учёта'!$B$15,Расходка[[#This Row],[Наименование расходного материала]])),MAX($G$1:G72)+1,0)</f>
        <v>0</v>
      </c>
      <c r="H73" s="197">
        <f>IF(ISNUMBER(SEARCH('Карта учёта'!$B$16,Расходка[[#This Row],[Наименование расходного материала]])),MAX($H$1:H72)+1,0)</f>
        <v>0</v>
      </c>
      <c r="I73" s="197">
        <f>IF(ISNUMBER(SEARCH('Карта учёта'!$B$17,Расходка[[#This Row],[Наименование расходного материала]])),MAX($I$1:I72)+1,0)</f>
        <v>1</v>
      </c>
      <c r="J73" s="197">
        <f>IF(ISNUMBER(SEARCH('Карта учёта'!$B$18,Расходка[[#This Row],[Наименование расходного материала]])),MAX($J$1:J72)+1,0)</f>
        <v>0</v>
      </c>
      <c r="K73" s="197">
        <f>IF(ISNUMBER(SEARCH('Карта учёта'!$B$19,Расходка[[#This Row],[Наименование расходного материала]])),MAX($K$1:K72)+1,0)</f>
        <v>0</v>
      </c>
      <c r="L73" s="197">
        <f>IF(ISNUMBER(SEARCH('Карта учёта'!$B$20,Расходка[[#This Row],[Наименование расходного материала]])),MAX($L$1:L72)+1,0)</f>
        <v>0</v>
      </c>
      <c r="M73" s="197">
        <f>IF(ISNUMBER(SEARCH('Карта учёта'!$B$21,Расходка[[#This Row],[Наименование расходного материала]])),MAX($M$1:M72)+1,0)</f>
        <v>0</v>
      </c>
      <c r="N73" s="197">
        <f>IF(ISNUMBER(SEARCH('Карта учёта'!$B$22,Расходка[[#This Row],[Наименование расходного материала]])),MAX($N$1:N72)+1,0)</f>
        <v>72</v>
      </c>
      <c r="O73" s="197">
        <f>IF(ISNUMBER(SEARCH('Карта учёта'!$B$23,Расходка[[#This Row],[Наименование расходного материала]])),MAX($O$1:O72)+1,0)</f>
        <v>72</v>
      </c>
      <c r="P73" s="197">
        <f>IF(ISNUMBER(SEARCH('Карта учёта'!$B$24,Расходка[[#This Row],[Наименование расходного материала]])),MAX($P$1:P72)+1,0)</f>
        <v>72</v>
      </c>
      <c r="Q73" s="197">
        <f>IF(ISNUMBER(SEARCH('Карта учёта'!$B$25,Расходка[[#This Row],[Наименование расходного материала]])),MAX($Q$1:Q72)+1,0)</f>
        <v>72</v>
      </c>
      <c r="R73" s="198" t="str">
        <f>IFERROR(INDEX(Расходка[Наименование расходного материала],MATCH(Расходка[[#This Row],[№]],Поиск_расходки[Индекс1],0)),"")</f>
        <v/>
      </c>
      <c r="S73" s="198" t="str">
        <f>IFERROR(INDEX(Расходка[Наименование расходного материала],MATCH(Расходка[[#This Row],[№]],Поиск_расходки[Индекс2],0)),"")</f>
        <v/>
      </c>
      <c r="T73" s="198" t="str">
        <f>IFERROR(INDEX(Расходка[Наименование расходного материала],MATCH(Расходка[[#This Row],[№]],Поиск_расходки[Индекс3],0)),"")</f>
        <v/>
      </c>
      <c r="U73" s="198" t="str">
        <f>IFERROR(INDEX(Расходка[Наименование расходного материала],MATCH(Расходка[[#This Row],[№]],Поиск_расходки[Индекс4],0)),"")</f>
        <v/>
      </c>
      <c r="V73" s="198" t="str">
        <f>IFERROR(INDEX(Расходка[Наименование расходного материала],MATCH(Расходка[[#This Row],[№]],Поиск_расходки[Индекс5],0)),"")</f>
        <v/>
      </c>
      <c r="W73" s="198" t="str">
        <f>IFERROR(INDEX(Расходка[Наименование расходного материала],MATCH(Расходка[[#This Row],[№]],Поиск_расходки[Индекс6],0)),"")</f>
        <v/>
      </c>
      <c r="X73" s="198" t="str">
        <f>IFERROR(INDEX(Расходка[Наименование расходного материала],MATCH(Расходка[[#This Row],[№]],Поиск_расходки[Индекс7],0)),"")</f>
        <v/>
      </c>
      <c r="Y73" s="198" t="str">
        <f>IFERROR(INDEX(Расходка[Наименование расходного материала],MATCH(Расходка[[#This Row],[№]],Поиск_расходки[Индекс8],0)),"")</f>
        <v/>
      </c>
      <c r="Z73" s="198" t="str">
        <f>IFERROR(INDEX(Расходка[Наименование расходного материала],MATCH(Расходка[[#This Row],[№]],Поиск_расходки[Индекс9],0)),"")</f>
        <v/>
      </c>
      <c r="AA73" s="198" t="str">
        <f>IFERROR(INDEX(Расходка[Наименование расходного материала],MATCH(Расходка[[#This Row],[№]],Поиск_расходки[Индекс10],0)),"")</f>
        <v>Launcher 6F JR 4.0</v>
      </c>
      <c r="AB73" s="198" t="str">
        <f>IFERROR(INDEX(Расходка[Наименование расходного материала],MATCH(Расходка[[#This Row],[№]],Поиск_расходки[Индекс11],0)),"")</f>
        <v>Launcher 6F JR 4.0</v>
      </c>
      <c r="AC73" s="198" t="str">
        <f>IFERROR(INDEX(Расходка[Наименование расходного материала],MATCH(Расходка[[#This Row],[№]],Поиск_расходки[Индекс12],0)),"")</f>
        <v>Launcher 6F JR 4.0</v>
      </c>
      <c r="AD73" s="198" t="str">
        <f>IFERROR(INDEX(Расходка[Наименование расходного материала],MATCH(Расходка[[#This Row],[№]],Поиск_расходки[Индекс13],0)),"")</f>
        <v>Launcher 6F JR 4.0</v>
      </c>
      <c r="AF73" s="4" t="s">
        <v>6</v>
      </c>
      <c r="AG73" s="4" t="s">
        <v>418</v>
      </c>
    </row>
    <row r="74" spans="1:33">
      <c r="A74">
        <v>73</v>
      </c>
      <c r="B74" t="s">
        <v>4</v>
      </c>
      <c r="C74" t="s">
        <v>340</v>
      </c>
      <c r="E74" s="197">
        <f>IF(ISNUMBER(SEARCH('Карта учёта'!$B$13,Расходка[[#This Row],[Наименование расходного материала]])),MAX($E$1:E73)+1,0)</f>
        <v>0</v>
      </c>
      <c r="F74" s="197">
        <f>IF(ISNUMBER(SEARCH('Карта учёта'!$B$14,Расходка[[#This Row],[Наименование расходного материала]])),MAX($F$1:F73)+1,0)</f>
        <v>0</v>
      </c>
      <c r="G74" s="197">
        <f>IF(ISNUMBER(SEARCH('Карта учёта'!$B$15,Расходка[[#This Row],[Наименование расходного материала]])),MAX($G$1:G73)+1,0)</f>
        <v>0</v>
      </c>
      <c r="H74" s="197">
        <f>IF(ISNUMBER(SEARCH('Карта учёта'!$B$16,Расходка[[#This Row],[Наименование расходного материала]])),MAX($H$1:H73)+1,0)</f>
        <v>0</v>
      </c>
      <c r="I74" s="197">
        <f>IF(ISNUMBER(SEARCH('Карта учёта'!$B$17,Расходка[[#This Row],[Наименование расходного материала]])),MAX($I$1:I73)+1,0)</f>
        <v>0</v>
      </c>
      <c r="J74" s="197">
        <f>IF(ISNUMBER(SEARCH('Карта учёта'!$B$18,Расходка[[#This Row],[Наименование расходного материала]])),MAX($J$1:J73)+1,0)</f>
        <v>0</v>
      </c>
      <c r="K74" s="197">
        <f>IF(ISNUMBER(SEARCH('Карта учёта'!$B$19,Расходка[[#This Row],[Наименование расходного материала]])),MAX($K$1:K73)+1,0)</f>
        <v>0</v>
      </c>
      <c r="L74" s="197">
        <f>IF(ISNUMBER(SEARCH('Карта учёта'!$B$20,Расходка[[#This Row],[Наименование расходного материала]])),MAX($L$1:L73)+1,0)</f>
        <v>0</v>
      </c>
      <c r="M74" s="197">
        <f>IF(ISNUMBER(SEARCH('Карта учёта'!$B$21,Расходка[[#This Row],[Наименование расходного материала]])),MAX($M$1:M73)+1,0)</f>
        <v>0</v>
      </c>
      <c r="N74" s="197">
        <f>IF(ISNUMBER(SEARCH('Карта учёта'!$B$22,Расходка[[#This Row],[Наименование расходного материала]])),MAX($N$1:N73)+1,0)</f>
        <v>73</v>
      </c>
      <c r="O74" s="197">
        <f>IF(ISNUMBER(SEARCH('Карта учёта'!$B$23,Расходка[[#This Row],[Наименование расходного материала]])),MAX($O$1:O73)+1,0)</f>
        <v>73</v>
      </c>
      <c r="P74" s="197">
        <f>IF(ISNUMBER(SEARCH('Карта учёта'!$B$24,Расходка[[#This Row],[Наименование расходного материала]])),MAX($P$1:P73)+1,0)</f>
        <v>73</v>
      </c>
      <c r="Q74" s="197">
        <f>IF(ISNUMBER(SEARCH('Карта учёта'!$B$25,Расходка[[#This Row],[Наименование расходного материала]])),MAX($Q$1:Q73)+1,0)</f>
        <v>73</v>
      </c>
      <c r="R74" s="198" t="str">
        <f>IFERROR(INDEX(Расходка[Наименование расходного материала],MATCH(Расходка[[#This Row],[№]],Поиск_расходки[Индекс1],0)),"")</f>
        <v/>
      </c>
      <c r="S74" s="198" t="str">
        <f>IFERROR(INDEX(Расходка[Наименование расходного материала],MATCH(Расходка[[#This Row],[№]],Поиск_расходки[Индекс2],0)),"")</f>
        <v/>
      </c>
      <c r="T74" s="198" t="str">
        <f>IFERROR(INDEX(Расходка[Наименование расходного материала],MATCH(Расходка[[#This Row],[№]],Поиск_расходки[Индекс3],0)),"")</f>
        <v/>
      </c>
      <c r="U74" s="198" t="str">
        <f>IFERROR(INDEX(Расходка[Наименование расходного материала],MATCH(Расходка[[#This Row],[№]],Поиск_расходки[Индекс4],0)),"")</f>
        <v/>
      </c>
      <c r="V74" s="198" t="str">
        <f>IFERROR(INDEX(Расходка[Наименование расходного материала],MATCH(Расходка[[#This Row],[№]],Поиск_расходки[Индекс5],0)),"")</f>
        <v/>
      </c>
      <c r="W74" s="198" t="str">
        <f>IFERROR(INDEX(Расходка[Наименование расходного материала],MATCH(Расходка[[#This Row],[№]],Поиск_расходки[Индекс6],0)),"")</f>
        <v/>
      </c>
      <c r="X74" s="198" t="str">
        <f>IFERROR(INDEX(Расходка[Наименование расходного материала],MATCH(Расходка[[#This Row],[№]],Поиск_расходки[Индекс7],0)),"")</f>
        <v/>
      </c>
      <c r="Y74" s="198" t="str">
        <f>IFERROR(INDEX(Расходка[Наименование расходного материала],MATCH(Расходка[[#This Row],[№]],Поиск_расходки[Индекс8],0)),"")</f>
        <v/>
      </c>
      <c r="Z74" s="198" t="str">
        <f>IFERROR(INDEX(Расходка[Наименование расходного материала],MATCH(Расходка[[#This Row],[№]],Поиск_расходки[Индекс9],0)),"")</f>
        <v/>
      </c>
      <c r="AA74" s="198" t="str">
        <f>IFERROR(INDEX(Расходка[Наименование расходного материала],MATCH(Расходка[[#This Row],[№]],Поиск_расходки[Индекс10],0)),"")</f>
        <v>Launcher 7F JL 3.5</v>
      </c>
      <c r="AB74" s="198" t="str">
        <f>IFERROR(INDEX(Расходка[Наименование расходного материала],MATCH(Расходка[[#This Row],[№]],Поиск_расходки[Индекс11],0)),"")</f>
        <v>Launcher 7F JL 3.5</v>
      </c>
      <c r="AC74" s="198" t="str">
        <f>IFERROR(INDEX(Расходка[Наименование расходного материала],MATCH(Расходка[[#This Row],[№]],Поиск_расходки[Индекс12],0)),"")</f>
        <v>Launcher 7F JL 3.5</v>
      </c>
      <c r="AD74" s="198" t="str">
        <f>IFERROR(INDEX(Расходка[Наименование расходного материала],MATCH(Расходка[[#This Row],[№]],Поиск_расходки[Индекс13],0)),"")</f>
        <v>Launcher 7F JL 3.5</v>
      </c>
      <c r="AF74" s="4" t="s">
        <v>6</v>
      </c>
      <c r="AG74" s="4" t="s">
        <v>464</v>
      </c>
    </row>
    <row r="75" spans="1:33">
      <c r="A75">
        <v>74</v>
      </c>
      <c r="B75" t="s">
        <v>4</v>
      </c>
      <c r="C75" t="s">
        <v>339</v>
      </c>
      <c r="E75" s="197">
        <f>IF(ISNUMBER(SEARCH('Карта учёта'!$B$13,Расходка[[#This Row],[Наименование расходного материала]])),MAX($E$1:E74)+1,0)</f>
        <v>0</v>
      </c>
      <c r="F75" s="197">
        <f>IF(ISNUMBER(SEARCH('Карта учёта'!$B$14,Расходка[[#This Row],[Наименование расходного материала]])),MAX($F$1:F74)+1,0)</f>
        <v>0</v>
      </c>
      <c r="G75" s="197">
        <f>IF(ISNUMBER(SEARCH('Карта учёта'!$B$15,Расходка[[#This Row],[Наименование расходного материала]])),MAX($G$1:G74)+1,0)</f>
        <v>0</v>
      </c>
      <c r="H75" s="197">
        <f>IF(ISNUMBER(SEARCH('Карта учёта'!$B$16,Расходка[[#This Row],[Наименование расходного материала]])),MAX($H$1:H74)+1,0)</f>
        <v>0</v>
      </c>
      <c r="I75" s="197">
        <f>IF(ISNUMBER(SEARCH('Карта учёта'!$B$17,Расходка[[#This Row],[Наименование расходного материала]])),MAX($I$1:I74)+1,0)</f>
        <v>0</v>
      </c>
      <c r="J75" s="197">
        <f>IF(ISNUMBER(SEARCH('Карта учёта'!$B$18,Расходка[[#This Row],[Наименование расходного материала]])),MAX($J$1:J74)+1,0)</f>
        <v>0</v>
      </c>
      <c r="K75" s="197">
        <f>IF(ISNUMBER(SEARCH('Карта учёта'!$B$19,Расходка[[#This Row],[Наименование расходного материала]])),MAX($K$1:K74)+1,0)</f>
        <v>0</v>
      </c>
      <c r="L75" s="197">
        <f>IF(ISNUMBER(SEARCH('Карта учёта'!$B$20,Расходка[[#This Row],[Наименование расходного материала]])),MAX($L$1:L74)+1,0)</f>
        <v>0</v>
      </c>
      <c r="M75" s="197">
        <f>IF(ISNUMBER(SEARCH('Карта учёта'!$B$21,Расходка[[#This Row],[Наименование расходного материала]])),MAX($M$1:M74)+1,0)</f>
        <v>0</v>
      </c>
      <c r="N75" s="197">
        <f>IF(ISNUMBER(SEARCH('Карта учёта'!$B$22,Расходка[[#This Row],[Наименование расходного материала]])),MAX($N$1:N74)+1,0)</f>
        <v>74</v>
      </c>
      <c r="O75" s="197">
        <f>IF(ISNUMBER(SEARCH('Карта учёта'!$B$23,Расходка[[#This Row],[Наименование расходного материала]])),MAX($O$1:O74)+1,0)</f>
        <v>74</v>
      </c>
      <c r="P75" s="197">
        <f>IF(ISNUMBER(SEARCH('Карта учёта'!$B$24,Расходка[[#This Row],[Наименование расходного материала]])),MAX($P$1:P74)+1,0)</f>
        <v>74</v>
      </c>
      <c r="Q75" s="197">
        <f>IF(ISNUMBER(SEARCH('Карта учёта'!$B$25,Расходка[[#This Row],[Наименование расходного материала]])),MAX($Q$1:Q74)+1,0)</f>
        <v>74</v>
      </c>
      <c r="R75" s="198" t="str">
        <f>IFERROR(INDEX(Расходка[Наименование расходного материала],MATCH(Расходка[[#This Row],[№]],Поиск_расходки[Индекс1],0)),"")</f>
        <v/>
      </c>
      <c r="S75" s="198" t="str">
        <f>IFERROR(INDEX(Расходка[Наименование расходного материала],MATCH(Расходка[[#This Row],[№]],Поиск_расходки[Индекс2],0)),"")</f>
        <v/>
      </c>
      <c r="T75" s="198" t="str">
        <f>IFERROR(INDEX(Расходка[Наименование расходного материала],MATCH(Расходка[[#This Row],[№]],Поиск_расходки[Индекс3],0)),"")</f>
        <v/>
      </c>
      <c r="U75" s="198" t="str">
        <f>IFERROR(INDEX(Расходка[Наименование расходного материала],MATCH(Расходка[[#This Row],[№]],Поиск_расходки[Индекс4],0)),"")</f>
        <v/>
      </c>
      <c r="V75" s="198" t="str">
        <f>IFERROR(INDEX(Расходка[Наименование расходного материала],MATCH(Расходка[[#This Row],[№]],Поиск_расходки[Индекс5],0)),"")</f>
        <v/>
      </c>
      <c r="W75" s="198" t="str">
        <f>IFERROR(INDEX(Расходка[Наименование расходного материала],MATCH(Расходка[[#This Row],[№]],Поиск_расходки[Индекс6],0)),"")</f>
        <v/>
      </c>
      <c r="X75" s="198" t="str">
        <f>IFERROR(INDEX(Расходка[Наименование расходного материала],MATCH(Расходка[[#This Row],[№]],Поиск_расходки[Индекс7],0)),"")</f>
        <v/>
      </c>
      <c r="Y75" s="198" t="str">
        <f>IFERROR(INDEX(Расходка[Наименование расходного материала],MATCH(Расходка[[#This Row],[№]],Поиск_расходки[Индекс8],0)),"")</f>
        <v/>
      </c>
      <c r="Z75" s="198" t="str">
        <f>IFERROR(INDEX(Расходка[Наименование расходного материала],MATCH(Расходка[[#This Row],[№]],Поиск_расходки[Индекс9],0)),"")</f>
        <v/>
      </c>
      <c r="AA75" s="198" t="str">
        <f>IFERROR(INDEX(Расходка[Наименование расходного материала],MATCH(Расходка[[#This Row],[№]],Поиск_расходки[Индекс10],0)),"")</f>
        <v>Launcher 7F JL 4.0</v>
      </c>
      <c r="AB75" s="198" t="str">
        <f>IFERROR(INDEX(Расходка[Наименование расходного материала],MATCH(Расходка[[#This Row],[№]],Поиск_расходки[Индекс11],0)),"")</f>
        <v>Launcher 7F JL 4.0</v>
      </c>
      <c r="AC75" s="198" t="str">
        <f>IFERROR(INDEX(Расходка[Наименование расходного материала],MATCH(Расходка[[#This Row],[№]],Поиск_расходки[Индекс12],0)),"")</f>
        <v>Launcher 7F JL 4.0</v>
      </c>
      <c r="AD75" s="198" t="str">
        <f>IFERROR(INDEX(Расходка[Наименование расходного материала],MATCH(Расходка[[#This Row],[№]],Поиск_расходки[Индекс13],0)),"")</f>
        <v>Launcher 7F JL 4.0</v>
      </c>
      <c r="AF75" s="4" t="s">
        <v>6</v>
      </c>
      <c r="AG75" s="4" t="s">
        <v>465</v>
      </c>
    </row>
    <row r="76" spans="1:33">
      <c r="A76">
        <v>75</v>
      </c>
      <c r="B76" t="s">
        <v>301</v>
      </c>
      <c r="C76" s="1" t="s">
        <v>331</v>
      </c>
      <c r="E76" s="197">
        <f>IF(ISNUMBER(SEARCH('Карта учёта'!$B$13,Расходка[[#This Row],[Наименование расходного материала]])),MAX($E$1:E75)+1,0)</f>
        <v>0</v>
      </c>
      <c r="F76" s="197">
        <f>IF(ISNUMBER(SEARCH('Карта учёта'!$B$14,Расходка[[#This Row],[Наименование расходного материала]])),MAX($F$1:F75)+1,0)</f>
        <v>0</v>
      </c>
      <c r="G76" s="197">
        <f>IF(ISNUMBER(SEARCH('Карта учёта'!$B$15,Расходка[[#This Row],[Наименование расходного материала]])),MAX($G$1:G75)+1,0)</f>
        <v>0</v>
      </c>
      <c r="H76" s="197">
        <f>IF(ISNUMBER(SEARCH('Карта учёта'!$B$16,Расходка[[#This Row],[Наименование расходного материала]])),MAX($H$1:H75)+1,0)</f>
        <v>0</v>
      </c>
      <c r="I76" s="197">
        <f>IF(ISNUMBER(SEARCH('Карта учёта'!$B$17,Расходка[[#This Row],[Наименование расходного материала]])),MAX($I$1:I75)+1,0)</f>
        <v>0</v>
      </c>
      <c r="J76" s="197">
        <f>IF(ISNUMBER(SEARCH('Карта учёта'!$B$18,Расходка[[#This Row],[Наименование расходного материала]])),MAX($J$1:J75)+1,0)</f>
        <v>0</v>
      </c>
      <c r="K76" s="197">
        <f>IF(ISNUMBER(SEARCH('Карта учёта'!$B$19,Расходка[[#This Row],[Наименование расходного материала]])),MAX($K$1:K75)+1,0)</f>
        <v>0</v>
      </c>
      <c r="L76" s="197">
        <f>IF(ISNUMBER(SEARCH('Карта учёта'!$B$20,Расходка[[#This Row],[Наименование расходного материала]])),MAX($L$1:L75)+1,0)</f>
        <v>0</v>
      </c>
      <c r="M76" s="197">
        <f>IF(ISNUMBER(SEARCH('Карта учёта'!$B$21,Расходка[[#This Row],[Наименование расходного материала]])),MAX($M$1:M75)+1,0)</f>
        <v>0</v>
      </c>
      <c r="N76" s="197">
        <f>IF(ISNUMBER(SEARCH('Карта учёта'!$B$22,Расходка[[#This Row],[Наименование расходного материала]])),MAX($N$1:N75)+1,0)</f>
        <v>75</v>
      </c>
      <c r="O76" s="197">
        <f>IF(ISNUMBER(SEARCH('Карта учёта'!$B$23,Расходка[[#This Row],[Наименование расходного материала]])),MAX($O$1:O75)+1,0)</f>
        <v>75</v>
      </c>
      <c r="P76" s="197">
        <f>IF(ISNUMBER(SEARCH('Карта учёта'!$B$24,Расходка[[#This Row],[Наименование расходного материала]])),MAX($P$1:P75)+1,0)</f>
        <v>75</v>
      </c>
      <c r="Q76" s="197">
        <f>IF(ISNUMBER(SEARCH('Карта учёта'!$B$25,Расходка[[#This Row],[Наименование расходного материала]])),MAX($Q$1:Q75)+1,0)</f>
        <v>75</v>
      </c>
      <c r="R76" s="198" t="str">
        <f>IFERROR(INDEX(Расходка[Наименование расходного материала],MATCH(Расходка[[#This Row],[№]],Поиск_расходки[Индекс1],0)),"")</f>
        <v/>
      </c>
      <c r="S76" s="198" t="str">
        <f>IFERROR(INDEX(Расходка[Наименование расходного материала],MATCH(Расходка[[#This Row],[№]],Поиск_расходки[Индекс2],0)),"")</f>
        <v/>
      </c>
      <c r="T76" s="198" t="str">
        <f>IFERROR(INDEX(Расходка[Наименование расходного материала],MATCH(Расходка[[#This Row],[№]],Поиск_расходки[Индекс3],0)),"")</f>
        <v/>
      </c>
      <c r="U76" s="198" t="str">
        <f>IFERROR(INDEX(Расходка[Наименование расходного материала],MATCH(Расходка[[#This Row],[№]],Поиск_расходки[Индекс4],0)),"")</f>
        <v/>
      </c>
      <c r="V76" s="198" t="str">
        <f>IFERROR(INDEX(Расходка[Наименование расходного материала],MATCH(Расходка[[#This Row],[№]],Поиск_расходки[Индекс5],0)),"")</f>
        <v/>
      </c>
      <c r="W76" s="198" t="str">
        <f>IFERROR(INDEX(Расходка[Наименование расходного материала],MATCH(Расходка[[#This Row],[№]],Поиск_расходки[Индекс6],0)),"")</f>
        <v/>
      </c>
      <c r="X76" s="198" t="str">
        <f>IFERROR(INDEX(Расходка[Наименование расходного материала],MATCH(Расходка[[#This Row],[№]],Поиск_расходки[Индекс7],0)),"")</f>
        <v/>
      </c>
      <c r="Y76" s="198" t="str">
        <f>IFERROR(INDEX(Расходка[Наименование расходного материала],MATCH(Расходка[[#This Row],[№]],Поиск_расходки[Индекс8],0)),"")</f>
        <v/>
      </c>
      <c r="Z76" s="198" t="str">
        <f>IFERROR(INDEX(Расходка[Наименование расходного материала],MATCH(Расходка[[#This Row],[№]],Поиск_расходки[Индекс9],0)),"")</f>
        <v/>
      </c>
      <c r="AA76" s="198" t="str">
        <f>IFERROR(INDEX(Расходка[Наименование расходного материала],MATCH(Расходка[[#This Row],[№]],Поиск_расходки[Индекс10],0)),"")</f>
        <v>Angio-Seal™ VIP</v>
      </c>
      <c r="AB76" s="198" t="str">
        <f>IFERROR(INDEX(Расходка[Наименование расходного материала],MATCH(Расходка[[#This Row],[№]],Поиск_расходки[Индекс11],0)),"")</f>
        <v>Angio-Seal™ VIP</v>
      </c>
      <c r="AC76" s="198" t="str">
        <f>IFERROR(INDEX(Расходка[Наименование расходного материала],MATCH(Расходка[[#This Row],[№]],Поиск_расходки[Индекс12],0)),"")</f>
        <v>Angio-Seal™ VIP</v>
      </c>
      <c r="AD76" s="198" t="str">
        <f>IFERROR(INDEX(Расходка[Наименование расходного материала],MATCH(Расходка[[#This Row],[№]],Поиск_расходки[Индекс13],0)),"")</f>
        <v>Angio-Seal™ VIP</v>
      </c>
      <c r="AF76" s="4" t="s">
        <v>6</v>
      </c>
      <c r="AG76" s="4" t="s">
        <v>466</v>
      </c>
    </row>
    <row r="77" spans="1:33">
      <c r="E77" s="197">
        <f>IF(ISNUMBER(SEARCH('Карта учёта'!$B$13,Расходка[[#This Row],[Наименование расходного материала]])),MAX($E$1:E76)+1,0)</f>
        <v>0</v>
      </c>
      <c r="F77" s="197">
        <f>IF(ISNUMBER(SEARCH('Карта учёта'!$B$14,Расходка[[#This Row],[Наименование расходного материала]])),MAX($F$1:F76)+1,0)</f>
        <v>0</v>
      </c>
      <c r="G77" s="197">
        <f>IF(ISNUMBER(SEARCH('Карта учёта'!$B$15,Расходка[[#This Row],[Наименование расходного материала]])),MAX($G$1:G76)+1,0)</f>
        <v>0</v>
      </c>
      <c r="H77" s="197">
        <f>IF(ISNUMBER(SEARCH('Карта учёта'!$B$16,Расходка[[#This Row],[Наименование расходного материала]])),MAX($H$1:H76)+1,0)</f>
        <v>0</v>
      </c>
      <c r="I77" s="197">
        <f>IF(ISNUMBER(SEARCH('Карта учёта'!$B$17,Расходка[[#This Row],[Наименование расходного материала]])),MAX($I$1:I76)+1,0)</f>
        <v>0</v>
      </c>
      <c r="J77" s="197">
        <f>IF(ISNUMBER(SEARCH('Карта учёта'!$B$18,Расходка[[#This Row],[Наименование расходного материала]])),MAX($J$1:J76)+1,0)</f>
        <v>0</v>
      </c>
      <c r="K77" s="197">
        <f>IF(ISNUMBER(SEARCH('Карта учёта'!$B$19,Расходка[[#This Row],[Наименование расходного материала]])),MAX($K$1:K76)+1,0)</f>
        <v>0</v>
      </c>
      <c r="L77" s="197">
        <f>IF(ISNUMBER(SEARCH('Карта учёта'!$B$20,Расходка[[#This Row],[Наименование расходного материала]])),MAX($L$1:L76)+1,0)</f>
        <v>0</v>
      </c>
      <c r="M77" s="197">
        <f>IF(ISNUMBER(SEARCH('Карта учёта'!$B$21,Расходка[[#This Row],[Наименование расходного материала]])),MAX($M$1:M76)+1,0)</f>
        <v>0</v>
      </c>
      <c r="N77" s="197">
        <f>IF(ISNUMBER(SEARCH('Карта учёта'!$B$22,Расходка[[#This Row],[Наименование расходного материала]])),MAX($N$1:N76)+1,0)</f>
        <v>0</v>
      </c>
      <c r="O77" s="197">
        <f>IF(ISNUMBER(SEARCH('Карта учёта'!$B$23,Расходка[[#This Row],[Наименование расходного материала]])),MAX($O$1:O76)+1,0)</f>
        <v>0</v>
      </c>
      <c r="P77" s="197">
        <f>IF(ISNUMBER(SEARCH('Карта учёта'!$B$24,Расходка[[#This Row],[Наименование расходного материала]])),MAX($P$1:P76)+1,0)</f>
        <v>0</v>
      </c>
      <c r="Q77" s="197">
        <f>IF(ISNUMBER(SEARCH('Карта учёта'!$B$25,Расходка[[#This Row],[Наименование расходного материала]])),MAX($Q$1:Q76)+1,0)</f>
        <v>0</v>
      </c>
      <c r="R77" s="198" t="str">
        <f>IFERROR(INDEX(Расходка[Наименование расходного материала],MATCH(Расходка[[#This Row],[№]],Поиск_расходки[Индекс1],0)),"")</f>
        <v/>
      </c>
      <c r="S77" s="198" t="str">
        <f>IFERROR(INDEX(Расходка[Наименование расходного материала],MATCH(Расходка[[#This Row],[№]],Поиск_расходки[Индекс2],0)),"")</f>
        <v/>
      </c>
      <c r="T77" s="198" t="str">
        <f>IFERROR(INDEX(Расходка[Наименование расходного материала],MATCH(Расходка[[#This Row],[№]],Поиск_расходки[Индекс3],0)),"")</f>
        <v/>
      </c>
      <c r="U77" s="198" t="str">
        <f>IFERROR(INDEX(Расходка[Наименование расходного материала],MATCH(Расходка[[#This Row],[№]],Поиск_расходки[Индекс4],0)),"")</f>
        <v/>
      </c>
      <c r="V77" s="198" t="str">
        <f>IFERROR(INDEX(Расходка[Наименование расходного материала],MATCH(Расходка[[#This Row],[№]],Поиск_расходки[Индекс5],0)),"")</f>
        <v/>
      </c>
      <c r="W77" s="198" t="str">
        <f>IFERROR(INDEX(Расходка[Наименование расходного материала],MATCH(Расходка[[#This Row],[№]],Поиск_расходки[Индекс6],0)),"")</f>
        <v/>
      </c>
      <c r="X77" s="198" t="str">
        <f>IFERROR(INDEX(Расходка[Наименование расходного материала],MATCH(Расходка[[#This Row],[№]],Поиск_расходки[Индекс7],0)),"")</f>
        <v/>
      </c>
      <c r="Y77" s="198" t="str">
        <f>IFERROR(INDEX(Расходка[Наименование расходного материала],MATCH(Расходка[[#This Row],[№]],Поиск_расходки[Индекс8],0)),"")</f>
        <v/>
      </c>
      <c r="Z77" s="198" t="str">
        <f>IFERROR(INDEX(Расходка[Наименование расходного материала],MATCH(Расходка[[#This Row],[№]],Поиск_расходки[Индекс9],0)),"")</f>
        <v/>
      </c>
      <c r="AA77" s="198" t="str">
        <f>IFERROR(INDEX(Расходка[Наименование расходного материала],MATCH(Расходка[[#This Row],[№]],Поиск_расходки[Индекс10],0)),"")</f>
        <v/>
      </c>
      <c r="AB77" s="198" t="str">
        <f>IFERROR(INDEX(Расходка[Наименование расходного материала],MATCH(Расходка[[#This Row],[№]],Поиск_расходки[Индекс11],0)),"")</f>
        <v/>
      </c>
      <c r="AC77" s="198" t="str">
        <f>IFERROR(INDEX(Расходка[Наименование расходного материала],MATCH(Расходка[[#This Row],[№]],Поиск_расходки[Индекс12],0)),"")</f>
        <v/>
      </c>
      <c r="AD77" s="198" t="str">
        <f>IFERROR(INDEX(Расходка[Наименование расходного материала],MATCH(Расходка[[#This Row],[№]],Поиск_расходки[Индекс13],0)),"")</f>
        <v/>
      </c>
      <c r="AF77" s="4" t="s">
        <v>6</v>
      </c>
      <c r="AG77" s="4" t="s">
        <v>467</v>
      </c>
    </row>
    <row r="78" spans="1:33">
      <c r="E78" s="197">
        <f>IF(ISNUMBER(SEARCH('Карта учёта'!$B$13,Расходка[[#This Row],[Наименование расходного материала]])),MAX($E$1:E77)+1,0)</f>
        <v>0</v>
      </c>
      <c r="F78" s="197">
        <f>IF(ISNUMBER(SEARCH('Карта учёта'!$B$14,Расходка[[#This Row],[Наименование расходного материала]])),MAX($F$1:F77)+1,0)</f>
        <v>0</v>
      </c>
      <c r="G78" s="197">
        <f>IF(ISNUMBER(SEARCH('Карта учёта'!$B$15,Расходка[[#This Row],[Наименование расходного материала]])),MAX($G$1:G77)+1,0)</f>
        <v>0</v>
      </c>
      <c r="H78" s="197">
        <f>IF(ISNUMBER(SEARCH('Карта учёта'!$B$16,Расходка[[#This Row],[Наименование расходного материала]])),MAX($H$1:H77)+1,0)</f>
        <v>0</v>
      </c>
      <c r="I78" s="197">
        <f>IF(ISNUMBER(SEARCH('Карта учёта'!$B$17,Расходка[[#This Row],[Наименование расходного материала]])),MAX($I$1:I77)+1,0)</f>
        <v>0</v>
      </c>
      <c r="J78" s="197">
        <f>IF(ISNUMBER(SEARCH('Карта учёта'!$B$18,Расходка[[#This Row],[Наименование расходного материала]])),MAX($J$1:J77)+1,0)</f>
        <v>0</v>
      </c>
      <c r="K78" s="197">
        <f>IF(ISNUMBER(SEARCH('Карта учёта'!$B$19,Расходка[[#This Row],[Наименование расходного материала]])),MAX($K$1:K77)+1,0)</f>
        <v>0</v>
      </c>
      <c r="L78" s="197">
        <f>IF(ISNUMBER(SEARCH('Карта учёта'!$B$20,Расходка[[#This Row],[Наименование расходного материала]])),MAX($L$1:L77)+1,0)</f>
        <v>0</v>
      </c>
      <c r="M78" s="197">
        <f>IF(ISNUMBER(SEARCH('Карта учёта'!$B$21,Расходка[[#This Row],[Наименование расходного материала]])),MAX($M$1:M77)+1,0)</f>
        <v>0</v>
      </c>
      <c r="N78" s="197">
        <f>IF(ISNUMBER(SEARCH('Карта учёта'!$B$22,Расходка[[#This Row],[Наименование расходного материала]])),MAX($N$1:N77)+1,0)</f>
        <v>0</v>
      </c>
      <c r="O78" s="197">
        <f>IF(ISNUMBER(SEARCH('Карта учёта'!$B$23,Расходка[[#This Row],[Наименование расходного материала]])),MAX($O$1:O77)+1,0)</f>
        <v>0</v>
      </c>
      <c r="P78" s="197">
        <f>IF(ISNUMBER(SEARCH('Карта учёта'!$B$24,Расходка[[#This Row],[Наименование расходного материала]])),MAX($P$1:P77)+1,0)</f>
        <v>0</v>
      </c>
      <c r="Q78" s="197">
        <f>IF(ISNUMBER(SEARCH('Карта учёта'!$B$25,Расходка[[#This Row],[Наименование расходного материала]])),MAX($Q$1:Q77)+1,0)</f>
        <v>0</v>
      </c>
      <c r="R78" s="198" t="str">
        <f>IFERROR(INDEX(Расходка[Наименование расходного материала],MATCH(Расходка[[#This Row],[№]],Поиск_расходки[Индекс1],0)),"")</f>
        <v/>
      </c>
      <c r="S78" s="198" t="str">
        <f>IFERROR(INDEX(Расходка[Наименование расходного материала],MATCH(Расходка[[#This Row],[№]],Поиск_расходки[Индекс2],0)),"")</f>
        <v/>
      </c>
      <c r="T78" s="198" t="str">
        <f>IFERROR(INDEX(Расходка[Наименование расходного материала],MATCH(Расходка[[#This Row],[№]],Поиск_расходки[Индекс3],0)),"")</f>
        <v/>
      </c>
      <c r="U78" s="198" t="str">
        <f>IFERROR(INDEX(Расходка[Наименование расходного материала],MATCH(Расходка[[#This Row],[№]],Поиск_расходки[Индекс4],0)),"")</f>
        <v/>
      </c>
      <c r="V78" s="198" t="str">
        <f>IFERROR(INDEX(Расходка[Наименование расходного материала],MATCH(Расходка[[#This Row],[№]],Поиск_расходки[Индекс5],0)),"")</f>
        <v/>
      </c>
      <c r="W78" s="198" t="str">
        <f>IFERROR(INDEX(Расходка[Наименование расходного материала],MATCH(Расходка[[#This Row],[№]],Поиск_расходки[Индекс6],0)),"")</f>
        <v/>
      </c>
      <c r="X78" s="198" t="str">
        <f>IFERROR(INDEX(Расходка[Наименование расходного материала],MATCH(Расходка[[#This Row],[№]],Поиск_расходки[Индекс7],0)),"")</f>
        <v/>
      </c>
      <c r="Y78" s="198" t="str">
        <f>IFERROR(INDEX(Расходка[Наименование расходного материала],MATCH(Расходка[[#This Row],[№]],Поиск_расходки[Индекс8],0)),"")</f>
        <v/>
      </c>
      <c r="Z78" s="198" t="str">
        <f>IFERROR(INDEX(Расходка[Наименование расходного материала],MATCH(Расходка[[#This Row],[№]],Поиск_расходки[Индекс9],0)),"")</f>
        <v/>
      </c>
      <c r="AA78" s="198" t="str">
        <f>IFERROR(INDEX(Расходка[Наименование расходного материала],MATCH(Расходка[[#This Row],[№]],Поиск_расходки[Индекс10],0)),"")</f>
        <v/>
      </c>
      <c r="AB78" s="198" t="str">
        <f>IFERROR(INDEX(Расходка[Наименование расходного материала],MATCH(Расходка[[#This Row],[№]],Поиск_расходки[Индекс11],0)),"")</f>
        <v/>
      </c>
      <c r="AC78" s="198" t="str">
        <f>IFERROR(INDEX(Расходка[Наименование расходного материала],MATCH(Расходка[[#This Row],[№]],Поиск_расходки[Индекс12],0)),"")</f>
        <v/>
      </c>
      <c r="AD78" s="198" t="str">
        <f>IFERROR(INDEX(Расходка[Наименование расходного материала],MATCH(Расходка[[#This Row],[№]],Поиск_расходки[Индекс13],0)),"")</f>
        <v/>
      </c>
      <c r="AF78" s="4" t="s">
        <v>6</v>
      </c>
      <c r="AG78" s="4" t="s">
        <v>468</v>
      </c>
    </row>
    <row r="79" spans="1:33">
      <c r="AF79" s="4" t="s">
        <v>6</v>
      </c>
      <c r="AG79" s="4" t="s">
        <v>469</v>
      </c>
    </row>
    <row r="80" spans="1:33">
      <c r="AF80" s="4" t="s">
        <v>6</v>
      </c>
      <c r="AG80" s="4" t="s">
        <v>470</v>
      </c>
    </row>
    <row r="81" spans="32:33">
      <c r="AF81" s="4" t="s">
        <v>6</v>
      </c>
      <c r="AG81" s="4" t="s">
        <v>471</v>
      </c>
    </row>
    <row r="82" spans="32:33">
      <c r="AF82" s="4" t="s">
        <v>6</v>
      </c>
      <c r="AG82" s="4" t="s">
        <v>472</v>
      </c>
    </row>
    <row r="83" spans="32:33">
      <c r="AF83" s="4" t="s">
        <v>6</v>
      </c>
      <c r="AG83" s="4" t="s">
        <v>473</v>
      </c>
    </row>
    <row r="84" spans="32:33">
      <c r="AF84" s="4" t="s">
        <v>6</v>
      </c>
      <c r="AG84" s="4" t="s">
        <v>424</v>
      </c>
    </row>
    <row r="85" spans="32:33">
      <c r="AF85" s="4" t="s">
        <v>6</v>
      </c>
      <c r="AG85" s="4" t="s">
        <v>425</v>
      </c>
    </row>
    <row r="86" spans="32:33">
      <c r="AF86" s="4" t="s">
        <v>6</v>
      </c>
      <c r="AG86" s="4" t="s">
        <v>474</v>
      </c>
    </row>
    <row r="87" spans="32:33">
      <c r="AF87" s="4" t="s">
        <v>6</v>
      </c>
      <c r="AG87" s="4" t="s">
        <v>475</v>
      </c>
    </row>
    <row r="88" spans="32:33">
      <c r="AF88" s="4" t="s">
        <v>6</v>
      </c>
      <c r="AG88" s="4" t="s">
        <v>476</v>
      </c>
    </row>
    <row r="89" spans="32:33">
      <c r="AF89" s="4" t="s">
        <v>6</v>
      </c>
      <c r="AG89" s="4" t="s">
        <v>477</v>
      </c>
    </row>
    <row r="90" spans="32:33">
      <c r="AF90" s="4" t="s">
        <v>6</v>
      </c>
      <c r="AG90" s="4" t="s">
        <v>478</v>
      </c>
    </row>
    <row r="91" spans="32:33">
      <c r="AF91" s="4" t="s">
        <v>6</v>
      </c>
      <c r="AG91" s="4" t="s">
        <v>479</v>
      </c>
    </row>
    <row r="92" spans="32:33">
      <c r="AF92" s="4" t="s">
        <v>6</v>
      </c>
      <c r="AG92" s="4" t="s">
        <v>480</v>
      </c>
    </row>
    <row r="93" spans="32:33">
      <c r="AF93" s="4" t="s">
        <v>6</v>
      </c>
      <c r="AG93" s="4" t="s">
        <v>481</v>
      </c>
    </row>
    <row r="94" spans="32:33">
      <c r="AF94" s="4" t="s">
        <v>6</v>
      </c>
      <c r="AG94" s="4" t="s">
        <v>428</v>
      </c>
    </row>
    <row r="95" spans="32:33">
      <c r="AF95" s="4" t="s">
        <v>6</v>
      </c>
      <c r="AG95" s="4" t="s">
        <v>429</v>
      </c>
    </row>
    <row r="96" spans="32:33">
      <c r="AF96" s="4" t="s">
        <v>6</v>
      </c>
      <c r="AG96" s="4" t="s">
        <v>482</v>
      </c>
    </row>
    <row r="97" spans="32:33">
      <c r="AF97" s="4" t="s">
        <v>6</v>
      </c>
      <c r="AG97" s="4" t="s">
        <v>483</v>
      </c>
    </row>
  </sheetData>
  <sheetProtection formatCells="0" formatColumns="0"/>
  <phoneticPr fontId="14" type="noConversion"/>
  <dataValidations count="1">
    <dataValidation type="list" allowBlank="1" showInputMessage="1" showErrorMessage="1" sqref="B2:B7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A12" sqref="A12:A1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514</v>
      </c>
      <c r="C15" s="202" t="str">
        <f>CONCATENATE(A15,B15)</f>
        <v>Старшая мед.сетра: Н.Б. Шишкина</v>
      </c>
    </row>
    <row r="16" spans="1:5">
      <c r="A16" t="s">
        <v>120</v>
      </c>
      <c r="B16" t="s">
        <v>122</v>
      </c>
      <c r="C16" t="str">
        <f>CONCATENATE(A16,B16)</f>
        <v>Старшая мед.сетра: О.Н. Черткова</v>
      </c>
    </row>
    <row r="17" spans="1:3">
      <c r="A17" t="s">
        <v>123</v>
      </c>
      <c r="B17" t="s">
        <v>349</v>
      </c>
      <c r="C17" t="str">
        <f t="shared" si="0"/>
        <v xml:space="preserve">И/О старшей мед.сетры: А.А. Нефёдова </v>
      </c>
    </row>
    <row r="18" spans="1:3">
      <c r="A18" t="s">
        <v>123</v>
      </c>
      <c r="B18" t="s">
        <v>348</v>
      </c>
      <c r="C18" t="str">
        <f>CONCATENATE(A18,B18)</f>
        <v>И/О старшей мед.сетры: А.М. Казанцева</v>
      </c>
    </row>
    <row r="19" spans="1:3">
      <c r="C19" s="202"/>
    </row>
    <row r="20" spans="1:3">
      <c r="C20" s="202"/>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352</v>
      </c>
    </row>
    <row r="34" spans="1:2">
      <c r="A34" t="s">
        <v>170</v>
      </c>
      <c r="B34" t="s">
        <v>263</v>
      </c>
    </row>
    <row r="35" spans="1:2">
      <c r="A35" t="s">
        <v>170</v>
      </c>
      <c r="B35" t="s">
        <v>249</v>
      </c>
    </row>
    <row r="36" spans="1:2">
      <c r="A36" t="s">
        <v>170</v>
      </c>
      <c r="B36" t="s">
        <v>253</v>
      </c>
    </row>
    <row r="37" spans="1:2">
      <c r="A37" t="s">
        <v>170</v>
      </c>
      <c r="B37" t="s">
        <v>248</v>
      </c>
    </row>
    <row r="38" spans="1:2">
      <c r="A38" t="s">
        <v>170</v>
      </c>
      <c r="B38" t="s">
        <v>363</v>
      </c>
    </row>
    <row r="39" spans="1:2">
      <c r="A39" t="s">
        <v>170</v>
      </c>
      <c r="B39" t="s">
        <v>505</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503</v>
      </c>
    </row>
    <row r="53" spans="1:2">
      <c r="A53" t="s">
        <v>303</v>
      </c>
      <c r="B53" t="s">
        <v>259</v>
      </c>
    </row>
    <row r="54" spans="1:2">
      <c r="A54" t="s">
        <v>303</v>
      </c>
      <c r="B54" t="s">
        <v>368</v>
      </c>
    </row>
    <row r="55" spans="1:2">
      <c r="A55" t="s">
        <v>303</v>
      </c>
      <c r="B55" t="s">
        <v>364</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341</v>
      </c>
    </row>
    <row r="71" spans="1:2">
      <c r="A71" t="s">
        <v>172</v>
      </c>
      <c r="B71" t="s">
        <v>143</v>
      </c>
    </row>
    <row r="72" spans="1:2">
      <c r="A72" t="s">
        <v>172</v>
      </c>
      <c r="B72" t="s">
        <v>366</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4"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1" t="s">
        <v>381</v>
      </c>
    </row>
    <row r="2" spans="1:1">
      <c r="A2" t="s">
        <v>378</v>
      </c>
    </row>
    <row r="3" spans="1:1">
      <c r="A3" t="s">
        <v>382</v>
      </c>
    </row>
    <row r="4" spans="1:1">
      <c r="A4" t="s">
        <v>383</v>
      </c>
    </row>
    <row r="5" spans="1:1">
      <c r="A5" t="s">
        <v>379</v>
      </c>
    </row>
    <row r="6" spans="1:1">
      <c r="A6" t="s">
        <v>380</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2024-06-08T00:36:00Z</cp:lastPrinted>
  <dcterms:created xsi:type="dcterms:W3CDTF">2015-06-05T18:19:34Z</dcterms:created>
  <dcterms:modified xsi:type="dcterms:W3CDTF">2024-06-08T00:39:40Z</dcterms:modified>
</cp:coreProperties>
</file>