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6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5" i="1"/>
  <c r="F76" i="1"/>
  <c r="F77" i="1"/>
  <c r="F78" i="1"/>
  <c r="G75" i="1"/>
  <c r="G76" i="1"/>
  <c r="G77" i="1"/>
  <c r="G78" i="1"/>
  <c r="H75" i="1"/>
  <c r="H76" i="1"/>
  <c r="H77" i="1"/>
  <c r="H78" i="1"/>
  <c r="I75" i="1"/>
  <c r="I76" i="1"/>
  <c r="I77" i="1"/>
  <c r="I78" i="1"/>
  <c r="J75" i="1"/>
  <c r="J76" i="1"/>
  <c r="J77" i="1"/>
  <c r="J78" i="1"/>
  <c r="K75" i="1"/>
  <c r="K76" i="1"/>
  <c r="K77" i="1"/>
  <c r="K78" i="1"/>
  <c r="L75" i="1"/>
  <c r="L76" i="1"/>
  <c r="L77" i="1"/>
  <c r="L78" i="1"/>
  <c r="M75" i="1"/>
  <c r="M76" i="1"/>
  <c r="M77" i="1"/>
  <c r="M78" i="1"/>
  <c r="N75" i="1"/>
  <c r="N76" i="1"/>
  <c r="N77" i="1"/>
  <c r="N78" i="1"/>
  <c r="O75" i="1"/>
  <c r="O76" i="1"/>
  <c r="O77" i="1"/>
  <c r="O78" i="1"/>
  <c r="P75" i="1"/>
  <c r="P76" i="1"/>
  <c r="P77" i="1"/>
  <c r="P78" i="1"/>
  <c r="Q75" i="1"/>
  <c r="Q76" i="1"/>
  <c r="Q77" i="1"/>
  <c r="Q78" i="1"/>
  <c r="R75" i="1"/>
  <c r="R76" i="1"/>
  <c r="R77" i="1"/>
  <c r="R78" i="1"/>
  <c r="S75" i="1"/>
  <c r="S76" i="1"/>
  <c r="S77" i="1"/>
  <c r="S78" i="1"/>
  <c r="T75" i="1"/>
  <c r="T76" i="1"/>
  <c r="T77" i="1"/>
  <c r="T78" i="1"/>
  <c r="U75" i="1"/>
  <c r="U76" i="1"/>
  <c r="U77" i="1"/>
  <c r="U78" i="1"/>
  <c r="V75" i="1"/>
  <c r="V76" i="1"/>
  <c r="V77" i="1"/>
  <c r="V78" i="1"/>
  <c r="W75" i="1"/>
  <c r="W76" i="1"/>
  <c r="W77" i="1"/>
  <c r="W78" i="1"/>
  <c r="X75" i="1"/>
  <c r="X76" i="1"/>
  <c r="X77" i="1"/>
  <c r="X78" i="1"/>
  <c r="Y75" i="1"/>
  <c r="Y76" i="1"/>
  <c r="Y77" i="1"/>
  <c r="Y78" i="1"/>
  <c r="Z75" i="1"/>
  <c r="Z76" i="1"/>
  <c r="Z77" i="1"/>
  <c r="Z78" i="1"/>
  <c r="AA75" i="1"/>
  <c r="AA76" i="1"/>
  <c r="AA77" i="1"/>
  <c r="AA78" i="1"/>
  <c r="AB75" i="1"/>
  <c r="AB76" i="1"/>
  <c r="AB77" i="1"/>
  <c r="AB78" i="1"/>
  <c r="AC75" i="1"/>
  <c r="AC76" i="1"/>
  <c r="AC77" i="1"/>
  <c r="AC78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O9" i="1" s="1"/>
  <c r="O10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9" i="1" l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O56" i="1"/>
  <c r="O57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9" i="1" l="1"/>
  <c r="O58" i="1"/>
  <c r="P17" i="1"/>
  <c r="E66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18" i="1" l="1"/>
  <c r="E67" i="1"/>
  <c r="AD62" i="1"/>
  <c r="Q63" i="1"/>
  <c r="Q64" i="1" s="1"/>
  <c r="Q65" i="1" s="1"/>
  <c r="Q66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P19" i="1" l="1"/>
  <c r="E68" i="1"/>
  <c r="Q67" i="1"/>
  <c r="AD66" i="1"/>
  <c r="AD67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7" i="1" l="1"/>
  <c r="O68" i="1" s="1"/>
  <c r="O66" i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73" i="1" l="1"/>
  <c r="O69" i="1"/>
  <c r="O70" i="1" s="1"/>
  <c r="O71" i="1" s="1"/>
  <c r="O72" i="1" s="1"/>
  <c r="O74" i="1"/>
  <c r="AB74" i="1" s="1"/>
  <c r="AB13" i="1"/>
  <c r="AB7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72" i="1"/>
  <c r="AB70" i="1"/>
  <c r="AB69" i="1"/>
  <c r="AB57" i="1"/>
  <c r="AB61" i="1"/>
  <c r="AB21" i="1"/>
  <c r="AB6" i="1"/>
  <c r="AB56" i="1"/>
  <c r="AB7" i="1"/>
  <c r="AB60" i="1"/>
  <c r="AB63" i="1"/>
  <c r="AB65" i="1"/>
  <c r="AB64" i="1"/>
  <c r="AD73" i="1"/>
  <c r="Q74" i="1"/>
  <c r="AD74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P25" i="1" l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P26" i="1" l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P30" i="1" l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U43" i="1" s="1"/>
  <c r="F74" i="1"/>
  <c r="S74" i="1" s="1"/>
  <c r="U68" i="1"/>
  <c r="U59" i="1"/>
  <c r="U58" i="1"/>
  <c r="U44" i="1"/>
  <c r="U41" i="1"/>
  <c r="U51" i="1"/>
  <c r="U39" i="1"/>
  <c r="U40" i="1"/>
  <c r="U60" i="1"/>
  <c r="U56" i="1"/>
  <c r="U54" i="1"/>
  <c r="U47" i="1"/>
  <c r="U61" i="1"/>
  <c r="U46" i="1"/>
  <c r="U45" i="1"/>
  <c r="U55" i="1"/>
  <c r="U42" i="1"/>
  <c r="U64" i="1"/>
  <c r="U69" i="1"/>
  <c r="U57" i="1"/>
  <c r="U52" i="1"/>
  <c r="U66" i="1"/>
  <c r="U70" i="1"/>
  <c r="U72" i="1"/>
  <c r="U73" i="1"/>
  <c r="P31" i="1"/>
  <c r="AC31" i="1"/>
  <c r="AC30" i="1"/>
  <c r="S66" i="1"/>
  <c r="I72" i="1"/>
  <c r="J72" i="1"/>
  <c r="S72" i="1"/>
  <c r="S60" i="1"/>
  <c r="S44" i="1"/>
  <c r="S64" i="1"/>
  <c r="S70" i="1"/>
  <c r="S47" i="1"/>
  <c r="S56" i="1"/>
  <c r="S51" i="1"/>
  <c r="S61" i="1"/>
  <c r="S41" i="1"/>
  <c r="S55" i="1"/>
  <c r="S45" i="1"/>
  <c r="S48" i="1"/>
  <c r="S65" i="1"/>
  <c r="S67" i="1"/>
  <c r="S52" i="1"/>
  <c r="S71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U65" i="1" l="1"/>
  <c r="U63" i="1"/>
  <c r="U74" i="1"/>
  <c r="U71" i="1"/>
  <c r="U62" i="1"/>
  <c r="U50" i="1"/>
  <c r="U49" i="1"/>
  <c r="U67" i="1"/>
  <c r="U48" i="1"/>
  <c r="U53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J74" i="1" l="1"/>
  <c r="W48" i="1" s="1"/>
  <c r="I74" i="1"/>
  <c r="V66" i="1" s="1"/>
  <c r="V39" i="1"/>
  <c r="V53" i="1"/>
  <c r="V41" i="1"/>
  <c r="V60" i="1"/>
  <c r="V56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W50" i="1" l="1"/>
  <c r="W42" i="1"/>
  <c r="W62" i="1"/>
  <c r="W71" i="1"/>
  <c r="W39" i="1"/>
  <c r="W54" i="1"/>
  <c r="W47" i="1"/>
  <c r="W69" i="1"/>
  <c r="W55" i="1"/>
  <c r="W57" i="1"/>
  <c r="V46" i="1"/>
  <c r="W66" i="1"/>
  <c r="W46" i="1"/>
  <c r="W65" i="1"/>
  <c r="W64" i="1"/>
  <c r="W52" i="1"/>
  <c r="W53" i="1"/>
  <c r="W68" i="1"/>
  <c r="W70" i="1"/>
  <c r="W49" i="1"/>
  <c r="W45" i="1"/>
  <c r="W74" i="1"/>
  <c r="W41" i="1"/>
  <c r="W67" i="1"/>
  <c r="W40" i="1"/>
  <c r="W73" i="1"/>
  <c r="W44" i="1"/>
  <c r="W63" i="1"/>
  <c r="W58" i="1"/>
  <c r="W51" i="1"/>
  <c r="W56" i="1"/>
  <c r="W60" i="1"/>
  <c r="W61" i="1"/>
  <c r="W72" i="1"/>
  <c r="W59" i="1"/>
  <c r="W43" i="1"/>
  <c r="V73" i="1"/>
  <c r="V45" i="1"/>
  <c r="V63" i="1"/>
  <c r="V62" i="1"/>
  <c r="V42" i="1"/>
  <c r="V70" i="1"/>
  <c r="V74" i="1"/>
  <c r="V51" i="1"/>
  <c r="V69" i="1"/>
  <c r="V43" i="1"/>
  <c r="V64" i="1"/>
  <c r="V71" i="1"/>
  <c r="V48" i="1"/>
  <c r="V54" i="1"/>
  <c r="V67" i="1"/>
  <c r="V68" i="1"/>
  <c r="V59" i="1"/>
  <c r="V49" i="1"/>
  <c r="V52" i="1"/>
  <c r="V50" i="1"/>
  <c r="V65" i="1"/>
  <c r="V47" i="1"/>
  <c r="V55" i="1"/>
  <c r="V58" i="1"/>
  <c r="V44" i="1"/>
  <c r="V57" i="1"/>
  <c r="V61" i="1"/>
  <c r="V40" i="1"/>
  <c r="V72" i="1"/>
  <c r="AC34" i="1"/>
  <c r="P34" i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P35" i="1" l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N67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K74" i="1" l="1"/>
  <c r="X30" i="1" s="1"/>
  <c r="P38" i="1"/>
  <c r="AC38" i="1"/>
  <c r="X14" i="1"/>
  <c r="X63" i="1"/>
  <c r="X8" i="1"/>
  <c r="X57" i="1"/>
  <c r="X36" i="1"/>
  <c r="X40" i="1"/>
  <c r="X22" i="1"/>
  <c r="X27" i="1"/>
  <c r="X31" i="1"/>
  <c r="X12" i="1"/>
  <c r="X58" i="1"/>
  <c r="X55" i="1"/>
  <c r="X64" i="1"/>
  <c r="X68" i="1"/>
  <c r="X62" i="1"/>
  <c r="X21" i="1"/>
  <c r="X15" i="1"/>
  <c r="X20" i="1"/>
  <c r="X17" i="1"/>
  <c r="X7" i="1"/>
  <c r="X49" i="1"/>
  <c r="X46" i="1"/>
  <c r="X70" i="1"/>
  <c r="X2" i="1"/>
  <c r="X60" i="1"/>
  <c r="X51" i="1"/>
  <c r="X52" i="1"/>
  <c r="X28" i="1"/>
  <c r="X19" i="1"/>
  <c r="X61" i="1"/>
  <c r="X69" i="1"/>
  <c r="X5" i="1"/>
  <c r="N68" i="1"/>
  <c r="G62" i="1"/>
  <c r="G63" i="1" s="1"/>
  <c r="M51" i="1"/>
  <c r="M52" i="1" s="1"/>
  <c r="M53" i="1" s="1"/>
  <c r="L50" i="1"/>
  <c r="X35" i="1" l="1"/>
  <c r="X25" i="1"/>
  <c r="X3" i="1"/>
  <c r="X33" i="1"/>
  <c r="X18" i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P40" i="1" l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AC44" i="1"/>
  <c r="AC45" i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A2" i="1" l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AC73" i="1"/>
  <c r="P74" i="1"/>
  <c r="AC51" i="1" s="1"/>
  <c r="N72" i="1"/>
  <c r="N73" i="1" s="1"/>
  <c r="L67" i="1"/>
  <c r="M61" i="1"/>
  <c r="T6" i="1" l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A44" i="1" s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AA3" i="1" l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L72" i="1" s="1"/>
  <c r="L73" i="1" s="1"/>
  <c r="M68" i="1"/>
  <c r="L74" i="1" l="1"/>
  <c r="M69" i="1"/>
  <c r="Y69" i="1" l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<sst xmlns="http://schemas.openxmlformats.org/spreadsheetml/2006/main" count="890" uniqueCount="537">
  <si>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</si>
  <si>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</si>
  <si>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</si>
  <si>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</si>
  <si>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</si>
  <si>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</si>
  <si>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</si>
  <si>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</si>
  <si>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</si>
  <si>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</si>
  <si>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</si>
  <si>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</si>
  <si>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</si>
  <si>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</si>
  <si>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</si>
  <si>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</si>
  <si>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</si>
  <si>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</si>
  <si>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</si>
  <si>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</si>
  <si>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</si>
  <si>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</si>
  <si>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</si>
  <si>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</si>
  <si>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</si>
  <si>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</si>
  <si>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</si>
  <si>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</si>
  <si>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</si>
  <si>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</si>
  <si>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</si>
  <si>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</si>
  <si>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</si>
  <si>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</si>
  <si>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</si>
  <si>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</si>
  <si>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</si>
  <si>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</si>
  <si>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</si>
  <si>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</si>
  <si>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</si>
  <si>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</si>
  <si>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</si>
  <si>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</si>
  <si>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</si>
  <si>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</si>
  <si>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</si>
  <si>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</si>
  <si>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</si>
  <si>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</si>
  <si>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</si>
  <si>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</si>
  <si>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</si>
  <si>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</si>
  <si>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</si>
  <si>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</si>
  <si>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</si>
  <si>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</si>
  <si>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</si>
  <si>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</si>
  <si>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</si>
  <si>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</si>
  <si>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</si>
  <si>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</si>
  <si>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</si>
  <si>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</si>
  <si>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</si>
  <si>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</si>
  <si>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</si>
  <si>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</si>
  <si>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</si>
  <si>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</si>
  <si>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</si>
  <si>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</si>
  <si>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</si>
  <si>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</si>
  <si>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</si>
  <si>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</si>
  <si>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</si>
  <si>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</si>
  <si>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</si>
  <si>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</si>
  <si>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</si>
  <si>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</si>
  <si>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</si>
  <si>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</si>
  <si>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</si>
  <si>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</si>
  <si>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</si>
  <si>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</si>
  <si>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</si>
  <si>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</si>
  <si>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</si>
  <si>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</si>
  <si>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</si>
  <si>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</si>
  <si>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</si>
  <si>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</si>
  <si>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</si>
  <si>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</si>
  <si>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</si>
  <si>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</si>
  <si>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</si>
  <si>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</si>
  <si>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</si>
  <si>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</si>
  <si>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</si>
  <si>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</si>
  <si>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</si>
  <si>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</si>
  <si>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</si>
  <si>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</si>
  <si>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</si>
  <si>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</si>
  <si>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</si>
  <si>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</si>
  <si>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</si>
  <si>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</si>
  <si>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</si>
  <si>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</si>
  <si>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</si>
  <si>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</si>
  <si>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</si>
  <si>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</si>
  <si>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</si>
  <si>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</si>
  <si>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</si>
  <si>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</si>
  <si>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</si>
  <si>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</si>
  <si>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</si>
  <si>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</si>
  <si>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</si>
  <si>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</si>
  <si>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</si>
  <si>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</si>
  <si>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</si>
  <si>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</si>
  <si>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</si>
  <si>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</si>
  <si>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</si>
  <si>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</si>
  <si>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</si>
  <si>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</si>
  <si>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</si>
  <si>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</si>
  <si>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</si>
  <si>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</si>
  <si>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</si>
  <si>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</si>
  <si>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</si>
  <si>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</si>
  <si>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</si>
  <si>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</si>
  <si>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</si>
  <si>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</si>
  <si>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</si>
  <si>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</si>
  <si>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</si>
  <si>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</si>
  <si>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</si>
  <si>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</si>
  <si>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</si>
  <si>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</si>
  <si>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</si>
  <si>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</si>
  <si>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</si>
  <si>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</si>
  <si>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</si>
  <si>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</si>
  <si>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</si>
  <si>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</si>
  <si>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</si>
  <si>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</si>
  <si>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</si>
  <si>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</si>
  <si>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</si>
  <si>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</si>
  <si>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</si>
  <si>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</si>
  <si>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</si>
  <si>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</si>
  <si>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</si>
  <si>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</si>
  <si>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</si>
  <si>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</si>
  <si>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</si>
  <si>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</si>
  <si>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</si>
  <si>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</si>
  <si>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</si>
  <si>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</si>
  <si>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</si>
  <si>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</si>
  <si>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</si>
  <si>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</si>
  <si>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</si>
  <si>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</si>
  <si>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</si>
  <si>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</si>
  <si>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</si>
  <si>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</si>
  <si>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</si>
  <si>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</si>
  <si>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</si>
  <si>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</si>
  <si>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</si>
  <si>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</si>
  <si>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</si>
  <si>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</si>
  <si>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</si>
  <si>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</si>
  <si>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</si>
  <si>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</si>
  <si>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</si>
  <si>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</si>
  <si>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</si>
  <si>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</si>
  <si>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</si>
  <si>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</si>
  <si>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</si>
  <si>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</si>
  <si>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</si>
  <si>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</si>
  <si>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</si>
  <si>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</si>
  <si>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</si>
  <si>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</si>
  <si>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</si>
  <si>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</si>
  <si>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</si>
  <si>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</si>
  <si>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</si>
  <si>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</si>
  <si>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</si>
  <si>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</si>
  <si>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</si>
  <si>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</si>
  <si>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</si>
  <si>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</si>
  <si>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</si>
  <si>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</si>
  <si>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</si>
  <si>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</si>
  <si>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</si>
  <si>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</si>
  <si>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</si>
  <si>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</si>
  <si>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</si>
  <si>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</si>
  <si>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</si>
  <si>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</si>
  <si>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</si>
  <si>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</si>
  <si>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</si>
  <si>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</si>
  <si>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</si>
  <si>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</si>
  <si>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</si>
  <si>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</si>
  <si>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</si>
  <si>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</si>
  <si>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</si>
  <si>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</si>
  <si>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</si>
  <si>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</si>
  <si>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</si>
  <si>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</si>
  <si>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</si>
  <si>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</si>
  <si>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</si>
  <si>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</si>
  <si>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</si>
  <si>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</si>
  <si>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</si>
  <si>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</si>
  <si>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</si>
  <si>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</si>
  <si>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</si>
  <si>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</si>
  <si>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</si>
  <si>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</si>
  <si>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</si>
  <si>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</si>
  <si>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</si>
  <si>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</si>
  <si>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</si>
  <si>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</si>
  <si>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</si>
  <si>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</si>
  <si>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</si>
  <si>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</si>
  <si>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</si>
  <si>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</si>
  <si>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</si>
  <si>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</si>
  <si>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</si>
  <si>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</si>
  <si>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</si>
  <si>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</si>
  <si>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</si>
  <si>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</si>
  <si>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</si>
  <si>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</si>
  <si>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</si>
  <si>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</si>
  <si>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</si>
  <si>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</si>
  <si>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</si>
  <si>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</si>
  <si>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</si>
  <si>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</si>
  <si>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</si>
  <si>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</si>
  <si>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</si>
  <si>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</si>
  <si>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</si>
  <si>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</si>
  <si>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</si>
  <si>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</si>
  <si>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</si>
  <si>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</si>
  <si>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</si>
  <si>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</si>
  <si>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</si>
  <si>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</si>
  <si>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</si>
  <si>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</si>
  <si>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</si>
  <si>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</si>
  <si>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</si>
  <si>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</si>
  <si>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</si>
  <si>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</si>
  <si>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</si>
  <si>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</si>
  <si>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</si>
  <si>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</si>
  <si>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</si>
  <si>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</si>
  <si>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</si>
  <si>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</si>
  <si>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</si>
  <si>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</si>
  <si>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</si>
  <si>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</si>
  <si>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</si>
  <si>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</si>
  <si>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</si>
  <si>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</si>
  <si>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</si>
  <si>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</si>
  <si>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</si>
  <si>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</si>
  <si>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</si>
  <si>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</si>
  <si>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</si>
  <si>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</si>
  <si>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</si>
  <si>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</si>
  <si>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</si>
  <si>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</si>
  <si>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</si>
  <si>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</si>
  <si>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</si>
  <si>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</si>
  <si>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</si>
  <si>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</si>
  <si>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</si>
  <si>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</si>
  <si>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</si>
  <si>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</si>
  <si>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</si>
  <si>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</si>
  <si>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</si>
  <si>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</si>
  <si>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</si>
  <si>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</si>
  <si>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</si>
  <si>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</si>
  <si>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</si>
  <si>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</si>
  <si>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</si>
  <si>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</si>
  <si>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</si>
  <si>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</si>
  <si>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</si>
  <si>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</si>
  <si>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</si>
  <si>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</si>
  <si>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</si>
  <si>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</si>
  <si>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</si>
  <si>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</si>
  <si>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</si>
  <si>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</si>
  <si>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</si>
  <si>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</si>
  <si>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</si>
  <si>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</si>
  <si>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</si>
  <si>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</si>
  <si>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</si>
  <si>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</si>
  <si>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</si>
  <si>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</si>
  <si>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</si>
  <si>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</si>
  <si>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</si>
  <si>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</si>
  <si>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</si>
  <si>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</si>
  <si>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</si>
  <si>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</si>
  <si>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</si>
  <si>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</si>
  <si>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</si>
  <si>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</si>
  <si>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</si>
  <si>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</si>
  <si>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</si>
  <si>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</si>
  <si>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</si>
  <si>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</si>
  <si>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</si>
  <si>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</si>
  <si>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</si>
  <si>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</si>
  <si>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</si>
  <si>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</si>
  <si>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</si>
  <si>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</si>
  <si>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</si>
  <si>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</si>
  <si>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</si>
  <si>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</si>
  <si>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</si>
  <si>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</si>
  <si>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</si>
  <si>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</si>
  <si>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</si>
  <si>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</si>
  <si>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</si>
  <si>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</si>
  <si>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</si>
  <si>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</si>
  <si>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</si>
  <si>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</si>
  <si>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</si>
  <si>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</si>
  <si>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</si>
  <si>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</si>
  <si>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</si>
  <si>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</si>
  <si>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</si>
  <si>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</si>
  <si>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</si>
  <si>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</si>
  <si>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</si>
  <si>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</si>
  <si>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</si>
  <si>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</si>
  <si>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</si>
  <si>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</si>
  <si>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</si>
  <si>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</si>
  <si>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</si>
  <si>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</si>
  <si>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</si>
  <si>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</si>
  <si>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</si>
  <si>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</si>
  <si>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</si>
  <si>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</si>
  <si>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</si>
  <si>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</si>
  <si>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</si>
  <si>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</si>
  <si>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</si>
  <si>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</si>
  <si>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</si>
  <si>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</si>
  <si>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</si>
  <si>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</si>
  <si>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</si>
  <si>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</si>
  <si>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</si>
  <si>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</si>
  <si>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</si>
  <si>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</si>
  <si>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</si>
  <si>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</si>
  <si>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</si>
  <si>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</si>
  <si>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</si>
  <si>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</si>
  <si>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</si>
  <si>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</si>
  <si>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</si>
  <si>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</si>
  <si>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</si>
  <si>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</si>
  <si>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</si>
  <si>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</si>
  <si>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</si>
  <si>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</si>
  <si>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</si>
  <si>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</si>
  <si>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</si>
  <si>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</si>
  <si>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</si>
  <si>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</si>
  <si>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</si>
  <si>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</si>
  <si>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</si>
  <si>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</si>
  <si>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</si>
  <si>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</si>
  <si>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</si>
  <si>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</si>
  <si>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</si>
  <si>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</si>
  <si>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</si>
  <si>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3,25 - 15</t>
  </si>
  <si>
    <t>3,0 - 44</t>
  </si>
  <si>
    <t>100 ml</t>
  </si>
  <si>
    <t>Устье ПКА катетеризировано проводниковым катетером Launcher JR 3.5 6Fr. Коронарный проводник fielder и Gaia Second удалось успешно провести за зону окклюзии в дистальный сегмента ПКА. БК Колибри 2.0-15, давлением 14 атм. выполнена реканализация и ангиопластика окклюзирующего стеноза просимального сегмента ПКА. Восстановлен антеградный кровоток до TIMI II. На контрольных съёмках определяется стеноз прокс/3 ЗБВ 80%, стенозы дистального и среднего сегмента не менее 80%, нестабильный остаточный стеноз проксимального сегмента 70%. В зону стеноза проксимальной трети ЗБВ, дистального, среднего и проксимальных сегментов с полным покрытием устья ПКА последовательно с оверлаппингом имплантированы следующие стенты:   стенты DESs Meril Evermine50 2.75-32, Meril Evermine50 3.0-44, Meril Evermine50 3.0-32 и DES Калипсо 3.0-18,  давлением 14 атм.  Постдилатация стентов на всём протяжении артерии БК NC Аксиома  3.25-15, давленим от 16 до   20 атм. Далее рекроссинг проводника в ЗМЖВ и ангиопластика устья ЗМЖВ и ячейки стента БК Колибри 2.0 - 15, давлением 14 атм, инфляция 1 мин.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ПКА, ЗМЖВ и ЗБВ полностью восстановлен  -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</si>
  <si>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350 ml</t>
  </si>
  <si>
    <t>300 ml</t>
  </si>
  <si>
    <t>01:42</t>
  </si>
  <si>
    <t>Архангельский А.А.</t>
  </si>
  <si>
    <t>Правый</t>
  </si>
  <si>
    <t>проходим, контуры ровные</t>
  </si>
  <si>
    <t xml:space="preserve">стенозы проксимального сегмента и средней трети ОА по 30%, стеноз дистального сегмента в зоне бифуркации 55%. Антеградный  кровоток TIMI III. </t>
  </si>
  <si>
    <t xml:space="preserve">выраженный кальциноз проксимального и среднего сегментов. Неровности контуров проксимального сегмента, стенозы среднего и дистального сегментов 30%. Антеградный  кровоток TIMI III. </t>
  </si>
  <si>
    <r>
      <t xml:space="preserve">умеренный кальциноз. Стеноз проксимального сегмента 30%, </t>
    </r>
    <r>
      <rPr>
        <i/>
        <sz val="11"/>
        <color theme="1"/>
        <rFont val="Arial Narrow"/>
        <family val="2"/>
        <charset val="204"/>
      </rPr>
      <t>стент среднего сегмента проходи</t>
    </r>
    <r>
      <rPr>
        <sz val="11"/>
        <color theme="1"/>
        <rFont val="Arial Narrow"/>
        <family val="2"/>
        <charset val="204"/>
      </rPr>
      <t xml:space="preserve">м, без признаков тромбирования и рестенозирования. Антеградный кровоток ближе к TIMI III  </t>
    </r>
  </si>
  <si>
    <t xml:space="preserve">1) Контроль места пункции, повязка  на руке до 6 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</si>
</sst>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i/>
      <sz val="11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28575</xdr:rowOff>
    </xdr:from>
    <xdr:to>
      <xdr:col>1</xdr:col>
      <xdr:colOff>1428750</xdr:colOff>
      <xdr:row>49</xdr:row>
      <xdr:rowOff>45285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5"/>
          <a:ext cx="2619375" cy="164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L32" sqref="L3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45462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0.48958333333333331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0.51388888888888895</v>
      </c>
      <c r="C10" s="55"/>
      <c r="D10" s="95" t="s">
        <v>173</v>
      </c>
      <c r="E10" s="93"/>
      <c r="F10" s="93"/>
      <c r="G10" s="24" t="s">
        <v>185</v>
      </c>
      <c r="H10" s="26"/>
    </row>
    <row r="11" spans="1:8" ht="17.25" thickTop="1" thickBot="1">
      <c r="A11" s="89" t="s">
        <v>192</v>
      </c>
      <c r="B11" s="203" t="s">
        <v>530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23262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60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17234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400</v>
      </c>
      <c r="H15" s="169" t="s">
        <v>529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403</v>
      </c>
      <c r="H16" s="164">
        <v>1630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389</v>
      </c>
      <c r="H17" s="168">
        <f>H16*0.0019</f>
        <v>3.097</v>
      </c>
    </row>
    <row r="18" spans="1:8" ht="14.45" customHeight="1">
      <c r="A18" s="57" t="s">
        <v>188</v>
      </c>
      <c r="B18" s="87" t="s">
        <v>531</v>
      </c>
      <c r="D18" s="28" t="s">
        <v>210</v>
      </c>
      <c r="E18" s="28"/>
      <c r="F18" s="28"/>
      <c r="G18" s="85" t="s">
        <v>189</v>
      </c>
      <c r="H18" s="86" t="s">
        <v>508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532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535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533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534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536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525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0" zoomScaleNormal="100" zoomScaleSheetLayoutView="100" zoomScalePageLayoutView="90" workbookViewId="0">
      <selection activeCell="D40" sqref="D40:H4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/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40" t="s">
        <v>216</v>
      </c>
      <c r="D8" s="240"/>
      <c r="E8" s="240"/>
      <c r="F8" s="190">
        <v>4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4</v>
      </c>
      <c r="H11" s="39"/>
    </row>
    <row r="12" spans="1:8" ht="18.75">
      <c r="A12" s="75" t="s">
        <v>191</v>
      </c>
      <c r="B12" s="20">
        <f>КАГ!B8</f>
        <v>45462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0.55555555555555558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0.625</v>
      </c>
      <c r="C14" s="12"/>
      <c r="D14" s="95" t="s">
        <v>173</v>
      </c>
      <c r="E14" s="93"/>
      <c r="F14" s="93"/>
      <c r="G14" s="80" t="str">
        <f>КАГ!G10</f>
        <v>Щербакова С.М.</v>
      </c>
      <c r="H14" s="91" t="str">
        <f>IF(ISBLANK(КАГ!H10),"",КАГ!H10)</f>
        <v/>
      </c>
    </row>
    <row r="15" spans="1:8" ht="16.5" thickBot="1">
      <c r="A15" s="163" t="s">
        <v>388</v>
      </c>
      <c r="B15" s="188">
        <f>IF(B14&lt;B13,B14+1,B14)-B13</f>
        <v>6.944444444444442E-2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Архангельский А.А.</v>
      </c>
      <c r="C16" s="200">
        <f>LEN(КАГ!B11)</f>
        <v>18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23262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60</v>
      </c>
      <c r="H18" s="39"/>
    </row>
    <row r="19" spans="1:8" ht="14.45" customHeight="1">
      <c r="A19" s="15" t="s">
        <v>12</v>
      </c>
      <c r="B19" s="68">
        <f>КАГ!B14</f>
        <v>17234</v>
      </c>
      <c r="C19" s="69"/>
      <c r="D19" s="69"/>
      <c r="E19" s="69"/>
      <c r="F19" s="69"/>
      <c r="G19" s="165" t="s">
        <v>400</v>
      </c>
      <c r="H19" s="180" t="str">
        <f>КАГ!H15</f>
        <v>01:42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403</v>
      </c>
      <c r="H20" s="181">
        <f>КАГ!H16</f>
        <v>1630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389</v>
      </c>
      <c r="H21" s="168">
        <f>КАГ!H17</f>
        <v>3.097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392</v>
      </c>
      <c r="B23" s="172" t="s">
        <v>391</v>
      </c>
      <c r="C23" s="162"/>
      <c r="D23" s="162"/>
      <c r="E23" s="162"/>
      <c r="F23" s="162"/>
      <c r="H23" s="39"/>
    </row>
    <row r="24" spans="1:8" ht="14.45" customHeight="1">
      <c r="A24" s="183" t="s">
        <v>390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8" t="s">
        <v>526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7" t="s">
        <v>396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393</v>
      </c>
      <c r="B39" s="70" t="s">
        <v>395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394</v>
      </c>
      <c r="B40" s="178" t="s">
        <v>527</v>
      </c>
      <c r="C40" s="120"/>
      <c r="D40" s="245" t="s">
        <v>401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0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199</v>
      </c>
      <c r="B50" s="63" t="s">
        <v>528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372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23" sqref="B23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45462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Архангельский А.А.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23262</v>
      </c>
    </row>
    <row r="6" spans="1:4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4">
        <f>ЧКВ!A6</f>
        <v>0</v>
      </c>
      <c r="C6" s="131" t="s">
        <v>10</v>
      </c>
      <c r="D6" s="103">
        <f>DATEDIF(D5,D10,"y")</f>
        <v>60</v>
      </c>
    </row>
    <row r="7" spans="1:4">
      <c r="A7" s="38"/>
      <c r="C7" s="101" t="s">
        <v>12</v>
      </c>
      <c r="D7" s="103">
        <f>КАГ!$B$14</f>
        <v>17234</v>
      </c>
    </row>
    <row r="8" spans="1:4">
      <c r="A8" s="194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 xml:space="preserve">Код метода:  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45462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4" t="s">
        <v>315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515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4" t="s">
        <v>517</v>
      </c>
      <c r="C16" s="135" t="s">
        <v>523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376</v>
      </c>
      <c r="C17" s="135" t="s">
        <v>412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4" t="s">
        <v>520</v>
      </c>
      <c r="C18" s="135" t="s">
        <v>457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4" t="s">
        <v>521</v>
      </c>
      <c r="C19" s="182" t="s">
        <v>462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5" t="s">
        <v>521</v>
      </c>
      <c r="C20" s="135" t="s">
        <v>524</v>
      </c>
      <c r="D20" s="140">
        <v>1</v>
      </c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54" t="s">
        <v>521</v>
      </c>
      <c r="C21" s="135" t="s">
        <v>456</v>
      </c>
      <c r="D21" s="140">
        <v>1</v>
      </c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22" s="154" t="s">
        <v>330</v>
      </c>
      <c r="C22" s="135"/>
      <c r="D22" s="142">
        <v>1</v>
      </c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378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519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396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397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398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49" sqref="C4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0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Fielder</v>
      </c>
      <c r="T2" s="115" t="str">
        <f>IFERROR(INDEX(Расходка[Наименование расходного материала],MATCH(Расходка[[#This Row],[№]],Поиск_расходки[Индекс3],0)),"")</f>
        <v>Asahi Gaia Second</v>
      </c>
      <c r="U2" s="115" t="str">
        <f>IFERROR(INDEX(Расходка[Наименование расходного материала],MATCH(Расходка[[#This Row],[№]],Поиск_расходки[Индекс4],0)),"")</f>
        <v>NC АКСИОМА</v>
      </c>
      <c r="V2" s="115" t="str">
        <f>IFERROR(INDEX(Расходка[Наименование расходного материала],MATCH(Расходка[[#This Row],[№]],Поиск_расходки[Индекс5],0)),"")</f>
        <v>Колибри</v>
      </c>
      <c r="W2" s="115" t="str">
        <f>IFERROR(INDEX(Расходка[Наименование расходного материала],MATCH(Расходка[[#This Row],[№]],Поиск_расходки[Индекс6],0)),"")</f>
        <v>DES, Калипсо</v>
      </c>
      <c r="X2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2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2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2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498</v>
      </c>
      <c r="AP2" s="128"/>
    </row>
    <row r="3" spans="1:42">
      <c r="A3">
        <v>2</v>
      </c>
      <c r="B3" t="s">
        <v>94</v>
      </c>
      <c r="C3" t="s">
        <v>371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0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>Fielder XT-A</v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/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491</v>
      </c>
      <c r="AO3" t="s">
        <v>499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0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>Fielder XT-R</v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/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504</v>
      </c>
      <c r="AO4" t="s">
        <v>501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0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/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0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/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0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/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497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0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/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0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/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376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1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0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/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399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2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/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517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1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0</v>
      </c>
      <c r="M12" s="116">
        <f>IF(ISNUMBER(SEARCH('Карта учёта'!$B$21,Расходка[[#This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0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/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414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0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/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0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/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494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0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/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0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/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0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/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377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0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/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0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/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306</v>
      </c>
      <c r="C20" t="s">
        <v>507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0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/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/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0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/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423</v>
      </c>
    </row>
    <row r="23" spans="1:35">
      <c r="A23">
        <v>22</v>
      </c>
      <c r="B23" t="s">
        <v>306</v>
      </c>
      <c r="C23" s="1" t="s">
        <v>512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0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/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424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0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/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0</v>
      </c>
      <c r="N25" s="116">
        <f>IF(ISNUMBER(SEARCH('Карта учёта'!$B$22,Расходка[[#This Row],[Наименование расходного материала]])),MAX($N$1:N24)+1,0)</f>
        <v>0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/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0</v>
      </c>
      <c r="N26" s="116">
        <f>IF(ISNUMBER(SEARCH('Карта учёта'!$B$22,Расходка[[#This Row],[Наименование расходного материала]])),MAX($N$1:N25)+1,0)</f>
        <v>0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/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1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0</v>
      </c>
      <c r="N27" s="116">
        <f>IF(ISNUMBER(SEARCH('Карта учёта'!$B$22,Расходка[[#This Row],[Наименование расходного материала]])),MAX($N$1:N26)+1,0)</f>
        <v>0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/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t="s">
        <v>374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2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0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/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t="s">
        <v>375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3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0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/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t="s">
        <v>514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0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/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515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1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/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s="1" t="s">
        <v>516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0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/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0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/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0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/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0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/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0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/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0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/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0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/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0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/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0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/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/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379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0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/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s="1" t="s">
        <v>373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0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/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0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/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362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0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/>
      </c>
      <c r="AB45" s="115" t="str">
        <f>IFERROR(INDEX(Расходка[Наименование расходного материала],MATCH(Расходка[[#This Row],[№]],Поиск_расходки[Индекс11],0)),"")</f>
        <v>Whisper MS</v>
      </c>
      <c r="AC45" s="115" t="str">
        <f>IFERROR(INDEX(Расходка[Наименование расходного материала],MATCH(Расходка[[#This Row],[№]],Поиск_расходки[Индекс12],0)),"")</f>
        <v>Whisper MS</v>
      </c>
      <c r="AD45" s="115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363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0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/>
      </c>
      <c r="AB46" s="115" t="str">
        <f>IFERROR(INDEX(Расходка[Наименование расходного материала],MATCH(Расходка[[#This Row],[№]],Поиск_расходки[Индекс11],0)),"")</f>
        <v>Winn 200T</v>
      </c>
      <c r="AC46" s="115" t="str">
        <f>IFERROR(INDEX(Расходка[Наименование расходного материала],MATCH(Расходка[[#This Row],[№]],Поиск_расходки[Индекс12],0)),"")</f>
        <v>Winn 200T</v>
      </c>
      <c r="AD46" s="115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347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0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/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513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0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/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444</v>
      </c>
    </row>
    <row r="49" spans="1:33">
      <c r="A49">
        <v>48</v>
      </c>
      <c r="B49" t="s">
        <v>3</v>
      </c>
      <c r="C49" t="s">
        <v>96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0</v>
      </c>
      <c r="M49" s="116">
        <f>IF(ISNUMBER(SEARCH('Карта учёта'!$B$21,Расходка[[#This Row],[Наименование расходного материала]])),MAX($M$1:M48)+1,0)</f>
        <v>0</v>
      </c>
      <c r="N49" s="116">
        <f>IF(ISNUMBER(SEARCH('Карта учёта'!$B$22,Расходка[[#This Row],[Наименование расходного материала]])),MAX($N$1:N48)+1,0)</f>
        <v>0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/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445</v>
      </c>
    </row>
    <row r="50" spans="1:33">
      <c r="A50">
        <v>49</v>
      </c>
      <c r="B50" t="s">
        <v>3</v>
      </c>
      <c r="C50" t="s">
        <v>511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0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/>
      </c>
      <c r="AB50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446</v>
      </c>
    </row>
    <row r="51" spans="1:33">
      <c r="A51">
        <v>50</v>
      </c>
      <c r="B51" t="s">
        <v>3</v>
      </c>
      <c r="C51" t="s">
        <v>522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0</v>
      </c>
      <c r="N51" s="116">
        <f>IF(ISNUMBER(SEARCH('Карта учёта'!$B$22,Расходка[[#This Row],[Наименование расходного материала]])),MAX($N$1:N50)+1,0)</f>
        <v>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/>
      </c>
      <c r="AB51" s="115" t="str">
        <f>IFERROR(INDEX(Расходка[Наименование расходного материала],MATCH(Расходка[[#This Row],[№]],Поиск_расходки[Индекс11],0)),"")</f>
        <v>Shunmei</v>
      </c>
      <c r="AC51" s="115" t="str">
        <f>IFERROR(INDEX(Расходка[Наименование расходного материала],MATCH(Расходка[[#This Row],[№]],Поиск_расходки[Индекс12],0)),"")</f>
        <v>Shunmei</v>
      </c>
      <c r="AD51" s="115" t="str">
        <f>IFERROR(INDEX(Расходка[Наименование расходного материала],MATCH(Расходка[[#This Row],[№]],Поиск_расходки[Индекс13],0)),"")</f>
        <v>Shunmei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1" t="s">
        <v>278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0</v>
      </c>
      <c r="N52" s="116">
        <f>IF(ISNUMBER(SEARCH('Карта учёта'!$B$22,Расходка[[#This Row],[Наименование расходного материала]])),MAX($N$1:N51)+1,0)</f>
        <v>0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/>
      </c>
      <c r="AB52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2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2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57" t="s">
        <v>346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0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/>
      </c>
      <c r="AB53" s="115" t="str">
        <f>IFERROR(INDEX(Расходка[Наименование расходного материала],MATCH(Расходка[[#This Row],[№]],Поиск_расходки[Индекс11],0)),"")</f>
        <v>DES, Calipso</v>
      </c>
      <c r="AC53" s="115" t="str">
        <f>IFERROR(INDEX(Расходка[Наименование расходного материала],MATCH(Расходка[[#This Row],[№]],Поиск_расходки[Индекс12],0)),"")</f>
        <v>DES, Calipso</v>
      </c>
      <c r="AD53" s="115" t="str">
        <f>IFERROR(INDEX(Расходка[Наименование расходного материала],MATCH(Расходка[[#This Row],[№]],Поиск_расходки[Индекс13],0)),"")</f>
        <v>DES, Calipso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57" t="s">
        <v>345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0</v>
      </c>
      <c r="M54" s="116">
        <f>IF(ISNUMBER(SEARCH('Карта учёта'!$B$21,Расходка[[#This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0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/>
      </c>
      <c r="AB54" s="115" t="str">
        <f>IFERROR(INDEX(Расходка[Наименование расходного материала],MATCH(Расходка[[#This Row],[№]],Поиск_расходки[Индекс11],0)),"")</f>
        <v>DES, NanoMed</v>
      </c>
      <c r="AC54" s="115" t="str">
        <f>IFERROR(INDEX(Расходка[Наименование расходного материала],MATCH(Расходка[[#This Row],[№]],Поиск_расходки[Индекс12],0)),"")</f>
        <v>DES, NanoMed</v>
      </c>
      <c r="AD54" s="115" t="str">
        <f>IFERROR(INDEX(Расходка[Наименование расходного материала],MATCH(Расходка[[#This Row],[№]],Поиск_расходки[Индекс13],0)),"")</f>
        <v>DES, NanoMed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s="130" t="s">
        <v>324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0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/>
      </c>
      <c r="AB55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5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5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t="s">
        <v>358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0</v>
      </c>
      <c r="M56" s="116">
        <f>IF(ISNUMBER(SEARCH('Карта учёта'!$B$21,Расходка[[#This Row],[Наименование расходного материала]])),MAX($M$1:M55)+1,0)</f>
        <v>0</v>
      </c>
      <c r="N56" s="116">
        <f>IF(ISNUMBER(SEARCH('Карта учёта'!$B$22,Расходка[[#This Row],[Наименование расходного материала]])),MAX($N$1:N55)+1,0)</f>
        <v>0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/>
      </c>
      <c r="AB56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6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6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6" s="4" t="s">
        <v>6</v>
      </c>
      <c r="AG56" s="4" t="s">
        <v>452</v>
      </c>
    </row>
    <row r="57" spans="1:33">
      <c r="A57">
        <v>56</v>
      </c>
      <c r="B57" t="s">
        <v>6</v>
      </c>
      <c r="C57" s="161" t="s">
        <v>387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0</v>
      </c>
      <c r="M57" s="116">
        <f>IF(ISNUMBER(SEARCH('Карта учёта'!$B$21,Расходка[[#This Row],[Наименование расходного материала]])),MAX($M$1:M56)+1,0)</f>
        <v>0</v>
      </c>
      <c r="N57" s="116">
        <f>IF(ISNUMBER(SEARCH('Карта учёта'!$B$22,Расходка[[#This Row],[Наименование расходного материала]])),MAX($N$1:N56)+1,0)</f>
        <v>0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/>
      </c>
      <c r="AB57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7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7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7" s="4" t="s">
        <v>6</v>
      </c>
      <c r="AG57" s="4" t="s">
        <v>453</v>
      </c>
    </row>
    <row r="58" spans="1:33">
      <c r="A58">
        <v>57</v>
      </c>
      <c r="B58" t="s">
        <v>6</v>
      </c>
      <c r="C58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0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/>
      </c>
      <c r="AB58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8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8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8" s="4" t="s">
        <v>6</v>
      </c>
      <c r="AG58" s="4" t="s">
        <v>454</v>
      </c>
    </row>
    <row r="59" spans="1:33">
      <c r="A59">
        <v>58</v>
      </c>
      <c r="B59" t="s">
        <v>6</v>
      </c>
      <c r="C59" t="s">
        <v>520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1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0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/>
      </c>
      <c r="AB59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59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59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59" s="4" t="s">
        <v>6</v>
      </c>
      <c r="AG59" s="4" t="s">
        <v>455</v>
      </c>
    </row>
    <row r="60" spans="1:33">
      <c r="A60">
        <v>59</v>
      </c>
      <c r="B60" t="s">
        <v>6</v>
      </c>
      <c r="C60" t="s">
        <v>521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1</v>
      </c>
      <c r="L60" s="116">
        <f>IF(ISNUMBER(SEARCH('Карта учёта'!$B$20,Расходка[[#This Row],[Наименование расходного материала]])),MAX($L$1:L59)+1,0)</f>
        <v>1</v>
      </c>
      <c r="M60" s="116">
        <f>IF(ISNUMBER(SEARCH('Карта учёта'!$B$21,Расходка[[#This Row],[Наименование расходного материала]])),MAX($M$1:M59)+1,0)</f>
        <v>1</v>
      </c>
      <c r="N60" s="116">
        <f>IF(ISNUMBER(SEARCH('Карта учёта'!$B$22,Расходка[[#This Row],[Наименование расходного материала]])),MAX($N$1:N59)+1,0)</f>
        <v>0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/>
      </c>
      <c r="AB60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0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0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0" s="4" t="s">
        <v>6</v>
      </c>
      <c r="AG60" s="4" t="s">
        <v>456</v>
      </c>
    </row>
    <row r="61" spans="1:33">
      <c r="A61">
        <v>60</v>
      </c>
      <c r="B61" t="s">
        <v>95</v>
      </c>
      <c r="C61" s="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0</v>
      </c>
      <c r="M61" s="116">
        <f>IF(ISNUMBER(SEARCH('Карта учёта'!$B$21,Расходка[[#This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/>
      </c>
      <c r="AB61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1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1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1" s="4" t="s">
        <v>6</v>
      </c>
      <c r="AG61" s="4" t="s">
        <v>417</v>
      </c>
    </row>
    <row r="62" spans="1:33">
      <c r="A62">
        <v>61</v>
      </c>
      <c r="B62" t="s">
        <v>95</v>
      </c>
      <c r="C62" s="1" t="s">
        <v>344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0</v>
      </c>
      <c r="N62" s="116">
        <f>IF(ISNUMBER(SEARCH('Карта учёта'!$B$22,Расходка[[#This Row],[Наименование расходного материала]])),MAX($N$1:N61)+1,0)</f>
        <v>0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/>
      </c>
      <c r="AB62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2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2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351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0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/>
      </c>
      <c r="AB63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352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0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/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326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0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/>
      </c>
      <c r="AB65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327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0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/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328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0</v>
      </c>
      <c r="L67" s="197">
        <f>IF(ISNUMBER(SEARCH('Карта учёта'!$B$20,Расходка[[#This Row],[Наименование расходного материала]])),MAX($L$1:L66)+1,0)</f>
        <v>0</v>
      </c>
      <c r="M67" s="197">
        <f>IF(ISNUMBER(SEARCH('Карта учёта'!$B$21,Расходка[[#This Row],[Наименование расходного материала]])),MAX($M$1:M66)+1,0)</f>
        <v>0</v>
      </c>
      <c r="N67" s="197">
        <f>IF(ISNUMBER(SEARCH('Карта учёта'!$B$22,Расходка[[#This Row],[Наименование расходного материала]])),MAX($N$1:N66)+1,0)</f>
        <v>0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/>
      </c>
      <c r="Y67" s="198" t="str">
        <f>IFERROR(INDEX(Расходка[Наименование расходного материала],MATCH(Расходка[[#This Row],[№]],Поиск_расходки[Индекс8],0)),"")</f>
        <v/>
      </c>
      <c r="Z67" s="198" t="str">
        <f>IFERROR(INDEX(Расходка[Наименование расходного материала],MATCH(Расходка[[#This Row],[№]],Поиск_расходки[Индекс9],0)),"")</f>
        <v/>
      </c>
      <c r="AA67" s="198" t="str">
        <f>IFERROR(INDEX(Расходка[Наименование расходного материала],MATCH(Расходка[[#This Row],[№]],Поиск_расходки[Индекс10],0)),"")</f>
        <v/>
      </c>
      <c r="AB67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329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0</v>
      </c>
      <c r="L68" s="197">
        <f>IF(ISNUMBER(SEARCH('Карта учёта'!$B$20,Расходка[[#This Row],[Наименование расходного материала]])),MAX($L$1:L67)+1,0)</f>
        <v>0</v>
      </c>
      <c r="M68" s="197">
        <f>IF(ISNUMBER(SEARCH('Карта учёта'!$B$21,Расходка[[#This Row],[Наименование расходного материала]])),MAX($M$1:M67)+1,0)</f>
        <v>0</v>
      </c>
      <c r="N68" s="197">
        <f>IF(ISNUMBER(SEARCH('Карта учёта'!$B$22,Расходка[[#This Row],[Наименование расходного материала]])),MAX($N$1:N67)+1,0)</f>
        <v>0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/>
      </c>
      <c r="Y68" s="198" t="str">
        <f>IFERROR(INDEX(Расходка[Наименование расходного материала],MATCH(Расходка[[#This Row],[№]],Поиск_расходки[Индекс8],0)),"")</f>
        <v/>
      </c>
      <c r="Z68" s="198" t="str">
        <f>IFERROR(INDEX(Расходка[Наименование расходного материала],MATCH(Расходка[[#This Row],[№]],Поиск_расходки[Индекс9],0)),"")</f>
        <v/>
      </c>
      <c r="AA68" s="198" t="str">
        <f>IFERROR(INDEX(Расходка[Наименование расходного материала],MATCH(Расходка[[#This Row],[№]],Поиск_расходки[Индекс10],0)),"")</f>
        <v/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335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0</v>
      </c>
      <c r="L69" s="197">
        <f>IF(ISNUMBER(SEARCH('Карта учёта'!$B$20,Расходка[[#This Row],[Наименование расходного материала]])),MAX($L$1:L68)+1,0)</f>
        <v>0</v>
      </c>
      <c r="M69" s="197">
        <f>IF(ISNUMBER(SEARCH('Карта учёта'!$B$21,Расходка[[#This Row],[Наименование расходного материала]])),MAX($M$1:M68)+1,0)</f>
        <v>0</v>
      </c>
      <c r="N69" s="197">
        <f>IF(ISNUMBER(SEARCH('Карта учёта'!$B$22,Расходка[[#This Row],[Наименование расходного материала]])),MAX($N$1:N68)+1,0)</f>
        <v>0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/>
      </c>
      <c r="Y69" s="198" t="str">
        <f>IFERROR(INDEX(Расходка[Наименование расходного материала],MATCH(Расходка[[#This Row],[№]],Поиск_расходки[Индекс8],0)),"")</f>
        <v/>
      </c>
      <c r="Z69" s="198" t="str">
        <f>IFERROR(INDEX(Расходка[Наименование расходного материала],MATCH(Расходка[[#This Row],[№]],Поиск_расходки[Индекс9],0)),"")</f>
        <v/>
      </c>
      <c r="AA69" s="198" t="str">
        <f>IFERROR(INDEX(Расходка[Наименование расходного материала],MATCH(Расходка[[#This Row],[№]],Поиск_расходки[Индекс10],0)),"")</f>
        <v/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330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0</v>
      </c>
      <c r="L70" s="197">
        <f>IF(ISNUMBER(SEARCH('Карта учёта'!$B$20,Расходка[[#This Row],[Наименование расходного материала]])),MAX($L$1:L69)+1,0)</f>
        <v>0</v>
      </c>
      <c r="M70" s="197">
        <f>IF(ISNUMBER(SEARCH('Карта учёта'!$B$21,Расходка[[#This Row],[Наименование расходного материала]])),MAX($M$1:M69)+1,0)</f>
        <v>0</v>
      </c>
      <c r="N70" s="197">
        <f>IF(ISNUMBER(SEARCH('Карта учёта'!$B$22,Расходка[[#This Row],[Наименование расходного материала]])),MAX($N$1:N69)+1,0)</f>
        <v>1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/>
      </c>
      <c r="Y70" s="198" t="str">
        <f>IFERROR(INDEX(Расходка[Наименование расходного материала],MATCH(Расходка[[#This Row],[№]],Поиск_расходки[Индекс8],0)),"")</f>
        <v/>
      </c>
      <c r="Z70" s="198" t="str">
        <f>IFERROR(INDEX(Расходка[Наименование расходного материала],MATCH(Расходка[[#This Row],[№]],Поиск_расходки[Индекс9],0)),"")</f>
        <v/>
      </c>
      <c r="AA70" s="198" t="str">
        <f>IFERROR(INDEX(Расходка[Наименование расходного материала],MATCH(Расходка[[#This Row],[№]],Поиск_расходки[Индекс10],0)),"")</f>
        <v/>
      </c>
      <c r="AB70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0" s="4" t="s">
        <v>6</v>
      </c>
      <c r="AG70" s="4" t="s">
        <v>465</v>
      </c>
    </row>
    <row r="71" spans="1:33">
      <c r="A71">
        <v>70</v>
      </c>
      <c r="B71" t="s">
        <v>4</v>
      </c>
      <c r="C71" t="s">
        <v>331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0</v>
      </c>
      <c r="L71" s="197">
        <f>IF(ISNUMBER(SEARCH('Карта учёта'!$B$20,Расходка[[#This Row],[Наименование расходного материала]])),MAX($L$1:L70)+1,0)</f>
        <v>0</v>
      </c>
      <c r="M71" s="197">
        <f>IF(ISNUMBER(SEARCH('Карта учёта'!$B$21,Расходка[[#This Row],[Наименование расходного материала]])),MAX($M$1:M70)+1,0)</f>
        <v>0</v>
      </c>
      <c r="N71" s="197">
        <f>IF(ISNUMBER(SEARCH('Карта учёта'!$B$22,Расходка[[#This Row],[Наименование расходного материала]])),MAX($N$1:N70)+1,0)</f>
        <v>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/>
      </c>
      <c r="Y71" s="198" t="str">
        <f>IFERROR(INDEX(Расходка[Наименование расходного материала],MATCH(Расходка[[#This Row],[№]],Поиск_расходки[Индекс8],0)),"")</f>
        <v/>
      </c>
      <c r="Z71" s="198" t="str">
        <f>IFERROR(INDEX(Расходка[Наименование расходного материала],MATCH(Расходка[[#This Row],[№]],Поиск_расходки[Индекс9],0)),"")</f>
        <v/>
      </c>
      <c r="AA71" s="198" t="str">
        <f>IFERROR(INDEX(Расходка[Наименование расходного материала],MATCH(Расходка[[#This Row],[№]],Поиск_расходки[Индекс10],0)),"")</f>
        <v/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1" s="4" t="s">
        <v>6</v>
      </c>
      <c r="AG71" s="4" t="s">
        <v>420</v>
      </c>
    </row>
    <row r="72" spans="1:33">
      <c r="A72">
        <v>71</v>
      </c>
      <c r="B72" t="s">
        <v>4</v>
      </c>
      <c r="C72" t="s">
        <v>341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0</v>
      </c>
      <c r="L72" s="197">
        <f>IF(ISNUMBER(SEARCH('Карта учёта'!$B$20,Расходка[[#This Row],[Наименование расходного материала]])),MAX($L$1:L71)+1,0)</f>
        <v>0</v>
      </c>
      <c r="M72" s="197">
        <f>IF(ISNUMBER(SEARCH('Карта учёта'!$B$21,Расходка[[#This Row],[Наименование расходного материала]])),MAX($M$1:M71)+1,0)</f>
        <v>0</v>
      </c>
      <c r="N72" s="197">
        <f>IF(ISNUMBER(SEARCH('Карта учёта'!$B$22,Расходка[[#This Row],[Наименование расходного материала]])),MAX($N$1:N71)+1,0)</f>
        <v>0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/>
      </c>
      <c r="Y72" s="198" t="str">
        <f>IFERROR(INDEX(Расходка[Наименование расходного материала],MATCH(Расходка[[#This Row],[№]],Поиск_расходки[Индекс8],0)),"")</f>
        <v/>
      </c>
      <c r="Z72" s="198" t="str">
        <f>IFERROR(INDEX(Расходка[Наименование расходного материала],MATCH(Расходка[[#This Row],[№]],Поиск_расходки[Индекс9],0)),"")</f>
        <v/>
      </c>
      <c r="AA72" s="198" t="str">
        <f>IFERROR(INDEX(Расходка[Наименование расходного материала],MATCH(Расходка[[#This Row],[№]],Поиск_расходки[Индекс10],0)),"")</f>
        <v/>
      </c>
      <c r="AB72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2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2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2" s="4" t="s">
        <v>6</v>
      </c>
      <c r="AG72" s="4" t="s">
        <v>466</v>
      </c>
    </row>
    <row r="73" spans="1:33">
      <c r="A73">
        <v>72</v>
      </c>
      <c r="B73" t="s">
        <v>4</v>
      </c>
      <c r="C73" t="s">
        <v>340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0</v>
      </c>
      <c r="L73" s="197">
        <f>IF(ISNUMBER(SEARCH('Карта учёта'!$B$20,Расходка[[#This Row],[Наименование расходного материала]])),MAX($L$1:L72)+1,0)</f>
        <v>0</v>
      </c>
      <c r="M73" s="197">
        <f>IF(ISNUMBER(SEARCH('Карта учёта'!$B$21,Расходка[[#This Row],[Наименование расходного материала]])),MAX($M$1:M72)+1,0)</f>
        <v>0</v>
      </c>
      <c r="N73" s="197">
        <f>IF(ISNUMBER(SEARCH('Карта учёта'!$B$22,Расходка[[#This Row],[Наименование расходного материала]])),MAX($N$1:N72)+1,0)</f>
        <v>0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/>
      </c>
      <c r="Z73" s="198" t="str">
        <f>IFERROR(INDEX(Расходка[Наименование расходного материала],MATCH(Расходка[[#This Row],[№]],Поиск_расходки[Индекс9],0)),"")</f>
        <v/>
      </c>
      <c r="AA73" s="198" t="str">
        <f>IFERROR(INDEX(Расходка[Наименование расходного материала],MATCH(Расходка[[#This Row],[№]],Поиск_расходки[Индекс10],0)),"")</f>
        <v/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3" s="4" t="s">
        <v>6</v>
      </c>
      <c r="AG73" s="4" t="s">
        <v>421</v>
      </c>
    </row>
    <row r="74" spans="1:33">
      <c r="A74">
        <v>73</v>
      </c>
      <c r="B74" t="s">
        <v>301</v>
      </c>
      <c r="C74" s="1" t="s">
        <v>332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0</v>
      </c>
      <c r="L74" s="197">
        <f>IF(ISNUMBER(SEARCH('Карта учёта'!$B$20,Расходка[[#This Row],[Наименование расходного материала]])),MAX($L$1:L73)+1,0)</f>
        <v>0</v>
      </c>
      <c r="M74" s="197">
        <f>IF(ISNUMBER(SEARCH('Карта учёта'!$B$21,Расходка[[#This Row],[Наименование расходного материала]])),MAX($M$1:M73)+1,0)</f>
        <v>0</v>
      </c>
      <c r="N74" s="197">
        <f>IF(ISNUMBER(SEARCH('Карта учёта'!$B$22,Расходка[[#This Row],[Наименование расходного материала]])),MAX($N$1:N73)+1,0)</f>
        <v>0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/>
      </c>
      <c r="Z74" s="198" t="str">
        <f>IFERROR(INDEX(Расходка[Наименование расходного материала],MATCH(Расходка[[#This Row],[№]],Поиск_расходки[Индекс9],0)),"")</f>
        <v/>
      </c>
      <c r="AA74" s="198" t="str">
        <f>IFERROR(INDEX(Расходка[Наименование расходного материала],MATCH(Расходка[[#This Row],[№]],Поиск_расходки[Индекс10],0)),"")</f>
        <v/>
      </c>
      <c r="AB74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4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4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4" s="4" t="s">
        <v>6</v>
      </c>
      <c r="AG74" s="4" t="s">
        <v>467</v>
      </c>
    </row>
    <row r="75" spans="1:33"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0</v>
      </c>
      <c r="M75" s="197">
        <f>IF(ISNUMBER(SEARCH('Карта учёта'!$B$21,Расходка[[#This Row],[Наименование расходного материала]])),MAX($M$1:M74)+1,0)</f>
        <v>0</v>
      </c>
      <c r="N75" s="197">
        <f>IF(ISNUMBER(SEARCH('Карта учёта'!$B$22,Расходка[[#This Row],[Наименование расходного материала]])),MAX($N$1:N74)+1,0)</f>
        <v>0</v>
      </c>
      <c r="O75" s="197">
        <f>IF(ISNUMBER(SEARCH('Карта учёта'!$B$23,Расходка[[#This Row],[Наименование расходного материала]])),MAX($O$1:O74)+1,0)</f>
        <v>0</v>
      </c>
      <c r="P75" s="197">
        <f>IF(ISNUMBER(SEARCH('Карта учёта'!$B$24,Расходка[[#This Row],[Наименование расходного материала]])),MAX($P$1:P74)+1,0)</f>
        <v>0</v>
      </c>
      <c r="Q75" s="197">
        <f>IF(ISNUMBER(SEARCH('Карта учёта'!$B$25,Расходка[[#This Row],[Наименование расходного материала]])),MAX($Q$1:Q74)+1,0)</f>
        <v>0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/>
      </c>
      <c r="Z75" s="198" t="str">
        <f>IFERROR(INDEX(Расходка[Наименование расходного материала],MATCH(Расходка[[#This Row],[№]],Поиск_расходки[Индекс9],0)),"")</f>
        <v/>
      </c>
      <c r="AA75" s="198" t="str">
        <f>IFERROR(INDEX(Расходка[Наименование расходного материала],MATCH(Расходка[[#This Row],[№]],Поиск_расходки[Индекс10],0)),"")</f>
        <v/>
      </c>
      <c r="AB75" s="198" t="str">
        <f>IFERROR(INDEX(Расходка[Наименование расходного материала],MATCH(Расходка[[#This Row],[№]],Поиск_расходки[Индекс11],0)),"")</f>
        <v/>
      </c>
      <c r="AC75" s="198" t="str">
        <f>IFERROR(INDEX(Расходка[Наименование расходного материала],MATCH(Расходка[[#This Row],[№]],Поиск_расходки[Индекс12],0)),"")</f>
        <v/>
      </c>
      <c r="AD75" s="198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48" sqref="C48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518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365</v>
      </c>
    </row>
    <row r="39" spans="1:2">
      <c r="A39" t="s">
        <v>170</v>
      </c>
      <c r="B39" t="s">
        <v>509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506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370</v>
      </c>
    </row>
    <row r="55" spans="1:2">
      <c r="A55" t="s">
        <v>303</v>
      </c>
      <c r="B55" t="s">
        <v>366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368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2024-06-19T09:41:19Z</cp:lastPrinted>
  <dcterms:created xsi:type="dcterms:W3CDTF">2015-06-05T18:19:34Z</dcterms:created>
  <dcterms:modified xsi:type="dcterms:W3CDTF">2024-06-19T10:10:34Z</dcterms:modified>
</cp:coreProperties>
</file>