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4\06\"/>
    </mc:Choice>
  </mc:AlternateContent>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activeTab="1"/>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3" l="1"/>
  <c r="C15" i="5" l="1"/>
  <c r="B15" i="9" l="1"/>
  <c r="E71" i="1" l="1"/>
  <c r="E72" i="1"/>
  <c r="E73" i="1"/>
  <c r="E74" i="1"/>
  <c r="E75" i="1"/>
  <c r="E76" i="1"/>
  <c r="E77" i="1"/>
  <c r="E78" i="1"/>
  <c r="F75" i="1"/>
  <c r="F76" i="1"/>
  <c r="F77" i="1"/>
  <c r="F78" i="1"/>
  <c r="G75" i="1"/>
  <c r="G76" i="1"/>
  <c r="G77" i="1"/>
  <c r="G78" i="1"/>
  <c r="H75" i="1"/>
  <c r="H76" i="1"/>
  <c r="H77" i="1"/>
  <c r="H78" i="1"/>
  <c r="I75" i="1"/>
  <c r="I76" i="1"/>
  <c r="I77" i="1"/>
  <c r="I78" i="1"/>
  <c r="J75" i="1"/>
  <c r="J76" i="1"/>
  <c r="J77" i="1"/>
  <c r="J78" i="1"/>
  <c r="K75" i="1"/>
  <c r="K76" i="1"/>
  <c r="K77" i="1"/>
  <c r="K78" i="1"/>
  <c r="L75" i="1"/>
  <c r="L76" i="1"/>
  <c r="L77" i="1"/>
  <c r="L78" i="1"/>
  <c r="M75" i="1"/>
  <c r="M76" i="1"/>
  <c r="M77" i="1"/>
  <c r="M78" i="1"/>
  <c r="N75" i="1"/>
  <c r="N76" i="1"/>
  <c r="N77" i="1"/>
  <c r="N78" i="1"/>
  <c r="O75" i="1"/>
  <c r="O76" i="1"/>
  <c r="O77" i="1"/>
  <c r="O78" i="1"/>
  <c r="P75" i="1"/>
  <c r="P76" i="1"/>
  <c r="P77" i="1"/>
  <c r="P78" i="1"/>
  <c r="Q75" i="1"/>
  <c r="Q76" i="1"/>
  <c r="Q77" i="1"/>
  <c r="Q78" i="1"/>
  <c r="R75" i="1"/>
  <c r="R76" i="1"/>
  <c r="R77" i="1"/>
  <c r="R78" i="1"/>
  <c r="S75" i="1"/>
  <c r="S76" i="1"/>
  <c r="S77" i="1"/>
  <c r="S78" i="1"/>
  <c r="T75" i="1"/>
  <c r="T76" i="1"/>
  <c r="T77" i="1"/>
  <c r="T78" i="1"/>
  <c r="U75" i="1"/>
  <c r="U76" i="1"/>
  <c r="U77" i="1"/>
  <c r="U78" i="1"/>
  <c r="V75" i="1"/>
  <c r="V76" i="1"/>
  <c r="V77" i="1"/>
  <c r="V78" i="1"/>
  <c r="W75" i="1"/>
  <c r="W76" i="1"/>
  <c r="W77" i="1"/>
  <c r="W78" i="1"/>
  <c r="X75" i="1"/>
  <c r="X76" i="1"/>
  <c r="X77" i="1"/>
  <c r="X78" i="1"/>
  <c r="Y75" i="1"/>
  <c r="Y76" i="1"/>
  <c r="Y77" i="1"/>
  <c r="Y78" i="1"/>
  <c r="Z75" i="1"/>
  <c r="Z76" i="1"/>
  <c r="Z77" i="1"/>
  <c r="Z78" i="1"/>
  <c r="AA75" i="1"/>
  <c r="AA76" i="1"/>
  <c r="AA77" i="1"/>
  <c r="AA78" i="1"/>
  <c r="AB75" i="1"/>
  <c r="AB76" i="1"/>
  <c r="AB77" i="1"/>
  <c r="AB78" i="1"/>
  <c r="AC75" i="1"/>
  <c r="AC76" i="1"/>
  <c r="AC77" i="1"/>
  <c r="AC78" i="1"/>
  <c r="AD75" i="1"/>
  <c r="AD76" i="1"/>
  <c r="AD77" i="1"/>
  <c r="AD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H22" i="9" s="1"/>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O9" i="1" s="1"/>
  <c r="O10" i="1" s="1"/>
  <c r="E8" i="1"/>
  <c r="E9" i="1" s="1"/>
  <c r="Q7" i="1"/>
  <c r="E10" i="1"/>
  <c r="J7" i="1"/>
  <c r="G8" i="1"/>
  <c r="N9" i="1"/>
  <c r="I7" i="1"/>
  <c r="F7" i="1"/>
  <c r="M7" i="1"/>
  <c r="H8" i="1"/>
  <c r="L9" i="1"/>
  <c r="K8" i="1"/>
  <c r="P9" i="1" l="1"/>
  <c r="O11" i="1"/>
  <c r="O12" i="1" s="1"/>
  <c r="O13" i="1" s="1"/>
  <c r="Q8" i="1"/>
  <c r="Q9" i="1" s="1"/>
  <c r="J8" i="1"/>
  <c r="E11" i="1"/>
  <c r="E12" i="1" s="1"/>
  <c r="E13" i="1" s="1"/>
  <c r="E14" i="1" s="1"/>
  <c r="E15" i="1" s="1"/>
  <c r="M8" i="1"/>
  <c r="N10" i="1"/>
  <c r="I8" i="1"/>
  <c r="G9" i="1"/>
  <c r="H9" i="1"/>
  <c r="F8" i="1"/>
  <c r="K9" i="1"/>
  <c r="L10" i="1"/>
  <c r="P10" i="1" l="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P12" i="1" s="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O19" i="1" l="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P13" i="1"/>
  <c r="P14"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O56" i="1"/>
  <c r="O57" i="1" s="1"/>
  <c r="P16" i="1"/>
  <c r="E65" i="1"/>
  <c r="N18" i="1"/>
  <c r="N19" i="1" s="1"/>
  <c r="J19" i="1"/>
  <c r="J20" i="1" s="1"/>
  <c r="J21" i="1" s="1"/>
  <c r="AD56" i="1"/>
  <c r="Q61" i="1"/>
  <c r="AD61" i="1" s="1"/>
  <c r="AD60" i="1"/>
  <c r="AD57" i="1"/>
  <c r="AD59" i="1"/>
  <c r="H23" i="1"/>
  <c r="K18" i="1"/>
  <c r="K19" i="1" s="1"/>
  <c r="K20" i="1" s="1"/>
  <c r="K21" i="1" s="1"/>
  <c r="K22" i="1" s="1"/>
  <c r="K23" i="1" s="1"/>
  <c r="K24" i="1" s="1"/>
  <c r="I25" i="1"/>
  <c r="I26" i="1" s="1"/>
  <c r="AD4" i="1"/>
  <c r="AD6" i="1"/>
  <c r="AD5" i="1"/>
  <c r="AD7" i="1"/>
  <c r="AD15" i="1"/>
  <c r="AD13" i="1"/>
  <c r="M21" i="1"/>
  <c r="L18" i="1"/>
  <c r="G16" i="1"/>
  <c r="G17" i="1" s="1"/>
  <c r="F20" i="1"/>
  <c r="O58" i="1" l="1"/>
  <c r="O59" i="1" s="1"/>
  <c r="P17" i="1"/>
  <c r="E66" i="1"/>
  <c r="Q62" i="1"/>
  <c r="J22" i="1"/>
  <c r="J23" i="1" s="1"/>
  <c r="J24" i="1" s="1"/>
  <c r="N20" i="1"/>
  <c r="N21" i="1" s="1"/>
  <c r="N22" i="1" s="1"/>
  <c r="K25" i="1"/>
  <c r="K26" i="1" s="1"/>
  <c r="K27" i="1" s="1"/>
  <c r="H24" i="1"/>
  <c r="AD18" i="1"/>
  <c r="G18" i="1"/>
  <c r="G19" i="1" s="1"/>
  <c r="G20" i="1" s="1"/>
  <c r="I27" i="1"/>
  <c r="M22" i="1"/>
  <c r="L19" i="1"/>
  <c r="L20" i="1" s="1"/>
  <c r="F21" i="1"/>
  <c r="O60" i="1" l="1"/>
  <c r="P18" i="1"/>
  <c r="E67" i="1"/>
  <c r="AD62" i="1"/>
  <c r="Q63" i="1"/>
  <c r="Q64" i="1" s="1"/>
  <c r="Q65" i="1" s="1"/>
  <c r="Q66" i="1" s="1"/>
  <c r="O61" i="1"/>
  <c r="K28" i="1"/>
  <c r="K29" i="1" s="1"/>
  <c r="AD26" i="1"/>
  <c r="G21" i="1"/>
  <c r="G22" i="1" s="1"/>
  <c r="G23" i="1" s="1"/>
  <c r="H25" i="1"/>
  <c r="I28" i="1"/>
  <c r="M23" i="1"/>
  <c r="J25" i="1"/>
  <c r="N23" i="1"/>
  <c r="L21" i="1"/>
  <c r="F22" i="1"/>
  <c r="P19" i="1" l="1"/>
  <c r="E68" i="1"/>
  <c r="Q67" i="1"/>
  <c r="AD66" i="1"/>
  <c r="AD67" i="1"/>
  <c r="AD21" i="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AC18" i="1"/>
  <c r="AC4" i="1"/>
  <c r="AC13" i="1"/>
  <c r="AC5" i="1"/>
  <c r="AC6" i="1"/>
  <c r="AC7" i="1"/>
  <c r="AC19" i="1"/>
  <c r="AC15" i="1"/>
  <c r="F25" i="1"/>
  <c r="O64" i="1" l="1"/>
  <c r="P21" i="1"/>
  <c r="Q69" i="1"/>
  <c r="AD69" i="1" s="1"/>
  <c r="AD68"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AB2" i="1"/>
  <c r="O65" i="1" l="1"/>
  <c r="P22" i="1"/>
  <c r="AC21" i="1"/>
  <c r="Q70" i="1"/>
  <c r="Q71" i="1" s="1"/>
  <c r="Q72" i="1" s="1"/>
  <c r="J50" i="1"/>
  <c r="J51" i="1" s="1"/>
  <c r="H47" i="1"/>
  <c r="H48" i="1" s="1"/>
  <c r="I47" i="1"/>
  <c r="I48" i="1" s="1"/>
  <c r="I49" i="1" s="1"/>
  <c r="I50" i="1" s="1"/>
  <c r="K43" i="1"/>
  <c r="N27" i="1"/>
  <c r="M28" i="1"/>
  <c r="M29" i="1" s="1"/>
  <c r="L30" i="1"/>
  <c r="G29" i="1"/>
  <c r="F28" i="1"/>
  <c r="O67" i="1" l="1"/>
  <c r="O68" i="1" s="1"/>
  <c r="O66" i="1"/>
  <c r="P23" i="1"/>
  <c r="AD58" i="1"/>
  <c r="Q73" i="1"/>
  <c r="AD71" i="1"/>
  <c r="AD72"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AB13" i="1"/>
  <c r="AB19" i="1"/>
  <c r="AB5" i="1"/>
  <c r="AB15" i="1"/>
  <c r="AB4" i="1"/>
  <c r="AB18" i="1"/>
  <c r="AB26" i="1"/>
  <c r="AB66" i="1"/>
  <c r="AB59" i="1"/>
  <c r="AB67" i="1"/>
  <c r="AB58" i="1"/>
  <c r="AB71" i="1"/>
  <c r="AB68" i="1"/>
  <c r="AB62" i="1"/>
  <c r="AB72" i="1"/>
  <c r="AB70" i="1"/>
  <c r="AB69" i="1"/>
  <c r="AB57" i="1"/>
  <c r="AB61" i="1"/>
  <c r="AB21" i="1"/>
  <c r="AB6" i="1"/>
  <c r="AB56" i="1"/>
  <c r="AB7" i="1"/>
  <c r="AB60" i="1"/>
  <c r="AB63" i="1"/>
  <c r="AB65" i="1"/>
  <c r="AB64" i="1"/>
  <c r="AD73" i="1"/>
  <c r="Q74" i="1"/>
  <c r="AD74" i="1" s="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B25" i="1"/>
  <c r="O74" i="1" l="1"/>
  <c r="AB74" i="1" s="1"/>
  <c r="O73" i="1"/>
  <c r="AB73" i="1" s="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B30" i="1"/>
  <c r="N31" i="1"/>
  <c r="P26" i="1" l="1"/>
  <c r="AC25" i="1"/>
  <c r="H65" i="1"/>
  <c r="J67" i="1"/>
  <c r="W2" i="1"/>
  <c r="I54" i="1"/>
  <c r="I55" i="1" s="1"/>
  <c r="I56" i="1" s="1"/>
  <c r="I57" i="1" s="1"/>
  <c r="I58" i="1" s="1"/>
  <c r="I59" i="1" s="1"/>
  <c r="I60" i="1" s="1"/>
  <c r="I61" i="1" s="1"/>
  <c r="I62" i="1" s="1"/>
  <c r="F51" i="1"/>
  <c r="G47" i="1"/>
  <c r="K47" i="1"/>
  <c r="L35" i="1"/>
  <c r="M34" i="1"/>
  <c r="AB31" i="1"/>
  <c r="N32" i="1"/>
  <c r="N33" i="1" s="1"/>
  <c r="AB29" i="1"/>
  <c r="P27" i="1" l="1"/>
  <c r="AC26" i="1"/>
  <c r="H66" i="1"/>
  <c r="J68" i="1"/>
  <c r="I63" i="1"/>
  <c r="I64" i="1" s="1"/>
  <c r="I65" i="1" s="1"/>
  <c r="I66" i="1" s="1"/>
  <c r="F52" i="1"/>
  <c r="AD36" i="1"/>
  <c r="G48" i="1"/>
  <c r="K48" i="1"/>
  <c r="L36" i="1"/>
  <c r="M35" i="1"/>
  <c r="AC17" i="1"/>
  <c r="N34" i="1"/>
  <c r="N35" i="1" s="1"/>
  <c r="N36" i="1" s="1"/>
  <c r="N37" i="1" s="1"/>
  <c r="N38" i="1" s="1"/>
  <c r="N39" i="1" s="1"/>
  <c r="N40" i="1" s="1"/>
  <c r="N41" i="1" s="1"/>
  <c r="N42" i="1" s="1"/>
  <c r="AB17" i="1"/>
  <c r="P28" i="1" l="1"/>
  <c r="I67" i="1"/>
  <c r="I68" i="1" s="1"/>
  <c r="I69" i="1" s="1"/>
  <c r="H67" i="1"/>
  <c r="J69" i="1"/>
  <c r="V2" i="1"/>
  <c r="AD37" i="1"/>
  <c r="F53" i="1"/>
  <c r="F54" i="1" s="1"/>
  <c r="F55" i="1" s="1"/>
  <c r="F56" i="1" s="1"/>
  <c r="F57" i="1" s="1"/>
  <c r="F58" i="1" s="1"/>
  <c r="F59" i="1" s="1"/>
  <c r="F60" i="1" s="1"/>
  <c r="F61" i="1" s="1"/>
  <c r="F62" i="1" s="1"/>
  <c r="K49" i="1"/>
  <c r="K50" i="1" s="1"/>
  <c r="G49" i="1"/>
  <c r="N43" i="1"/>
  <c r="AB40" i="1"/>
  <c r="AB32" i="1"/>
  <c r="L37" i="1"/>
  <c r="AC16" i="1"/>
  <c r="AB37" i="1"/>
  <c r="AB16" i="1"/>
  <c r="M36" i="1"/>
  <c r="AB36" i="1"/>
  <c r="AB34" i="1"/>
  <c r="AB22" i="1"/>
  <c r="AC22" i="1"/>
  <c r="P29" i="1" l="1"/>
  <c r="J70" i="1"/>
  <c r="I70" i="1"/>
  <c r="H68" i="1"/>
  <c r="H69" i="1" s="1"/>
  <c r="H70" i="1" s="1"/>
  <c r="H71" i="1" s="1"/>
  <c r="H72" i="1" s="1"/>
  <c r="F63" i="1"/>
  <c r="F64" i="1" s="1"/>
  <c r="F65" i="1" s="1"/>
  <c r="F66" i="1" s="1"/>
  <c r="F67" i="1" s="1"/>
  <c r="F68" i="1" s="1"/>
  <c r="F69" i="1" s="1"/>
  <c r="AB38" i="1"/>
  <c r="AB41" i="1"/>
  <c r="AB39" i="1"/>
  <c r="AB42" i="1"/>
  <c r="K51" i="1"/>
  <c r="G50" i="1"/>
  <c r="AD38" i="1"/>
  <c r="N44" i="1"/>
  <c r="AB43" i="1"/>
  <c r="L38" i="1"/>
  <c r="L39" i="1" s="1"/>
  <c r="AB33" i="1"/>
  <c r="M37" i="1"/>
  <c r="P30" i="1" l="1"/>
  <c r="AC29" i="1"/>
  <c r="H73" i="1"/>
  <c r="J71" i="1"/>
  <c r="I71" i="1"/>
  <c r="F70" i="1"/>
  <c r="F71" i="1" s="1"/>
  <c r="F72" i="1" s="1"/>
  <c r="F73" i="1" s="1"/>
  <c r="U2" i="1"/>
  <c r="K52" i="1"/>
  <c r="K53" i="1" s="1"/>
  <c r="G51" i="1"/>
  <c r="AD39" i="1"/>
  <c r="AC23" i="1"/>
  <c r="AB46" i="1"/>
  <c r="N45" i="1"/>
  <c r="L40" i="1"/>
  <c r="M38" i="1"/>
  <c r="M39" i="1" s="1"/>
  <c r="M40" i="1" s="1"/>
  <c r="S2" i="1" l="1"/>
  <c r="H74" i="1"/>
  <c r="U43" i="1" s="1"/>
  <c r="F74" i="1"/>
  <c r="S74" i="1" s="1"/>
  <c r="U68" i="1"/>
  <c r="U59" i="1"/>
  <c r="U58" i="1"/>
  <c r="U44" i="1"/>
  <c r="U41" i="1"/>
  <c r="U51" i="1"/>
  <c r="U39" i="1"/>
  <c r="U40" i="1"/>
  <c r="U60" i="1"/>
  <c r="U56" i="1"/>
  <c r="U54" i="1"/>
  <c r="U47" i="1"/>
  <c r="U61" i="1"/>
  <c r="U46" i="1"/>
  <c r="U45" i="1"/>
  <c r="U55" i="1"/>
  <c r="U42" i="1"/>
  <c r="U64" i="1"/>
  <c r="U69" i="1"/>
  <c r="U57" i="1"/>
  <c r="U52" i="1"/>
  <c r="U66" i="1"/>
  <c r="U70" i="1"/>
  <c r="U72" i="1"/>
  <c r="U73" i="1"/>
  <c r="P31" i="1"/>
  <c r="AC31" i="1"/>
  <c r="AC30" i="1"/>
  <c r="I72" i="1"/>
  <c r="J72" i="1"/>
  <c r="S67" i="1"/>
  <c r="N46" i="1"/>
  <c r="N47" i="1" s="1"/>
  <c r="N48" i="1" s="1"/>
  <c r="G52" i="1"/>
  <c r="K54" i="1"/>
  <c r="K55" i="1" s="1"/>
  <c r="K56" i="1" s="1"/>
  <c r="K57" i="1" s="1"/>
  <c r="K58" i="1" s="1"/>
  <c r="K59" i="1" s="1"/>
  <c r="K60" i="1" s="1"/>
  <c r="K61" i="1" s="1"/>
  <c r="K62" i="1" s="1"/>
  <c r="K63" i="1" s="1"/>
  <c r="K64" i="1" s="1"/>
  <c r="K65" i="1" s="1"/>
  <c r="K66" i="1" s="1"/>
  <c r="AB23" i="1"/>
  <c r="AB47" i="1"/>
  <c r="M41" i="1"/>
  <c r="L41" i="1"/>
  <c r="S56" i="1" l="1"/>
  <c r="S55" i="1"/>
  <c r="S44" i="1"/>
  <c r="S71" i="1"/>
  <c r="S48" i="1"/>
  <c r="S61" i="1"/>
  <c r="S70" i="1"/>
  <c r="S72" i="1"/>
  <c r="S52" i="1"/>
  <c r="S65" i="1"/>
  <c r="S45" i="1"/>
  <c r="S41" i="1"/>
  <c r="S51" i="1"/>
  <c r="S47" i="1"/>
  <c r="S64" i="1"/>
  <c r="S60" i="1"/>
  <c r="S66" i="1"/>
  <c r="U65" i="1"/>
  <c r="U63" i="1"/>
  <c r="U74" i="1"/>
  <c r="U71" i="1"/>
  <c r="U62" i="1"/>
  <c r="U50" i="1"/>
  <c r="U49" i="1"/>
  <c r="U67" i="1"/>
  <c r="U48" i="1"/>
  <c r="U53" i="1"/>
  <c r="S54" i="1"/>
  <c r="S68" i="1"/>
  <c r="S53" i="1"/>
  <c r="S49" i="1"/>
  <c r="S63" i="1"/>
  <c r="S46" i="1"/>
  <c r="S40" i="1"/>
  <c r="S62" i="1"/>
  <c r="S69" i="1"/>
  <c r="S50" i="1"/>
  <c r="S42" i="1"/>
  <c r="S57" i="1"/>
  <c r="S58" i="1"/>
  <c r="S39" i="1"/>
  <c r="S59" i="1"/>
  <c r="S43" i="1"/>
  <c r="S73" i="1"/>
  <c r="P32" i="1"/>
  <c r="AC32" i="1"/>
  <c r="J73" i="1"/>
  <c r="I73" i="1"/>
  <c r="K67" i="1"/>
  <c r="G53" i="1"/>
  <c r="N49" i="1"/>
  <c r="N50" i="1" s="1"/>
  <c r="AB35" i="1"/>
  <c r="AC28"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J74" i="1" l="1"/>
  <c r="W48" i="1" s="1"/>
  <c r="I74" i="1"/>
  <c r="V66" i="1" s="1"/>
  <c r="V60" i="1"/>
  <c r="P33" i="1"/>
  <c r="AC33" i="1"/>
  <c r="K68" i="1"/>
  <c r="G54" i="1"/>
  <c r="R2" i="1"/>
  <c r="N51" i="1"/>
  <c r="N52" i="1" s="1"/>
  <c r="N53" i="1" s="1"/>
  <c r="N54" i="1" s="1"/>
  <c r="N55" i="1" s="1"/>
  <c r="AB45" i="1"/>
  <c r="AC11" i="1"/>
  <c r="AC27" i="1"/>
  <c r="AC10" i="1"/>
  <c r="AC8" i="1"/>
  <c r="AC24" i="1"/>
  <c r="AC9" i="1"/>
  <c r="AC12" i="1"/>
  <c r="M43" i="1"/>
  <c r="L43" i="1"/>
  <c r="V53" i="1" l="1"/>
  <c r="V56" i="1"/>
  <c r="V41" i="1"/>
  <c r="V39" i="1"/>
  <c r="W50" i="1"/>
  <c r="W42" i="1"/>
  <c r="W62" i="1"/>
  <c r="W71" i="1"/>
  <c r="W39" i="1"/>
  <c r="W54" i="1"/>
  <c r="W47" i="1"/>
  <c r="W69" i="1"/>
  <c r="W55" i="1"/>
  <c r="W57" i="1"/>
  <c r="V46" i="1"/>
  <c r="W66" i="1"/>
  <c r="W46" i="1"/>
  <c r="W65" i="1"/>
  <c r="W64" i="1"/>
  <c r="W52" i="1"/>
  <c r="W53" i="1"/>
  <c r="W68" i="1"/>
  <c r="W70" i="1"/>
  <c r="W49" i="1"/>
  <c r="W45" i="1"/>
  <c r="W74" i="1"/>
  <c r="W41" i="1"/>
  <c r="W67" i="1"/>
  <c r="W40" i="1"/>
  <c r="W73" i="1"/>
  <c r="W44" i="1"/>
  <c r="W63" i="1"/>
  <c r="W58" i="1"/>
  <c r="W51" i="1"/>
  <c r="W56" i="1"/>
  <c r="W60" i="1"/>
  <c r="W61" i="1"/>
  <c r="W72" i="1"/>
  <c r="W59" i="1"/>
  <c r="W43" i="1"/>
  <c r="V73" i="1"/>
  <c r="V45" i="1"/>
  <c r="V63" i="1"/>
  <c r="V62" i="1"/>
  <c r="V42" i="1"/>
  <c r="V70" i="1"/>
  <c r="V74" i="1"/>
  <c r="V51" i="1"/>
  <c r="V69" i="1"/>
  <c r="V43" i="1"/>
  <c r="V64" i="1"/>
  <c r="V71" i="1"/>
  <c r="V48" i="1"/>
  <c r="V54" i="1"/>
  <c r="V67" i="1"/>
  <c r="V68" i="1"/>
  <c r="V59" i="1"/>
  <c r="V49" i="1"/>
  <c r="V52" i="1"/>
  <c r="V50" i="1"/>
  <c r="V65" i="1"/>
  <c r="V47" i="1"/>
  <c r="V55" i="1"/>
  <c r="V58" i="1"/>
  <c r="V44" i="1"/>
  <c r="V57" i="1"/>
  <c r="V61" i="1"/>
  <c r="V40" i="1"/>
  <c r="V72" i="1"/>
  <c r="AC34" i="1"/>
  <c r="P34" i="1"/>
  <c r="K69" i="1"/>
  <c r="N56" i="1"/>
  <c r="N57" i="1" s="1"/>
  <c r="N58" i="1" s="1"/>
  <c r="G55" i="1"/>
  <c r="AC3" i="1"/>
  <c r="AC20" i="1"/>
  <c r="AC14"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P35" i="1" l="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P36" i="1" l="1"/>
  <c r="AC35" i="1"/>
  <c r="AC36" i="1"/>
  <c r="K72" i="1"/>
  <c r="N60" i="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1" i="1" l="1"/>
  <c r="N62" i="1" s="1"/>
  <c r="N63" i="1" s="1"/>
  <c r="N64" i="1" s="1"/>
  <c r="N65" i="1" s="1"/>
  <c r="N66" i="1" s="1"/>
  <c r="P37" i="1"/>
  <c r="K73" i="1"/>
  <c r="T2"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N67" i="1" l="1"/>
  <c r="K74" i="1"/>
  <c r="X30" i="1" s="1"/>
  <c r="P38" i="1"/>
  <c r="AC38" i="1"/>
  <c r="X14" i="1"/>
  <c r="X63" i="1"/>
  <c r="X8" i="1"/>
  <c r="X57" i="1"/>
  <c r="X36" i="1"/>
  <c r="X40" i="1"/>
  <c r="X22" i="1"/>
  <c r="X27" i="1"/>
  <c r="X31" i="1"/>
  <c r="X12" i="1"/>
  <c r="X58" i="1"/>
  <c r="X55" i="1"/>
  <c r="X64" i="1"/>
  <c r="X68" i="1"/>
  <c r="X62" i="1"/>
  <c r="X21" i="1"/>
  <c r="X15" i="1"/>
  <c r="X20" i="1"/>
  <c r="X17" i="1"/>
  <c r="X7" i="1"/>
  <c r="X49" i="1"/>
  <c r="X46" i="1"/>
  <c r="X70" i="1"/>
  <c r="X2" i="1"/>
  <c r="X60" i="1"/>
  <c r="X51" i="1"/>
  <c r="X52" i="1"/>
  <c r="X28" i="1"/>
  <c r="X19" i="1"/>
  <c r="X61" i="1"/>
  <c r="X69" i="1"/>
  <c r="X5" i="1"/>
  <c r="N68" i="1"/>
  <c r="G62" i="1"/>
  <c r="G63" i="1" s="1"/>
  <c r="M51" i="1"/>
  <c r="M52" i="1" s="1"/>
  <c r="M53" i="1" s="1"/>
  <c r="L50" i="1"/>
  <c r="X35" i="1" l="1"/>
  <c r="X25" i="1"/>
  <c r="X3" i="1"/>
  <c r="X33" i="1"/>
  <c r="X18" i="1"/>
  <c r="X41" i="1"/>
  <c r="X53" i="1"/>
  <c r="X29" i="1"/>
  <c r="X32" i="1"/>
  <c r="X39" i="1"/>
  <c r="X67" i="1"/>
  <c r="X9" i="1"/>
  <c r="X56" i="1"/>
  <c r="X73" i="1"/>
  <c r="X42" i="1"/>
  <c r="X6" i="1"/>
  <c r="X43" i="1"/>
  <c r="X59" i="1"/>
  <c r="X66" i="1"/>
  <c r="X4" i="1"/>
  <c r="X38" i="1"/>
  <c r="X48" i="1"/>
  <c r="X74" i="1"/>
  <c r="X71" i="1"/>
  <c r="X47" i="1"/>
  <c r="X13" i="1"/>
  <c r="X16" i="1"/>
  <c r="X54" i="1"/>
  <c r="X50" i="1"/>
  <c r="X65" i="1"/>
  <c r="X26" i="1"/>
  <c r="X24" i="1"/>
  <c r="X34" i="1"/>
  <c r="X11" i="1"/>
  <c r="X44" i="1"/>
  <c r="X37" i="1"/>
  <c r="X45" i="1"/>
  <c r="X23" i="1"/>
  <c r="X10" i="1"/>
  <c r="X72" i="1"/>
  <c r="P39" i="1"/>
  <c r="N69" i="1"/>
  <c r="G64" i="1"/>
  <c r="M54" i="1"/>
  <c r="M55" i="1" s="1"/>
  <c r="L51" i="1"/>
  <c r="L52" i="1" s="1"/>
  <c r="L53" i="1" s="1"/>
  <c r="P40" i="1" l="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AC44" i="1"/>
  <c r="AC45" i="1"/>
  <c r="N70" i="1"/>
  <c r="G65" i="1"/>
  <c r="G66" i="1" s="1"/>
  <c r="G67" i="1" s="1"/>
  <c r="G68" i="1" s="1"/>
  <c r="G69" i="1" s="1"/>
  <c r="G70" i="1" s="1"/>
  <c r="G71" i="1" s="1"/>
  <c r="G72" i="1" s="1"/>
  <c r="M56" i="1"/>
  <c r="M57" i="1" s="1"/>
  <c r="L54" i="1"/>
  <c r="AA2" i="1" l="1"/>
  <c r="AC54" i="1"/>
  <c r="AC52" i="1"/>
  <c r="AC68" i="1"/>
  <c r="P69" i="1"/>
  <c r="P70" i="1" s="1"/>
  <c r="P71" i="1" s="1"/>
  <c r="P72" i="1" s="1"/>
  <c r="P73" i="1" s="1"/>
  <c r="AC53" i="1"/>
  <c r="AC50" i="1"/>
  <c r="AC49" i="1"/>
  <c r="AC48" i="1"/>
  <c r="G73" i="1"/>
  <c r="N71" i="1"/>
  <c r="M58" i="1"/>
  <c r="M59" i="1" s="1"/>
  <c r="M60" i="1" s="1"/>
  <c r="L55" i="1"/>
  <c r="L56" i="1" s="1"/>
  <c r="L57" i="1" s="1"/>
  <c r="L58" i="1" s="1"/>
  <c r="L59" i="1" s="1"/>
  <c r="L60" i="1" s="1"/>
  <c r="L61" i="1" s="1"/>
  <c r="L62" i="1" s="1"/>
  <c r="L63" i="1" s="1"/>
  <c r="L64" i="1" s="1"/>
  <c r="L65" i="1" s="1"/>
  <c r="L66" i="1" s="1"/>
  <c r="G74" i="1" l="1"/>
  <c r="AC73" i="1"/>
  <c r="P74" i="1"/>
  <c r="AC51" i="1" s="1"/>
  <c r="N72" i="1"/>
  <c r="N73" i="1" s="1"/>
  <c r="L67" i="1"/>
  <c r="M61" i="1"/>
  <c r="T6" i="1" l="1"/>
  <c r="T3" i="1"/>
  <c r="T5" i="1"/>
  <c r="T4" i="1"/>
  <c r="T74" i="1"/>
  <c r="T73" i="1"/>
  <c r="T71" i="1"/>
  <c r="T34" i="1"/>
  <c r="T40" i="1"/>
  <c r="T58" i="1"/>
  <c r="T64" i="1"/>
  <c r="T47" i="1"/>
  <c r="T66" i="1"/>
  <c r="T49" i="1"/>
  <c r="T50" i="1"/>
  <c r="T17" i="1"/>
  <c r="T33" i="1"/>
  <c r="T44" i="1"/>
  <c r="T68" i="1"/>
  <c r="T48" i="1"/>
  <c r="T9" i="1"/>
  <c r="T46" i="1"/>
  <c r="T15" i="1"/>
  <c r="T65" i="1"/>
  <c r="T67" i="1"/>
  <c r="T24" i="1"/>
  <c r="T57" i="1"/>
  <c r="T36" i="1"/>
  <c r="T43" i="1"/>
  <c r="T51" i="1"/>
  <c r="T20" i="1"/>
  <c r="T60" i="1"/>
  <c r="T39" i="1"/>
  <c r="T8" i="1"/>
  <c r="T72" i="1"/>
  <c r="T13" i="1"/>
  <c r="T10" i="1"/>
  <c r="T7" i="1"/>
  <c r="T11" i="1"/>
  <c r="T37" i="1"/>
  <c r="T35" i="1"/>
  <c r="T23" i="1"/>
  <c r="T28" i="1"/>
  <c r="T53" i="1"/>
  <c r="T59" i="1"/>
  <c r="T27" i="1"/>
  <c r="T70" i="1"/>
  <c r="T52" i="1"/>
  <c r="T22" i="1"/>
  <c r="T14" i="1"/>
  <c r="T31" i="1"/>
  <c r="T29" i="1"/>
  <c r="T55" i="1"/>
  <c r="T56" i="1"/>
  <c r="T61" i="1"/>
  <c r="T12" i="1"/>
  <c r="T16" i="1"/>
  <c r="T30" i="1"/>
  <c r="T25" i="1"/>
  <c r="T26" i="1"/>
  <c r="T32" i="1"/>
  <c r="T63" i="1"/>
  <c r="T69" i="1"/>
  <c r="T54" i="1"/>
  <c r="T42" i="1"/>
  <c r="T45" i="1"/>
  <c r="T21" i="1"/>
  <c r="T19" i="1"/>
  <c r="T62" i="1"/>
  <c r="T18" i="1"/>
  <c r="T41" i="1"/>
  <c r="T38" i="1"/>
  <c r="N74" i="1"/>
  <c r="AA44" i="1" s="1"/>
  <c r="AC74" i="1"/>
  <c r="AC57" i="1"/>
  <c r="AC56" i="1"/>
  <c r="AC66" i="1"/>
  <c r="AC67" i="1"/>
  <c r="AC62" i="1"/>
  <c r="AC59" i="1"/>
  <c r="AC65" i="1"/>
  <c r="AC64" i="1"/>
  <c r="AC63" i="1"/>
  <c r="AC61" i="1"/>
  <c r="AC60" i="1"/>
  <c r="AC69" i="1"/>
  <c r="AC70" i="1"/>
  <c r="AC58" i="1"/>
  <c r="AC71" i="1"/>
  <c r="AC72" i="1"/>
  <c r="AC42" i="1"/>
  <c r="AC37" i="1"/>
  <c r="AC43" i="1"/>
  <c r="AC41" i="1"/>
  <c r="AC47" i="1"/>
  <c r="AC40" i="1"/>
  <c r="AC39" i="1"/>
  <c r="AC55" i="1"/>
  <c r="AC46" i="1"/>
  <c r="L68" i="1"/>
  <c r="M62" i="1"/>
  <c r="Y2" i="1"/>
  <c r="AA3" i="1" l="1"/>
  <c r="AA58" i="1"/>
  <c r="AA72" i="1"/>
  <c r="AA73" i="1"/>
  <c r="AA21" i="1"/>
  <c r="AA27" i="1"/>
  <c r="AA10" i="1"/>
  <c r="AA22" i="1"/>
  <c r="AA13" i="1"/>
  <c r="AA6" i="1"/>
  <c r="AA43" i="1"/>
  <c r="AA31" i="1"/>
  <c r="AA30" i="1"/>
  <c r="AA59" i="1"/>
  <c r="AA14" i="1"/>
  <c r="AA23" i="1"/>
  <c r="AA54" i="1"/>
  <c r="AA65" i="1"/>
  <c r="AA53" i="1"/>
  <c r="AA47" i="1"/>
  <c r="AA17" i="1"/>
  <c r="AA8" i="1"/>
  <c r="AA39" i="1"/>
  <c r="AA61" i="1"/>
  <c r="AA18" i="1"/>
  <c r="AA15" i="1"/>
  <c r="AA70" i="1"/>
  <c r="AA25" i="1"/>
  <c r="AA37" i="1"/>
  <c r="AA28" i="1"/>
  <c r="AA68" i="1"/>
  <c r="AA19" i="1"/>
  <c r="AA38" i="1"/>
  <c r="AA62" i="1"/>
  <c r="AA63" i="1"/>
  <c r="AA60" i="1"/>
  <c r="AA66" i="1"/>
  <c r="AA64" i="1"/>
  <c r="AA71" i="1"/>
  <c r="AA45" i="1"/>
  <c r="AA50" i="1"/>
  <c r="AA55" i="1"/>
  <c r="AA46" i="1"/>
  <c r="AA29" i="1"/>
  <c r="AA16" i="1"/>
  <c r="AA67" i="1"/>
  <c r="AA7" i="1"/>
  <c r="AA20" i="1"/>
  <c r="AA48" i="1"/>
  <c r="AA49" i="1"/>
  <c r="AA33" i="1"/>
  <c r="AA40" i="1"/>
  <c r="AA35" i="1"/>
  <c r="AA42" i="1"/>
  <c r="AA12" i="1"/>
  <c r="AA34" i="1"/>
  <c r="AA9" i="1"/>
  <c r="AA36" i="1"/>
  <c r="AA41" i="1"/>
  <c r="AA5" i="1"/>
  <c r="AA32" i="1"/>
  <c r="AA69" i="1"/>
  <c r="AA56" i="1"/>
  <c r="AA24" i="1"/>
  <c r="AA11" i="1"/>
  <c r="AA52" i="1"/>
  <c r="AA26" i="1"/>
  <c r="AA4" i="1"/>
  <c r="AA57" i="1"/>
  <c r="AA74" i="1"/>
  <c r="AA51" i="1"/>
  <c r="L69" i="1"/>
  <c r="M63" i="1"/>
  <c r="M64" i="1" s="1"/>
  <c r="M65" i="1" s="1"/>
  <c r="M66" i="1" s="1"/>
  <c r="L70" i="1" l="1"/>
  <c r="M67" i="1"/>
  <c r="L71" i="1" l="1"/>
  <c r="L72" i="1" s="1"/>
  <c r="L73" i="1" s="1"/>
  <c r="M68" i="1"/>
  <c r="L74" i="1" l="1"/>
  <c r="M69" i="1"/>
  <c r="Y69" i="1" l="1"/>
  <c r="Y63" i="1"/>
  <c r="Y20" i="1"/>
  <c r="Y64" i="1"/>
  <c r="Y16" i="1"/>
  <c r="Y27" i="1"/>
  <c r="Y48" i="1"/>
  <c r="Y38" i="1"/>
  <c r="Y19" i="1"/>
  <c r="Y43" i="1"/>
  <c r="Y36" i="1"/>
  <c r="Y39" i="1"/>
  <c r="Y37" i="1"/>
  <c r="Y14" i="1"/>
  <c r="Y10" i="1"/>
  <c r="Y53" i="1"/>
  <c r="Y61" i="1"/>
  <c r="Y59" i="1"/>
  <c r="Y60" i="1"/>
  <c r="Y12" i="1"/>
  <c r="Y44" i="1"/>
  <c r="Y40" i="1"/>
  <c r="Y8" i="1"/>
  <c r="Y26" i="1"/>
  <c r="Y21" i="1"/>
  <c r="Y52" i="1"/>
  <c r="Y35" i="1"/>
  <c r="Y54" i="1"/>
  <c r="Y28" i="1"/>
  <c r="Y49" i="1"/>
  <c r="Y34" i="1"/>
  <c r="Y22" i="1"/>
  <c r="Y72" i="1"/>
  <c r="Y68" i="1"/>
  <c r="Y67" i="1"/>
  <c r="Y58" i="1"/>
  <c r="Y57" i="1"/>
  <c r="Y62" i="1"/>
  <c r="Y25" i="1"/>
  <c r="Y18" i="1"/>
  <c r="Y7" i="1"/>
  <c r="Y55" i="1"/>
  <c r="Y11" i="1"/>
  <c r="Y5" i="1"/>
  <c r="Y29" i="1"/>
  <c r="Y46" i="1"/>
  <c r="Y41" i="1"/>
  <c r="Y6" i="1"/>
  <c r="Y32" i="1"/>
  <c r="Y47" i="1"/>
  <c r="Y66" i="1"/>
  <c r="Y65" i="1"/>
  <c r="Y56" i="1"/>
  <c r="Y17" i="1"/>
  <c r="Y23" i="1"/>
  <c r="Y42" i="1"/>
  <c r="Y45" i="1"/>
  <c r="Y15" i="1"/>
  <c r="Y33" i="1"/>
  <c r="Y50" i="1"/>
  <c r="Y24" i="1"/>
  <c r="Y9" i="1"/>
  <c r="Y30" i="1"/>
  <c r="Y13" i="1"/>
  <c r="Y4" i="1"/>
  <c r="Y71" i="1"/>
  <c r="Y70" i="1"/>
  <c r="Y3" i="1"/>
  <c r="Y73" i="1"/>
  <c r="Y31" i="1"/>
  <c r="Y74" i="1"/>
  <c r="Y51" i="1"/>
  <c r="M70" i="1"/>
  <c r="M71" i="1" l="1"/>
  <c r="M72" i="1" l="1"/>
  <c r="M73" i="1" l="1"/>
  <c r="M74" i="1" l="1"/>
  <c r="Z2" i="1" l="1"/>
  <c r="Z27" i="1"/>
  <c r="Z48" i="1"/>
  <c r="Z64" i="1"/>
  <c r="Z21" i="1"/>
  <c r="Z13" i="1"/>
  <c r="Z6" i="1"/>
  <c r="Z24" i="1"/>
  <c r="Z4" i="1"/>
  <c r="Z46" i="1"/>
  <c r="Z26" i="1"/>
  <c r="Z17" i="1"/>
  <c r="Z32" i="1"/>
  <c r="Z41" i="1"/>
  <c r="Z36" i="1"/>
  <c r="Z56" i="1"/>
  <c r="Z29" i="1"/>
  <c r="Z53" i="1"/>
  <c r="Z66" i="1"/>
  <c r="Z49" i="1"/>
  <c r="Z38" i="1"/>
  <c r="Z25" i="1"/>
  <c r="Z33" i="1"/>
  <c r="Z14" i="1"/>
  <c r="Z57" i="1"/>
  <c r="Z61" i="1"/>
  <c r="Z50" i="1"/>
  <c r="Z52" i="1"/>
  <c r="Z23" i="1"/>
  <c r="Z54" i="1"/>
  <c r="Z59" i="1"/>
  <c r="Z37" i="1"/>
  <c r="Z42" i="1"/>
  <c r="Z62" i="1"/>
  <c r="Z28" i="1"/>
  <c r="Z16" i="1"/>
  <c r="Z60" i="1"/>
  <c r="Z43" i="1"/>
  <c r="Z30" i="1"/>
  <c r="Z19" i="1"/>
  <c r="Z11" i="1"/>
  <c r="Z68" i="1"/>
  <c r="Z39" i="1"/>
  <c r="Z34" i="1"/>
  <c r="Z9" i="1"/>
  <c r="Z55" i="1"/>
  <c r="Z67" i="1"/>
  <c r="Z44" i="1"/>
  <c r="Z20" i="1"/>
  <c r="Z63" i="1"/>
  <c r="Z5" i="1"/>
  <c r="Z10" i="1"/>
  <c r="Z35" i="1"/>
  <c r="Z65" i="1"/>
  <c r="Z15" i="1"/>
  <c r="Z7" i="1"/>
  <c r="Z45" i="1"/>
  <c r="Z22" i="1"/>
  <c r="Z8" i="1"/>
  <c r="Z3" i="1"/>
  <c r="Z18" i="1"/>
  <c r="Z40" i="1"/>
  <c r="Z47" i="1"/>
  <c r="Z69" i="1"/>
  <c r="Z70" i="1"/>
  <c r="Z58" i="1"/>
  <c r="Z73" i="1"/>
  <c r="Z31" i="1"/>
  <c r="Z12" i="1"/>
  <c r="Z72" i="1"/>
  <c r="Z71" i="1"/>
  <c r="Z74" i="1"/>
  <c r="Z51"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<sst xmlns="http://schemas.openxmlformats.org/spreadsheetml/2006/main" count="883" uniqueCount="535">
  <si>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</si>
  <si>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</si>
  <si>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</si>
  <si>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</si>
  <si>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</si>
  <si>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</si>
  <si>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</si>
  <si>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</si>
  <si>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</si>
  <si>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</si>
  <si>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</si>
  <si>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</si>
  <si>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</si>
  <si>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</si>
  <si>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</si>
  <si>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</si>
  <si>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</si>
  <si>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</si>
  <si>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</si>
  <si>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</si>
  <si>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</si>
  <si>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</si>
  <si>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</si>
  <si>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</si>
  <si>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</si>
  <si>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</si>
  <si>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</si>
  <si>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</si>
  <si>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</si>
  <si>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</si>
  <si>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</si>
  <si>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</si>
  <si>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</si>
  <si>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</si>
  <si>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</si>
  <si>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</si>
  <si>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</si>
  <si>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</si>
  <si>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</si>
  <si>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</si>
  <si>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</si>
  <si>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</si>
  <si>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</si>
  <si>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</si>
  <si>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</si>
  <si>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</si>
  <si>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</si>
  <si>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</si>
  <si>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</si>
  <si>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</si>
  <si>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</si>
  <si>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</si>
  <si>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</si>
  <si>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</si>
  <si>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</si>
  <si>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</si>
  <si>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</si>
  <si>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</si>
  <si>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</si>
  <si>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</si>
  <si>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</si>
  <si>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</si>
  <si>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</si>
  <si>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</si>
  <si>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</si>
  <si>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</si>
  <si>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</si>
  <si>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</si>
  <si>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</si>
  <si>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</si>
  <si>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</si>
  <si>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</si>
  <si>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</si>
  <si>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</si>
  <si>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</si>
  <si>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</si>
  <si>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</si>
  <si>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</si>
  <si>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</si>
  <si>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</si>
  <si>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</si>
  <si>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</si>
  <si>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</si>
  <si>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</si>
  <si>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</si>
  <si>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</si>
  <si>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</si>
  <si>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</si>
  <si>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</si>
  <si>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</si>
  <si>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</si>
  <si>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</si>
  <si>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</si>
  <si>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</si>
  <si>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</si>
  <si>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</si>
  <si>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</si>
  <si>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</si>
  <si>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</si>
  <si>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</si>
  <si>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</si>
  <si>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</si>
  <si>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</si>
  <si>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</si>
  <si>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</si>
  <si>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</si>
  <si>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</si>
  <si>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</si>
  <si>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</si>
  <si>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</si>
  <si>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</si>
  <si>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</si>
  <si>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</si>
  <si>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</si>
  <si>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</si>
  <si>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</si>
  <si>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</si>
  <si>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</si>
  <si>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</si>
  <si>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</si>
  <si>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</si>
  <si>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</si>
  <si>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</si>
  <si>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</si>
  <si>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</si>
  <si>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</si>
  <si>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</si>
  <si>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</si>
  <si>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</si>
  <si>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</si>
  <si>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</si>
  <si>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</si>
  <si>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</si>
  <si>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</si>
  <si>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</si>
  <si>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</si>
  <si>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</si>
  <si>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</si>
  <si>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</si>
  <si>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</si>
  <si>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</si>
  <si>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</si>
  <si>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</si>
  <si>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</si>
  <si>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</si>
  <si>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</si>
  <si>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</si>
  <si>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</si>
  <si>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</si>
  <si>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</si>
  <si>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</si>
  <si>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</si>
  <si>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</si>
  <si>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</si>
  <si>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</si>
  <si>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</si>
  <si>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</si>
  <si>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</si>
  <si>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</si>
  <si>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</si>
  <si>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</si>
  <si>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</si>
  <si>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</si>
  <si>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</si>
  <si>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</si>
  <si>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</si>
  <si>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</si>
  <si>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</si>
  <si>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</si>
  <si>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</si>
  <si>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</si>
  <si>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</si>
  <si>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</si>
  <si>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</si>
  <si>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</si>
  <si>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</si>
  <si>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</si>
  <si>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</si>
  <si>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</si>
  <si>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</si>
  <si>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</si>
  <si>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</si>
  <si>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</si>
  <si>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</si>
  <si>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</si>
  <si>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</si>
  <si>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</si>
  <si>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</si>
  <si>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</si>
  <si>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</si>
  <si>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</si>
  <si>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</si>
  <si>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</si>
  <si>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</si>
  <si>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</si>
  <si>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</si>
  <si>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</si>
  <si>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</si>
  <si>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</si>
  <si>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</si>
  <si>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</si>
  <si>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</si>
  <si>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</si>
  <si>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</si>
  <si>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</si>
  <si>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</si>
  <si>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</si>
  <si>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</si>
  <si>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</si>
  <si>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</si>
  <si>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</si>
  <si>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</si>
  <si>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</si>
  <si>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</si>
  <si>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</si>
  <si>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</si>
  <si>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</si>
  <si>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</si>
  <si>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</si>
  <si>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</si>
  <si>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</si>
  <si>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</si>
  <si>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</si>
  <si>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</si>
  <si>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</si>
  <si>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</si>
  <si>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</si>
  <si>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</si>
  <si>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</si>
  <si>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</si>
  <si>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</si>
  <si>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</si>
  <si>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</si>
  <si>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</si>
  <si>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</si>
  <si>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</si>
  <si>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</si>
  <si>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</si>
  <si>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</si>
  <si>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</si>
  <si>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</si>
  <si>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</si>
  <si>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</si>
  <si>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</si>
  <si>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</si>
  <si>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</si>
  <si>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</si>
  <si>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</si>
  <si>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</si>
  <si>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</si>
  <si>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</si>
  <si>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</si>
  <si>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</si>
  <si>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</si>
  <si>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</si>
  <si>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</si>
  <si>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</si>
  <si>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</si>
  <si>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</si>
  <si>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</si>
  <si>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</si>
  <si>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</si>
  <si>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</si>
  <si>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</si>
  <si>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</si>
  <si>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</si>
  <si>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</si>
  <si>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</si>
  <si>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</si>
  <si>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</si>
  <si>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</si>
  <si>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</si>
  <si>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</si>
  <si>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</si>
  <si>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</si>
  <si>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</si>
  <si>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</si>
  <si>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</si>
  <si>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</si>
  <si>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</si>
  <si>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</si>
  <si>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</si>
  <si>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</si>
  <si>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</si>
  <si>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</si>
  <si>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</si>
  <si>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</si>
  <si>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</si>
  <si>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</si>
  <si>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</si>
  <si>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</si>
  <si>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</si>
  <si>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</si>
  <si>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</si>
  <si>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</si>
  <si>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</si>
  <si>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</si>
  <si>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</si>
  <si>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</si>
  <si>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</si>
  <si>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</si>
  <si>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</si>
  <si>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</si>
  <si>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</si>
  <si>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</si>
  <si>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</si>
  <si>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</si>
  <si>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</si>
  <si>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</si>
  <si>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</si>
  <si>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</si>
  <si>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</si>
  <si>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</si>
  <si>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</si>
  <si>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</si>
  <si>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</si>
  <si>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</si>
  <si>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</si>
  <si>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</si>
  <si>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</si>
  <si>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</si>
  <si>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</si>
  <si>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</si>
  <si>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</si>
  <si>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</si>
  <si>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</si>
  <si>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</si>
  <si>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</si>
  <si>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</si>
  <si>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</si>
  <si>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</si>
  <si>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</si>
  <si>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</si>
  <si>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</si>
  <si>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</si>
  <si>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</si>
  <si>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</si>
  <si>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</si>
  <si>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</si>
  <si>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</si>
  <si>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</si>
  <si>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</si>
  <si>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</si>
  <si>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</si>
  <si>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</si>
  <si>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</si>
  <si>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</si>
  <si>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</si>
  <si>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</si>
  <si>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</si>
  <si>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</si>
  <si>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</si>
  <si>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</si>
  <si>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</si>
  <si>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</si>
  <si>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</si>
  <si>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</si>
  <si>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</si>
  <si>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</si>
  <si>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</si>
  <si>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</si>
  <si>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</si>
  <si>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</si>
  <si>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</si>
  <si>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</si>
  <si>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</si>
  <si>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</si>
  <si>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</si>
  <si>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</si>
  <si>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</si>
  <si>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</si>
  <si>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</si>
  <si>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</si>
  <si>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</si>
  <si>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</si>
  <si>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</si>
  <si>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</si>
  <si>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</si>
  <si>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</si>
  <si>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</si>
  <si>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</si>
  <si>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</si>
  <si>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</si>
  <si>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</si>
  <si>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</si>
  <si>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</si>
  <si>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</si>
  <si>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</si>
  <si>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</si>
  <si>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</si>
  <si>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</si>
  <si>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</si>
  <si>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</si>
  <si>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</si>
  <si>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</si>
  <si>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</si>
  <si>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</si>
  <si>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</si>
  <si>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</si>
  <si>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</si>
  <si>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</si>
  <si>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</si>
  <si>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</si>
  <si>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</si>
  <si>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</si>
  <si>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</si>
  <si>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</si>
  <si>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</si>
  <si>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</si>
  <si>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</si>
  <si>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</si>
  <si>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</si>
  <si>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</si>
  <si>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</si>
  <si>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</si>
  <si>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</si>
  <si>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</si>
  <si>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</si>
  <si>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</si>
  <si>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</si>
  <si>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</si>
  <si>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</si>
  <si>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</si>
  <si>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</si>
  <si>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</si>
  <si>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</si>
  <si>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</si>
  <si>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</si>
  <si>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</si>
  <si>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</si>
  <si>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</si>
  <si>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</si>
  <si>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</si>
  <si>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</si>
  <si>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</si>
  <si>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</si>
  <si>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</si>
  <si>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</si>
  <si>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</si>
  <si>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</si>
  <si>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</si>
  <si>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</si>
  <si>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</si>
  <si>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</si>
  <si>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</si>
  <si>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</si>
  <si>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</si>
  <si>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</si>
  <si>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</si>
  <si>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</si>
  <si>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</si>
  <si>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</si>
  <si>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</si>
  <si>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</si>
  <si>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</si>
  <si>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</si>
  <si>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</si>
  <si>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</si>
  <si>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</si>
  <si>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</si>
  <si>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</si>
  <si>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</si>
  <si>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</si>
  <si>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</si>
  <si>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</si>
  <si>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</si>
  <si>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</si>
  <si>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</si>
  <si>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</si>
  <si>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</si>
  <si>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</si>
  <si>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</si>
  <si>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</si>
  <si>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</si>
  <si>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</si>
  <si>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</si>
  <si>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</si>
  <si>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</si>
  <si>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</si>
  <si>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</si>
  <si>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</si>
  <si>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</si>
  <si>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</si>
  <si>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</si>
  <si>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</si>
  <si>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</si>
  <si>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</si>
  <si>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</si>
  <si>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</si>
  <si>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</si>
  <si>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</si>
  <si>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</si>
  <si>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</si>
  <si>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</si>
  <si>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</si>
  <si>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</si>
  <si>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</si>
  <si>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</si>
  <si>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</si>
  <si>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</si>
  <si>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</si>
  <si>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</si>
  <si>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</si>
  <si>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</si>
  <si>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</si>
  <si>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</si>
  <si>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</si>
  <si>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</si>
  <si>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</si>
  <si>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</si>
  <si>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</si>
  <si>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</si>
  <si>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</si>
  <si>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</si>
  <si>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</si>
  <si>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</si>
  <si>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</si>
  <si>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</si>
  <si>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</si>
  <si>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</si>
  <si>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</si>
  <si>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Shunmei</t>
  </si>
  <si>
    <t>100 ml</t>
  </si>
  <si>
    <t>Правый</t>
  </si>
  <si>
    <t>50 ml</t>
  </si>
  <si>
    <t>Ляхов А.В.</t>
  </si>
  <si>
    <t>09:06</t>
  </si>
  <si>
    <t>3,0 - 44</t>
  </si>
  <si>
    <t>Устье ПКА катетеризировано проводниковым катетером Launcher JR  3.5 6Fr. Коронарный проводник whisper ls проведён в дистальный сегмент ПКА.  Реканализаця артерии выполнена аспирационным катером Hunter (получены тромботические массы). В зону проксимального сегмента с частичным покрытием среднего сегмента имплантирован  DES Evermine50  3,0-44 мм, давлением 16 атм.   Постдилатация и потимизпция стента на всем протяжении БК NC Аксиома 3.5-15 мм, давлением до 18 атм. На контрольных съемках стент раскрыт удовлетворительно, признаков краевых диссекций, тромбоза, экстравазации контрастного вещества не выявлено. Антеградный кровоток по ПКА полностью восстановлено до TIMI III. Ангиографический результат удовлетворительный. Пациент в тяжёлом состоянии транспортируется в ПРИТ для дальнейшего наблюдения и лечения.</t>
  </si>
  <si>
    <t>1) Контроль места пункции, повязка  на руке до 6 ч. 2) Консультация невролога.</t>
  </si>
  <si>
    <t>неровности контуров</t>
  </si>
  <si>
    <t>стенозы проксимального и среднего сегментов 30%. Антеградный кровоток - TIMI III.</t>
  </si>
  <si>
    <t xml:space="preserve">стеноз проксимального сегмента 50%, стеноз дистального сегмента 70%. Антеградный  кровоток TIMI III. </t>
  </si>
  <si>
    <t xml:space="preserve">артерия крупная. Тотальная окклюзия на уровне проксимального сегмента , на границе среднего и дистального сегмента 40%, стеноз дистального сегмента 30%, стенозы прокс/3 ЗБВ и ЗМЖВ 40%. Антеградный  кровоток TIMI 0. </t>
  </si>
  <si>
    <t>С учётом клиники и ангиографической картины совместно с д/кардиологом принято решение о ревсакуляризации ПКА.</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</si>
</sst>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s>
  <fills count="11">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5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5"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4"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3"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7" fillId="8" borderId="18" xfId="6" applyFont="1" applyBorder="1" applyAlignment="1" applyProtection="1">
      <alignment horizontal="left" vertical="center"/>
    </xf>
    <xf numFmtId="0" fontId="0" fillId="0" borderId="0" xfId="0" applyNumberFormat="1"/>
    <xf numFmtId="0" fontId="27" fillId="8" borderId="18" xfId="6" applyFont="1" applyBorder="1" applyAlignment="1" applyProtection="1">
      <alignment horizontal="left" vertical="center"/>
      <protection locked="0"/>
    </xf>
    <xf numFmtId="0" fontId="22" fillId="8" borderId="16" xfId="6" applyFont="1" applyBorder="1" applyAlignment="1" applyProtection="1">
      <alignment horizontal="left" vertical="center"/>
      <protection locked="0"/>
    </xf>
    <xf numFmtId="0" fontId="0" fillId="0" borderId="0" xfId="0" applyBorder="1"/>
    <xf numFmtId="0" fontId="50"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70" fillId="0" borderId="0" xfId="0" applyFont="1" applyAlignment="1" applyProtection="1">
      <alignment horizontal="justify" vertical="top" wrapText="1"/>
      <protection locked="0"/>
    </xf>
    <xf numFmtId="0" fontId="2" fillId="0" borderId="0" xfId="0" applyFont="1" applyAlignment="1" applyProtection="1">
      <alignment horizontal="justify" vertical="top" wrapText="1"/>
      <protection locked="0"/>
    </xf>
    <xf numFmtId="0" fontId="2"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69" fillId="0" borderId="12" xfId="0" applyFont="1" applyBorder="1" applyAlignment="1" applyProtection="1">
      <alignment horizontal="justify" vertical="top" wrapText="1"/>
      <protection locked="0"/>
    </xf>
    <xf numFmtId="0" fontId="69" fillId="0" borderId="0" xfId="0" applyFont="1" applyAlignment="1">
      <alignment horizontal="justify" vertical="top" wrapText="1"/>
    </xf>
    <xf numFmtId="0" fontId="69" fillId="0" borderId="13" xfId="0" applyFont="1" applyBorder="1" applyAlignment="1">
      <alignment horizontal="justify" vertical="top" wrapText="1"/>
    </xf>
    <xf numFmtId="0" fontId="69" fillId="0" borderId="12" xfId="0" applyFont="1" applyBorder="1" applyAlignment="1">
      <alignment horizontal="justify" vertical="top" wrapText="1"/>
    </xf>
    <xf numFmtId="0" fontId="1" fillId="0" borderId="0" xfId="0" applyFont="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28575</xdr:rowOff>
    </xdr:from>
    <xdr:to>
      <xdr:col>1</xdr:col>
      <xdr:colOff>1428750</xdr:colOff>
      <xdr:row>48</xdr:row>
      <xdr:rowOff>171450</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5"/>
          <a:ext cx="2619375" cy="1590675"/>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4" totalsRowShown="0">
  <sortState ref="A2:C68">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0" totalsRowShown="0">
  <autoFilter ref="A21:B90"/>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showWhiteSpace="0" view="pageBreakPreview" topLeftCell="A13" zoomScaleNormal="100" zoomScaleSheetLayoutView="100" zoomScalePageLayoutView="90" workbookViewId="0">
      <selection activeCell="B51" sqref="B51"/>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7" t="s">
        <v>213</v>
      </c>
      <c r="B6" s="218"/>
      <c r="C6" s="218"/>
      <c r="D6" s="218"/>
      <c r="E6" s="218"/>
      <c r="F6" s="218"/>
      <c r="G6" s="218"/>
      <c r="H6" s="219"/>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45455</v>
      </c>
      <c r="C8" s="54"/>
      <c r="D8" s="16" t="s">
        <v>186</v>
      </c>
      <c r="E8" s="29"/>
      <c r="F8" s="29"/>
      <c r="G8" s="17"/>
      <c r="H8" s="18"/>
    </row>
    <row r="9" spans="1:8" ht="15.6" customHeight="1">
      <c r="A9" s="21" t="s">
        <v>193</v>
      </c>
      <c r="B9" s="22">
        <v>8.6805555555555566E-2</v>
      </c>
      <c r="C9" s="54"/>
      <c r="D9" s="94" t="s">
        <v>172</v>
      </c>
      <c r="E9" s="92"/>
      <c r="F9" s="92"/>
      <c r="G9" s="23" t="s">
        <v>163</v>
      </c>
      <c r="H9" s="25"/>
    </row>
    <row r="10" spans="1:8" ht="15.6" customHeight="1" thickBot="1">
      <c r="A10" s="83" t="s">
        <v>194</v>
      </c>
      <c r="B10" s="84">
        <v>9.0277777777777776E-2</v>
      </c>
      <c r="C10" s="55"/>
      <c r="D10" s="95" t="s">
        <v>173</v>
      </c>
      <c r="E10" s="93"/>
      <c r="F10" s="93"/>
      <c r="G10" s="24" t="s">
        <v>147</v>
      </c>
      <c r="H10" s="26"/>
    </row>
    <row r="11" spans="1:8" ht="17.25" thickTop="1" thickBot="1">
      <c r="A11" s="89" t="s">
        <v>192</v>
      </c>
      <c r="B11" s="203" t="s">
        <v>525</v>
      </c>
      <c r="C11" s="8"/>
      <c r="D11" s="95" t="s">
        <v>170</v>
      </c>
      <c r="E11" s="93"/>
      <c r="F11" s="93"/>
      <c r="G11" s="24" t="s">
        <v>251</v>
      </c>
      <c r="H11" s="26"/>
    </row>
    <row r="12" spans="1:8" ht="16.5" thickTop="1">
      <c r="A12" s="81" t="s">
        <v>8</v>
      </c>
      <c r="B12" s="82">
        <v>27656</v>
      </c>
      <c r="C12" s="12"/>
      <c r="D12" s="95" t="s">
        <v>303</v>
      </c>
      <c r="E12" s="93"/>
      <c r="F12" s="93"/>
      <c r="G12" s="24" t="s">
        <v>261</v>
      </c>
      <c r="H12" s="26"/>
    </row>
    <row r="13" spans="1:8" ht="15.75">
      <c r="A13" s="15" t="s">
        <v>10</v>
      </c>
      <c r="B13" s="30">
        <f>DATEDIF(B12,B8,"y")</f>
        <v>48</v>
      </c>
      <c r="C13" s="12"/>
      <c r="D13" s="95"/>
      <c r="E13" s="93"/>
      <c r="F13" s="93"/>
      <c r="G13" s="24"/>
      <c r="H13" s="26"/>
    </row>
    <row r="14" spans="1:8" ht="15.75">
      <c r="A14" s="15" t="s">
        <v>12</v>
      </c>
      <c r="B14" s="19">
        <v>16741</v>
      </c>
      <c r="C14" s="12"/>
      <c r="D14" s="36"/>
      <c r="E14" s="36"/>
      <c r="F14" s="36"/>
      <c r="G14" s="37"/>
      <c r="H14" s="56"/>
    </row>
    <row r="15" spans="1:8" ht="15.75">
      <c r="A15" s="15" t="s">
        <v>133</v>
      </c>
      <c r="B15" s="19">
        <v>35</v>
      </c>
      <c r="D15" s="36"/>
      <c r="E15" s="36"/>
      <c r="F15" s="36"/>
      <c r="G15" s="165" t="s">
        <v>400</v>
      </c>
      <c r="H15" s="169" t="s">
        <v>526</v>
      </c>
    </row>
    <row r="16" spans="1:8" ht="15.6" customHeight="1">
      <c r="A16" s="15" t="s">
        <v>106</v>
      </c>
      <c r="B16" s="19" t="s">
        <v>486</v>
      </c>
      <c r="D16" s="36"/>
      <c r="E16" s="36"/>
      <c r="F16" s="36"/>
      <c r="G16" s="166" t="s">
        <v>402</v>
      </c>
      <c r="H16" s="164">
        <v>3780</v>
      </c>
    </row>
    <row r="17" spans="1:8" ht="14.45" customHeight="1">
      <c r="A17" s="40"/>
      <c r="B17" s="31"/>
      <c r="C17" s="31"/>
      <c r="D17" s="88"/>
      <c r="E17" s="88"/>
      <c r="F17" s="88"/>
      <c r="G17" s="167" t="s">
        <v>389</v>
      </c>
      <c r="H17" s="168">
        <f>H16*0.0019</f>
        <v>7.1820000000000004</v>
      </c>
    </row>
    <row r="18" spans="1:8" ht="14.45" customHeight="1">
      <c r="A18" s="57" t="s">
        <v>188</v>
      </c>
      <c r="B18" s="87" t="s">
        <v>523</v>
      </c>
      <c r="D18" s="28" t="s">
        <v>210</v>
      </c>
      <c r="E18" s="28"/>
      <c r="F18" s="28"/>
      <c r="G18" s="85" t="s">
        <v>189</v>
      </c>
      <c r="H18" s="86" t="s">
        <v>507</v>
      </c>
    </row>
    <row r="19" spans="1:8" ht="14.45" customHeight="1">
      <c r="A19" s="40"/>
      <c r="B19" s="31"/>
      <c r="C19" s="31"/>
      <c r="D19" s="34"/>
      <c r="E19" s="34"/>
      <c r="F19" s="34"/>
      <c r="G19" s="31"/>
      <c r="H19" s="41"/>
    </row>
    <row r="20" spans="1:8" ht="14.45" customHeight="1">
      <c r="A20" s="57" t="s">
        <v>212</v>
      </c>
      <c r="B20" s="220" t="s">
        <v>530</v>
      </c>
      <c r="C20" s="221"/>
      <c r="D20" s="221"/>
      <c r="E20" s="221"/>
      <c r="F20" s="221"/>
      <c r="G20" s="221"/>
      <c r="H20" s="222"/>
    </row>
    <row r="21" spans="1:8">
      <c r="A21" s="58"/>
      <c r="B21" s="223"/>
      <c r="C21" s="223"/>
      <c r="D21" s="223"/>
      <c r="E21" s="223"/>
      <c r="F21" s="223"/>
      <c r="G21" s="223"/>
      <c r="H21" s="224"/>
    </row>
    <row r="22" spans="1:8" ht="15.6" customHeight="1">
      <c r="A22" s="59" t="s">
        <v>271</v>
      </c>
      <c r="B22" s="225" t="s">
        <v>531</v>
      </c>
      <c r="C22" s="225"/>
      <c r="D22" s="225"/>
      <c r="E22" s="225"/>
      <c r="F22" s="225"/>
      <c r="G22" s="225"/>
      <c r="H22" s="226"/>
    </row>
    <row r="23" spans="1:8" ht="14.45" customHeight="1">
      <c r="A23" s="38"/>
      <c r="B23" s="227"/>
      <c r="C23" s="227"/>
      <c r="D23" s="227"/>
      <c r="E23" s="227"/>
      <c r="F23" s="227"/>
      <c r="G23" s="227"/>
      <c r="H23" s="228"/>
    </row>
    <row r="24" spans="1:8" ht="14.45" customHeight="1">
      <c r="A24" s="60"/>
      <c r="B24" s="227"/>
      <c r="C24" s="227"/>
      <c r="D24" s="227"/>
      <c r="E24" s="227"/>
      <c r="F24" s="227"/>
      <c r="G24" s="227"/>
      <c r="H24" s="228"/>
    </row>
    <row r="25" spans="1:8" ht="14.45" customHeight="1">
      <c r="A25" s="38"/>
      <c r="B25" s="227"/>
      <c r="C25" s="227"/>
      <c r="D25" s="227"/>
      <c r="E25" s="227"/>
      <c r="F25" s="227"/>
      <c r="G25" s="227"/>
      <c r="H25" s="228"/>
    </row>
    <row r="26" spans="1:8" ht="14.45" customHeight="1">
      <c r="A26" s="40"/>
      <c r="B26" s="229"/>
      <c r="C26" s="229"/>
      <c r="D26" s="229"/>
      <c r="E26" s="229"/>
      <c r="F26" s="229"/>
      <c r="G26" s="229"/>
      <c r="H26" s="230"/>
    </row>
    <row r="27" spans="1:8" ht="14.45" customHeight="1">
      <c r="A27" s="59" t="s">
        <v>272</v>
      </c>
      <c r="B27" s="225" t="s">
        <v>532</v>
      </c>
      <c r="C27" s="225"/>
      <c r="D27" s="225"/>
      <c r="E27" s="225"/>
      <c r="F27" s="225"/>
      <c r="G27" s="225"/>
      <c r="H27" s="226"/>
    </row>
    <row r="28" spans="1:8" ht="15.6" customHeight="1">
      <c r="A28" s="38"/>
      <c r="B28" s="227"/>
      <c r="C28" s="227"/>
      <c r="D28" s="227"/>
      <c r="E28" s="227"/>
      <c r="F28" s="227"/>
      <c r="G28" s="227"/>
      <c r="H28" s="228"/>
    </row>
    <row r="29" spans="1:8" ht="14.45" customHeight="1">
      <c r="A29" s="38"/>
      <c r="B29" s="227"/>
      <c r="C29" s="227"/>
      <c r="D29" s="227"/>
      <c r="E29" s="227"/>
      <c r="F29" s="227"/>
      <c r="G29" s="227"/>
      <c r="H29" s="228"/>
    </row>
    <row r="30" spans="1:8" ht="14.45" customHeight="1">
      <c r="A30" s="32"/>
      <c r="B30" s="227"/>
      <c r="C30" s="227"/>
      <c r="D30" s="227"/>
      <c r="E30" s="227"/>
      <c r="F30" s="227"/>
      <c r="G30" s="227"/>
      <c r="H30" s="228"/>
    </row>
    <row r="31" spans="1:8" ht="14.45" customHeight="1">
      <c r="A31" s="33"/>
      <c r="B31" s="229"/>
      <c r="C31" s="229"/>
      <c r="D31" s="229"/>
      <c r="E31" s="229"/>
      <c r="F31" s="229"/>
      <c r="G31" s="229"/>
      <c r="H31" s="230"/>
    </row>
    <row r="32" spans="1:8" ht="14.45" customHeight="1">
      <c r="A32" s="59" t="s">
        <v>273</v>
      </c>
      <c r="B32" s="225" t="s">
        <v>533</v>
      </c>
      <c r="C32" s="225"/>
      <c r="D32" s="225"/>
      <c r="E32" s="225"/>
      <c r="F32" s="225"/>
      <c r="G32" s="225"/>
      <c r="H32" s="226"/>
    </row>
    <row r="33" spans="1:8" ht="14.45" customHeight="1">
      <c r="A33" s="38"/>
      <c r="B33" s="227"/>
      <c r="C33" s="227"/>
      <c r="D33" s="227"/>
      <c r="E33" s="227"/>
      <c r="F33" s="227"/>
      <c r="G33" s="227"/>
      <c r="H33" s="228"/>
    </row>
    <row r="34" spans="1:8" ht="15.6" customHeight="1">
      <c r="A34" s="38"/>
      <c r="B34" s="227"/>
      <c r="C34" s="227"/>
      <c r="D34" s="227"/>
      <c r="E34" s="227"/>
      <c r="F34" s="227"/>
      <c r="G34" s="227"/>
      <c r="H34" s="228"/>
    </row>
    <row r="35" spans="1:8" ht="14.45" customHeight="1">
      <c r="A35" s="38"/>
      <c r="B35" s="227"/>
      <c r="C35" s="227"/>
      <c r="D35" s="227"/>
      <c r="E35" s="227"/>
      <c r="F35" s="227"/>
      <c r="G35" s="227"/>
      <c r="H35" s="228"/>
    </row>
    <row r="36" spans="1:8" ht="15.6" customHeight="1">
      <c r="A36" s="38"/>
      <c r="B36" s="227"/>
      <c r="C36" s="227"/>
      <c r="D36" s="227"/>
      <c r="E36" s="227"/>
      <c r="F36" s="227"/>
      <c r="G36" s="227"/>
      <c r="H36" s="228"/>
    </row>
    <row r="37" spans="1:8" ht="14.45" customHeight="1">
      <c r="A37" s="38"/>
      <c r="D37" s="213" t="str">
        <f>IF($A$6=Вмешательства!$D$3,Вмешательства!$F$18,"")</f>
        <v/>
      </c>
      <c r="E37" s="213"/>
      <c r="F37" s="119"/>
      <c r="G37" s="119"/>
      <c r="H37" s="123"/>
    </row>
    <row r="38" spans="1:8" ht="14.45" customHeight="1">
      <c r="A38" s="38"/>
      <c r="C38" s="124"/>
      <c r="D38" s="214"/>
      <c r="E38" s="215"/>
      <c r="F38" s="215"/>
      <c r="G38" s="215"/>
      <c r="H38" s="216"/>
    </row>
    <row r="39" spans="1:8" ht="14.45" customHeight="1">
      <c r="A39" s="35"/>
      <c r="B39" s="119"/>
      <c r="C39" s="124"/>
      <c r="D39" s="215"/>
      <c r="E39" s="215"/>
      <c r="F39" s="215"/>
      <c r="G39" s="215"/>
      <c r="H39" s="216"/>
    </row>
    <row r="40" spans="1:8" ht="14.45" customHeight="1">
      <c r="A40" s="35"/>
      <c r="B40" s="119"/>
      <c r="C40" s="124"/>
      <c r="D40" s="215"/>
      <c r="E40" s="215"/>
      <c r="F40" s="215"/>
      <c r="G40" s="215"/>
      <c r="H40" s="216"/>
    </row>
    <row r="41" spans="1:8" ht="14.45" customHeight="1">
      <c r="A41" s="35"/>
      <c r="B41" s="119"/>
      <c r="C41" s="124"/>
      <c r="D41" s="215"/>
      <c r="E41" s="215"/>
      <c r="F41" s="215"/>
      <c r="G41" s="215"/>
      <c r="H41" s="216"/>
    </row>
    <row r="42" spans="1:8" ht="14.45" customHeight="1">
      <c r="A42" s="35"/>
      <c r="B42" s="119"/>
      <c r="C42" s="125"/>
      <c r="D42" s="127"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19"/>
      <c r="C43" s="126"/>
      <c r="D43" s="210" t="s">
        <v>534</v>
      </c>
      <c r="E43" s="211"/>
      <c r="F43" s="211"/>
      <c r="G43" s="211"/>
      <c r="H43" s="212"/>
    </row>
    <row r="44" spans="1:8" ht="14.45" customHeight="1">
      <c r="A44" s="35"/>
      <c r="B44" s="119"/>
      <c r="C44" s="126"/>
      <c r="D44" s="211"/>
      <c r="E44" s="211"/>
      <c r="F44" s="211"/>
      <c r="G44" s="211"/>
      <c r="H44" s="212"/>
    </row>
    <row r="45" spans="1:8" ht="14.45" customHeight="1">
      <c r="A45" s="35"/>
      <c r="B45" s="119"/>
      <c r="C45" s="126"/>
      <c r="D45" s="211"/>
      <c r="E45" s="211"/>
      <c r="F45" s="211"/>
      <c r="G45" s="211"/>
      <c r="H45" s="212"/>
    </row>
    <row r="46" spans="1:8">
      <c r="A46" s="35"/>
      <c r="B46" s="119"/>
      <c r="C46" s="126"/>
      <c r="D46" s="211"/>
      <c r="E46" s="211"/>
      <c r="F46" s="211"/>
      <c r="G46" s="211"/>
      <c r="H46" s="212"/>
    </row>
    <row r="47" spans="1:8">
      <c r="A47" s="38"/>
      <c r="C47" s="126"/>
      <c r="D47" s="211"/>
      <c r="E47" s="211"/>
      <c r="F47" s="211"/>
      <c r="G47" s="211"/>
      <c r="H47" s="212"/>
    </row>
    <row r="48" spans="1:8">
      <c r="A48" s="38"/>
      <c r="C48" s="126"/>
      <c r="D48" s="211"/>
      <c r="E48" s="211"/>
      <c r="F48" s="211"/>
      <c r="G48" s="211"/>
      <c r="H48" s="212"/>
    </row>
    <row r="49" spans="1:13">
      <c r="A49" s="38"/>
      <c r="B49" s="205"/>
      <c r="C49" s="206"/>
      <c r="D49" s="211"/>
      <c r="E49" s="211"/>
      <c r="F49" s="211"/>
      <c r="G49" s="211"/>
      <c r="H49" s="212"/>
    </row>
    <row r="50" spans="1:13">
      <c r="A50" s="38"/>
      <c r="D50" s="211"/>
      <c r="E50" s="211"/>
      <c r="F50" s="211"/>
      <c r="G50" s="211"/>
      <c r="H50" s="212"/>
      <c r="M50" t="s">
        <v>211</v>
      </c>
    </row>
    <row r="51" spans="1:13">
      <c r="A51" s="62" t="s">
        <v>199</v>
      </c>
      <c r="B51" s="63" t="s">
        <v>524</v>
      </c>
      <c r="G51" s="74" t="str">
        <f>$G$9</f>
        <v>Щербаков А.С.</v>
      </c>
      <c r="H51" s="64"/>
    </row>
    <row r="52" spans="1:13">
      <c r="A52" s="38"/>
      <c r="H52" s="39"/>
    </row>
    <row r="53" spans="1:13">
      <c r="A53" s="65" t="s">
        <v>206</v>
      </c>
      <c r="B53" s="66" t="s">
        <v>311</v>
      </c>
      <c r="G53" s="74" t="str">
        <f>IF(ISBLANK(H9),"",H9)</f>
        <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tabSelected="1" showWhiteSpace="0" view="pageBreakPreview" topLeftCell="A10" zoomScaleNormal="100" zoomScaleSheetLayoutView="100" zoomScalePageLayoutView="90" workbookViewId="0">
      <selection activeCell="M48" sqref="M48"/>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41" t="s">
        <v>208</v>
      </c>
      <c r="B6" s="242"/>
      <c r="C6" s="242"/>
      <c r="D6" s="242"/>
      <c r="E6" s="242"/>
      <c r="F6" s="242"/>
      <c r="G6" s="242"/>
      <c r="H6" s="243"/>
    </row>
    <row r="7" spans="1:8" ht="21.6" customHeight="1">
      <c r="A7" s="241"/>
      <c r="B7" s="242"/>
      <c r="C7" s="242"/>
      <c r="D7" s="242"/>
      <c r="E7" s="242"/>
      <c r="F7" s="242"/>
      <c r="G7" s="242"/>
      <c r="H7" s="243"/>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40" t="s">
        <v>216</v>
      </c>
      <c r="D8" s="240"/>
      <c r="E8" s="240"/>
      <c r="F8" s="190">
        <v>1</v>
      </c>
      <c r="G8" s="118" t="s">
        <v>309</v>
      </c>
      <c r="H8" s="158"/>
    </row>
    <row r="9" spans="1:8" ht="15.75" thickTop="1">
      <c r="A9" s="52" t="str">
        <f>"Код модели:"&amp;" "&amp;IFERROR(IF(ISBLANK(H8),IF(A6=Вмешательства!D4,INDEX(Код.Модели[#All],MATCH(ЧКВ!B21,Код.Модели[[#All],[Диагноз]],0),MATCH(ЧКВ!C11,Вмешательства!F2:T2,0))," ")," "),"")</f>
        <v>Код модели: 21166</v>
      </c>
      <c r="C9" s="240"/>
      <c r="D9" s="240"/>
      <c r="E9" s="240"/>
      <c r="F9" s="190"/>
      <c r="G9" s="118"/>
      <c r="H9" s="39"/>
    </row>
    <row r="10" spans="1:8">
      <c r="A10" s="52" t="str">
        <f>"Код метода:"&amp;" "&amp;IFERROR(IF(ISBLANK(ЧКВ!H8),IF(A6=Вмешательства!D4,INDEX(Код.Метода[#All],MATCH(ЧКВ!B21,Код.Метода[[#All],[Диагноз]],0),MATCH(ЧКВ!C11,Вмешательства!F12:T12,0))," ")," "),"")</f>
        <v>Код метода: 47</v>
      </c>
      <c r="B10" s="189"/>
      <c r="C10" s="244"/>
      <c r="D10" s="244"/>
      <c r="E10" s="244"/>
      <c r="F10" s="193"/>
      <c r="G10" s="118"/>
      <c r="H10" s="39"/>
    </row>
    <row r="11" spans="1:8">
      <c r="A11" s="192"/>
      <c r="B11" s="196"/>
      <c r="C11" s="199">
        <f>SUM(F8:F10)</f>
        <v>1</v>
      </c>
      <c r="H11" s="39"/>
    </row>
    <row r="12" spans="1:8" ht="18.75">
      <c r="A12" s="75" t="s">
        <v>191</v>
      </c>
      <c r="B12" s="20">
        <f>КАГ!B8</f>
        <v>45455</v>
      </c>
      <c r="C12" s="12"/>
      <c r="D12" s="16" t="s">
        <v>186</v>
      </c>
      <c r="E12" s="29"/>
      <c r="F12" s="29"/>
      <c r="G12" s="17"/>
      <c r="H12" s="18"/>
    </row>
    <row r="13" spans="1:8" ht="15.75">
      <c r="A13" s="76" t="s">
        <v>193</v>
      </c>
      <c r="B13" s="22">
        <v>9.0277777777777776E-2</v>
      </c>
      <c r="C13" s="12"/>
      <c r="D13" s="94" t="s">
        <v>172</v>
      </c>
      <c r="E13" s="92"/>
      <c r="F13" s="92"/>
      <c r="G13" s="79" t="str">
        <f>КАГ!G9</f>
        <v>Щербаков А.С.</v>
      </c>
      <c r="H13" s="90" t="str">
        <f>IF(ISBLANK(КАГ!H9),"",КАГ!H9)</f>
        <v/>
      </c>
    </row>
    <row r="14" spans="1:8" ht="15.75">
      <c r="A14" s="76" t="s">
        <v>194</v>
      </c>
      <c r="B14" s="22">
        <v>0.12847222222222224</v>
      </c>
      <c r="C14" s="12"/>
      <c r="D14" s="95" t="s">
        <v>173</v>
      </c>
      <c r="E14" s="93"/>
      <c r="F14" s="93"/>
      <c r="G14" s="80" t="str">
        <f>КАГ!G10</f>
        <v>Гайчук В.В.</v>
      </c>
      <c r="H14" s="91" t="str">
        <f>IF(ISBLANK(КАГ!H10),"",КАГ!H10)</f>
        <v/>
      </c>
    </row>
    <row r="15" spans="1:8" ht="16.5" thickBot="1">
      <c r="A15" s="163" t="s">
        <v>388</v>
      </c>
      <c r="B15" s="188">
        <f>IF(B14&lt;B13,B14+1,B14)-B13</f>
        <v>3.8194444444444461E-2</v>
      </c>
      <c r="D15" s="95" t="s">
        <v>170</v>
      </c>
      <c r="E15" s="93"/>
      <c r="F15" s="93"/>
      <c r="G15" s="80" t="str">
        <f>КАГ!G11</f>
        <v>Чесноков С.Л.</v>
      </c>
      <c r="H15" s="91" t="str">
        <f>IF(ISBLANK(КАГ!H11),"",КАГ!H11)</f>
        <v/>
      </c>
    </row>
    <row r="16" spans="1:8" ht="17.25" thickTop="1" thickBot="1">
      <c r="A16" s="89" t="s">
        <v>192</v>
      </c>
      <c r="B16" s="201" t="str">
        <f>КАГ!B11</f>
        <v>Ляхов А.В.</v>
      </c>
      <c r="C16" s="200">
        <f>LEN(КАГ!B11)</f>
        <v>10</v>
      </c>
      <c r="D16" s="95" t="s">
        <v>303</v>
      </c>
      <c r="E16" s="93"/>
      <c r="F16" s="93"/>
      <c r="G16" s="80" t="str">
        <f>КАГ!G12</f>
        <v>Билан Н.В.</v>
      </c>
      <c r="H16" s="91" t="str">
        <f>IF(ISBLANK(КАГ!H12),"",КАГ!H12)</f>
        <v/>
      </c>
    </row>
    <row r="17" spans="1:8" ht="16.5" thickTop="1">
      <c r="A17" s="15" t="s">
        <v>8</v>
      </c>
      <c r="B17" s="67">
        <f>КАГ!B12</f>
        <v>27656</v>
      </c>
      <c r="D17" s="95" t="s">
        <v>184</v>
      </c>
      <c r="E17" s="93"/>
      <c r="F17" s="93"/>
      <c r="G17" s="80" t="str">
        <f>IF(ISBLANK(КАГ!G13),"",КАГ!G13)</f>
        <v/>
      </c>
      <c r="H17" s="91" t="str">
        <f>IF(ISBLANK(КАГ!H13),"",КАГ!H13)</f>
        <v/>
      </c>
    </row>
    <row r="18" spans="1:8" ht="15.75">
      <c r="A18" s="15" t="s">
        <v>10</v>
      </c>
      <c r="B18" s="30">
        <f>КАГ!B13</f>
        <v>48</v>
      </c>
      <c r="H18" s="39"/>
    </row>
    <row r="19" spans="1:8" ht="14.45" customHeight="1">
      <c r="A19" s="15" t="s">
        <v>12</v>
      </c>
      <c r="B19" s="68">
        <f>КАГ!B14</f>
        <v>16741</v>
      </c>
      <c r="C19" s="69"/>
      <c r="D19" s="69"/>
      <c r="E19" s="69"/>
      <c r="F19" s="69"/>
      <c r="G19" s="165" t="s">
        <v>400</v>
      </c>
      <c r="H19" s="180" t="str">
        <f>КАГ!H15</f>
        <v>09:06</v>
      </c>
    </row>
    <row r="20" spans="1:8" ht="14.45" customHeight="1">
      <c r="A20" s="15" t="s">
        <v>133</v>
      </c>
      <c r="B20" s="68">
        <f>КАГ!B15</f>
        <v>35</v>
      </c>
      <c r="C20" s="70"/>
      <c r="D20" s="70"/>
      <c r="E20" s="70"/>
      <c r="F20" s="70"/>
      <c r="G20" s="166" t="s">
        <v>402</v>
      </c>
      <c r="H20" s="181">
        <f>КАГ!H16</f>
        <v>3780</v>
      </c>
    </row>
    <row r="21" spans="1:8" ht="14.45" customHeight="1">
      <c r="A21" s="15" t="s">
        <v>106</v>
      </c>
      <c r="B21" s="67" t="str">
        <f>КАГ!B16</f>
        <v>ОКС с ↑ ST</v>
      </c>
      <c r="C21" s="70"/>
      <c r="E21" s="71"/>
      <c r="F21" s="71"/>
      <c r="G21" s="167" t="s">
        <v>389</v>
      </c>
      <c r="H21" s="168">
        <f>КАГ!H17</f>
        <v>7.1820000000000004</v>
      </c>
    </row>
    <row r="22" spans="1:8" ht="14.45" customHeight="1">
      <c r="A22" s="57" t="str">
        <f>КАГ!G18</f>
        <v>Доступ:</v>
      </c>
      <c r="B22" s="77" t="str">
        <f>КАГ!H18</f>
        <v>лучевой</v>
      </c>
      <c r="C22" s="70"/>
      <c r="D22" s="70"/>
      <c r="E22" s="70"/>
      <c r="F22" s="70"/>
      <c r="G22" s="184" t="str">
        <f>IF(B21=Вмешательства!F3,Вмешательства!F19,"")</f>
        <v>Реканализация:</v>
      </c>
      <c r="H22" s="185">
        <f>IF($B$21=Вмешательства!F3,SUM(КАГ!B9+IF($C$16&lt;=10,0.00555555555555556,IF($C$16=11,0.00694444444444444,IF($C$16=12,0.00833333333333333,IF($C$16=13,0.00972222222222222,IF($C$16=14,0.0111111111111111,IF($C$16=15,0.0111111111111111,IF($C$16=16,0.0118055555555556,IF($C$16&gt;=17,0.0138888888888889))))))))),"")</f>
        <v>9.236111111111113E-2</v>
      </c>
    </row>
    <row r="23" spans="1:8" ht="14.45" customHeight="1">
      <c r="A23" s="65" t="s">
        <v>392</v>
      </c>
      <c r="B23" s="172" t="s">
        <v>391</v>
      </c>
      <c r="C23" s="162"/>
      <c r="D23" s="162"/>
      <c r="E23" s="162"/>
      <c r="F23" s="162"/>
      <c r="H23" s="39"/>
    </row>
    <row r="24" spans="1:8" ht="14.45" customHeight="1">
      <c r="A24" s="183" t="s">
        <v>390</v>
      </c>
      <c r="B24" s="170"/>
      <c r="C24" s="170"/>
      <c r="D24" s="170"/>
      <c r="E24" s="170"/>
      <c r="F24" s="170"/>
      <c r="G24" s="170"/>
      <c r="H24" s="171"/>
    </row>
    <row r="25" spans="1:8" ht="14.45" customHeight="1">
      <c r="A25" s="247" t="s">
        <v>528</v>
      </c>
      <c r="B25" s="248"/>
      <c r="C25" s="248"/>
      <c r="D25" s="248"/>
      <c r="E25" s="248"/>
      <c r="F25" s="248"/>
      <c r="G25" s="248"/>
      <c r="H25" s="249"/>
    </row>
    <row r="26" spans="1:8" ht="14.45" customHeight="1">
      <c r="A26" s="250"/>
      <c r="B26" s="248"/>
      <c r="C26" s="248"/>
      <c r="D26" s="248"/>
      <c r="E26" s="248"/>
      <c r="F26" s="248"/>
      <c r="G26" s="248"/>
      <c r="H26" s="249"/>
    </row>
    <row r="27" spans="1:8" ht="14.45" customHeight="1">
      <c r="A27" s="250"/>
      <c r="B27" s="248"/>
      <c r="C27" s="248"/>
      <c r="D27" s="248"/>
      <c r="E27" s="248"/>
      <c r="F27" s="248"/>
      <c r="G27" s="248"/>
      <c r="H27" s="249"/>
    </row>
    <row r="28" spans="1:8" ht="14.45" customHeight="1">
      <c r="A28" s="250"/>
      <c r="B28" s="248"/>
      <c r="C28" s="248"/>
      <c r="D28" s="248"/>
      <c r="E28" s="248"/>
      <c r="F28" s="248"/>
      <c r="G28" s="248"/>
      <c r="H28" s="249"/>
    </row>
    <row r="29" spans="1:8" ht="14.45" customHeight="1">
      <c r="A29" s="250"/>
      <c r="B29" s="248"/>
      <c r="C29" s="248"/>
      <c r="D29" s="248"/>
      <c r="E29" s="248"/>
      <c r="F29" s="248"/>
      <c r="G29" s="248"/>
      <c r="H29" s="249"/>
    </row>
    <row r="30" spans="1:8" ht="14.45" customHeight="1">
      <c r="A30" s="250"/>
      <c r="B30" s="248"/>
      <c r="C30" s="248"/>
      <c r="D30" s="248"/>
      <c r="E30" s="248"/>
      <c r="F30" s="248"/>
      <c r="G30" s="248"/>
      <c r="H30" s="249"/>
    </row>
    <row r="31" spans="1:8" ht="14.45" customHeight="1">
      <c r="A31" s="250"/>
      <c r="B31" s="248"/>
      <c r="C31" s="248"/>
      <c r="D31" s="248"/>
      <c r="E31" s="248"/>
      <c r="F31" s="248"/>
      <c r="G31" s="248"/>
      <c r="H31" s="249"/>
    </row>
    <row r="32" spans="1:8" ht="14.45" customHeight="1">
      <c r="A32" s="250"/>
      <c r="B32" s="248"/>
      <c r="C32" s="248"/>
      <c r="D32" s="248"/>
      <c r="E32" s="248"/>
      <c r="F32" s="248"/>
      <c r="G32" s="248"/>
      <c r="H32" s="249"/>
    </row>
    <row r="33" spans="1:12" ht="14.45" customHeight="1">
      <c r="A33" s="250"/>
      <c r="B33" s="248"/>
      <c r="C33" s="248"/>
      <c r="D33" s="248"/>
      <c r="E33" s="248"/>
      <c r="F33" s="248"/>
      <c r="G33" s="248"/>
      <c r="H33" s="249"/>
    </row>
    <row r="34" spans="1:12" ht="14.45" customHeight="1">
      <c r="A34" s="250"/>
      <c r="B34" s="248"/>
      <c r="C34" s="248"/>
      <c r="D34" s="248"/>
      <c r="E34" s="248"/>
      <c r="F34" s="248"/>
      <c r="G34" s="248"/>
      <c r="H34" s="249"/>
    </row>
    <row r="35" spans="1:12" ht="14.45" customHeight="1">
      <c r="A35" s="250"/>
      <c r="B35" s="248"/>
      <c r="C35" s="248"/>
      <c r="D35" s="248"/>
      <c r="E35" s="248"/>
      <c r="F35" s="248"/>
      <c r="G35" s="248"/>
      <c r="H35" s="249"/>
    </row>
    <row r="36" spans="1:12" ht="14.45" customHeight="1">
      <c r="A36" s="250"/>
      <c r="B36" s="248"/>
      <c r="C36" s="248"/>
      <c r="D36" s="248"/>
      <c r="E36" s="248"/>
      <c r="F36" s="248"/>
      <c r="G36" s="248"/>
      <c r="H36" s="249"/>
    </row>
    <row r="37" spans="1:12" ht="14.45" customHeight="1">
      <c r="A37" s="250"/>
      <c r="B37" s="248"/>
      <c r="C37" s="248"/>
      <c r="D37" s="248"/>
      <c r="E37" s="248"/>
      <c r="F37" s="248"/>
      <c r="G37" s="248"/>
      <c r="H37" s="249"/>
    </row>
    <row r="38" spans="1:12" ht="14.45" customHeight="1">
      <c r="A38" s="177" t="s">
        <v>396</v>
      </c>
      <c r="B38" s="175"/>
      <c r="C38" s="176"/>
      <c r="D38" s="176"/>
      <c r="E38" s="186" t="str">
        <f>IF(A6=Вмешательства!D4,Вмешательства!V16,IF(ЧКВ!A6=Вмешательства!D36,Вмешательства!V16,"-----"))</f>
        <v>СТЕНТ/Ы</v>
      </c>
      <c r="F38" s="176"/>
      <c r="G38" s="179"/>
    </row>
    <row r="39" spans="1:12" ht="15.75">
      <c r="A39" s="173" t="s">
        <v>393</v>
      </c>
      <c r="B39" s="70" t="s">
        <v>395</v>
      </c>
      <c r="C39" s="121"/>
      <c r="D39" s="122" t="s">
        <v>187</v>
      </c>
      <c r="E39" s="72"/>
      <c r="F39" s="72"/>
      <c r="G39" s="72"/>
      <c r="H39" s="73"/>
    </row>
    <row r="40" spans="1:12" ht="14.45" customHeight="1">
      <c r="A40" s="174" t="s">
        <v>394</v>
      </c>
      <c r="B40" s="178" t="s">
        <v>524</v>
      </c>
      <c r="C40" s="120"/>
      <c r="D40" s="251" t="s">
        <v>529</v>
      </c>
      <c r="E40" s="245"/>
      <c r="F40" s="245"/>
      <c r="G40" s="245"/>
      <c r="H40" s="246"/>
    </row>
    <row r="41" spans="1:12" ht="14.45" customHeight="1">
      <c r="A41" s="32"/>
      <c r="B41" s="28"/>
      <c r="C41" s="120"/>
      <c r="D41" s="245"/>
      <c r="E41" s="245"/>
      <c r="F41" s="245"/>
      <c r="G41" s="245"/>
      <c r="H41" s="246"/>
    </row>
    <row r="42" spans="1:12" ht="14.45" customHeight="1">
      <c r="A42" s="32"/>
      <c r="B42" s="28"/>
      <c r="C42" s="120"/>
      <c r="D42" s="245"/>
      <c r="E42" s="245"/>
      <c r="F42" s="245"/>
      <c r="G42" s="245"/>
      <c r="H42" s="246"/>
    </row>
    <row r="43" spans="1:12" ht="14.45" customHeight="1">
      <c r="A43" s="32"/>
      <c r="B43" s="28"/>
      <c r="C43" s="120"/>
      <c r="D43" s="245"/>
      <c r="E43" s="245"/>
      <c r="F43" s="245"/>
      <c r="G43" s="245"/>
      <c r="H43" s="246"/>
    </row>
    <row r="44" spans="1:12" ht="14.45" customHeight="1">
      <c r="A44" s="32"/>
      <c r="B44" s="28"/>
      <c r="C44" s="120"/>
      <c r="D44" s="245"/>
      <c r="E44" s="245"/>
      <c r="F44" s="245"/>
      <c r="G44" s="245"/>
      <c r="H44" s="246"/>
      <c r="L44" s="160"/>
    </row>
    <row r="45" spans="1:12" ht="14.45" customHeight="1">
      <c r="A45" s="32"/>
      <c r="B45" s="28"/>
      <c r="C45" s="120"/>
      <c r="D45" s="245"/>
      <c r="E45" s="245"/>
      <c r="F45" s="245"/>
      <c r="G45" s="245"/>
      <c r="H45" s="246"/>
    </row>
    <row r="46" spans="1:12" ht="14.45" customHeight="1">
      <c r="A46" s="32"/>
      <c r="B46" s="28"/>
      <c r="C46" s="120"/>
      <c r="D46" s="245"/>
      <c r="E46" s="245"/>
      <c r="F46" s="245"/>
      <c r="G46" s="245"/>
      <c r="H46" s="246"/>
    </row>
    <row r="47" spans="1:12" ht="14.45" customHeight="1">
      <c r="A47" s="38"/>
      <c r="C47" s="120"/>
      <c r="D47" s="245"/>
      <c r="E47" s="245"/>
      <c r="F47" s="245"/>
      <c r="G47" s="245"/>
      <c r="H47" s="246"/>
    </row>
    <row r="48" spans="1:12" ht="14.45" customHeight="1">
      <c r="A48" s="38"/>
      <c r="C48" s="120"/>
      <c r="D48" s="245"/>
      <c r="E48" s="245"/>
      <c r="F48" s="245"/>
      <c r="G48" s="245"/>
      <c r="H48" s="246"/>
    </row>
    <row r="49" spans="1:8" ht="14.45" customHeight="1">
      <c r="A49" s="38"/>
      <c r="C49" s="120"/>
      <c r="D49" s="245"/>
      <c r="E49" s="245"/>
      <c r="F49" s="245"/>
      <c r="G49" s="245"/>
      <c r="H49" s="246"/>
    </row>
    <row r="50" spans="1:8">
      <c r="A50" s="62" t="s">
        <v>199</v>
      </c>
      <c r="B50" s="63" t="s">
        <v>522</v>
      </c>
      <c r="H50" s="39"/>
    </row>
    <row r="51" spans="1:8">
      <c r="A51" s="65" t="s">
        <v>206</v>
      </c>
      <c r="B51" s="66" t="s">
        <v>311</v>
      </c>
      <c r="G51" s="74" t="str">
        <f>$G$13</f>
        <v>Щербаков А.С.</v>
      </c>
      <c r="H51" s="64"/>
    </row>
    <row r="52" spans="1:8">
      <c r="A52" s="231" t="s">
        <v>372</v>
      </c>
      <c r="B52" s="232"/>
      <c r="C52" s="232"/>
      <c r="D52" s="232"/>
      <c r="E52" s="232"/>
      <c r="F52" s="233"/>
      <c r="H52" s="39"/>
    </row>
    <row r="53" spans="1:8" ht="15" customHeight="1">
      <c r="A53" s="234"/>
      <c r="B53" s="235"/>
      <c r="C53" s="235"/>
      <c r="D53" s="235"/>
      <c r="E53" s="235"/>
      <c r="F53" s="236"/>
      <c r="G53" s="74" t="str">
        <f>IF(ISBLANK(H13),"",H13)</f>
        <v/>
      </c>
      <c r="H53" s="64"/>
    </row>
    <row r="54" spans="1:8">
      <c r="A54" s="237"/>
      <c r="B54" s="238"/>
      <c r="C54" s="238"/>
      <c r="D54" s="238"/>
      <c r="E54" s="238"/>
      <c r="F54" s="239"/>
      <c r="G54" s="31"/>
      <c r="H54" s="41"/>
    </row>
  </sheetData>
  <sheetProtection sheet="1" objects="1" scenarios="1" formatCells="0" formatColumns="0"/>
  <mergeCells count="7">
    <mergeCell ref="A52:F54"/>
    <mergeCell ref="C8:E8"/>
    <mergeCell ref="A6:H7"/>
    <mergeCell ref="C9:E9"/>
    <mergeCell ref="C10:E10"/>
    <mergeCell ref="D40:H49"/>
    <mergeCell ref="A25:H37"/>
  </mergeCells>
  <phoneticPr fontId="14"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H15" sqref="H15"/>
    </sheetView>
  </sheetViews>
  <sheetFormatPr defaultRowHeight="15"/>
  <cols>
    <col min="1" max="1" width="18.7109375" customWidth="1"/>
    <col min="2" max="2" width="45.7109375" customWidth="1"/>
    <col min="3" max="3" width="15.7109375" customWidth="1"/>
    <col min="4" max="4" width="20.7109375" customWidth="1"/>
    <col min="5" max="5" width="7.7109375" bestFit="1" customWidth="1"/>
    <col min="6" max="8" width="10.7109375" bestFit="1" customWidth="1"/>
    <col min="9" max="13" width="11.7109375" bestFit="1" customWidth="1"/>
  </cols>
  <sheetData>
    <row r="1" spans="1:4">
      <c r="A1" s="27"/>
      <c r="B1" s="112"/>
      <c r="C1" s="112"/>
      <c r="D1" s="113"/>
    </row>
    <row r="2" spans="1:4" ht="19.899999999999999" customHeight="1">
      <c r="A2" s="96" t="s">
        <v>98</v>
      </c>
      <c r="B2" s="97">
        <f>$D$10</f>
        <v>45455</v>
      </c>
      <c r="C2" s="152" t="str">
        <f>IF(ЧКВ!A6=Вмешательства!D4,Вмешательства!F20,IF(ЧКВ!A6=Вмешательства!D36,Вмешательства!F20,Вмешательства!F22))</f>
        <v>ВМП 1</v>
      </c>
      <c r="D2" s="98" t="s">
        <v>99</v>
      </c>
    </row>
    <row r="3" spans="1:4" ht="20.45" customHeight="1">
      <c r="A3" s="99" t="s">
        <v>97</v>
      </c>
      <c r="B3" s="100"/>
      <c r="D3" s="39"/>
    </row>
    <row r="4" spans="1:4" ht="16.5" thickBot="1">
      <c r="A4" s="147" t="s">
        <v>195</v>
      </c>
      <c r="B4" s="148" t="s">
        <v>105</v>
      </c>
      <c r="C4" s="149" t="s">
        <v>15</v>
      </c>
      <c r="D4" s="204" t="str">
        <f>КАГ!$B$11</f>
        <v>Ляхов А.В.</v>
      </c>
    </row>
    <row r="5" spans="1:4" ht="15.75" thickTop="1">
      <c r="A5"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3" t="str">
        <f>IF(ISBLANK(КАГ!A6),"",КАГ!A6)</f>
        <v>КОРОНАРОГРАФИЯ</v>
      </c>
      <c r="C5" s="131" t="s">
        <v>8</v>
      </c>
      <c r="D5" s="102">
        <f>КАГ!$B$12</f>
        <v>27656</v>
      </c>
    </row>
    <row r="6" spans="1:4" ht="30">
      <c r="A6"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4" t="str">
        <f>ЧКВ!A6</f>
        <v xml:space="preserve">Транслюминальная баллонная ангиопластика и стентирование коронарных артерий. </v>
      </c>
      <c r="C6" s="131" t="s">
        <v>10</v>
      </c>
      <c r="D6" s="103">
        <f>DATEDIF(D5,D10,"y")</f>
        <v>48</v>
      </c>
    </row>
    <row r="7" spans="1:4">
      <c r="A7" s="38"/>
      <c r="C7" s="101" t="s">
        <v>12</v>
      </c>
      <c r="D7" s="103">
        <f>КАГ!$B$14</f>
        <v>16741</v>
      </c>
    </row>
    <row r="8" spans="1:4">
      <c r="A8" s="194" t="str">
        <f>ЧКВ!$A$9</f>
        <v>Код модели: 21166</v>
      </c>
      <c r="B8" s="104"/>
      <c r="C8" s="101" t="s">
        <v>133</v>
      </c>
      <c r="D8" s="103">
        <f>КАГ!$B$15</f>
        <v>35</v>
      </c>
    </row>
    <row r="9" spans="1:4">
      <c r="A9" s="194" t="str">
        <f>ЧКВ!$A$10</f>
        <v>Код метода: 47</v>
      </c>
      <c r="C9" s="105" t="s">
        <v>106</v>
      </c>
      <c r="D9" s="103" t="str">
        <f>КАГ!$B$16</f>
        <v>ОКС с ↑ ST</v>
      </c>
    </row>
    <row r="10" spans="1:4">
      <c r="A10" s="195"/>
      <c r="B10" s="31"/>
      <c r="C10" s="150" t="s">
        <v>13</v>
      </c>
      <c r="D10" s="151">
        <f>КАГ!$B$8</f>
        <v>45455</v>
      </c>
    </row>
    <row r="11" spans="1:4">
      <c r="A11" s="27"/>
      <c r="B11" s="112"/>
      <c r="C11" s="112"/>
      <c r="D11" s="113"/>
    </row>
    <row r="12" spans="1:4" ht="18.75" customHeight="1">
      <c r="A12" s="136" t="s">
        <v>336</v>
      </c>
      <c r="B12" s="137" t="s">
        <v>0</v>
      </c>
      <c r="C12" s="137" t="s">
        <v>14</v>
      </c>
      <c r="D12" s="138" t="s">
        <v>100</v>
      </c>
    </row>
    <row r="13" spans="1:4" ht="27.75" customHeight="1">
      <c r="A13" s="139"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3" t="s">
        <v>306</v>
      </c>
      <c r="C13" s="187"/>
      <c r="D13" s="140">
        <v>1</v>
      </c>
    </row>
    <row r="14" spans="1:4" ht="27.75" customHeight="1">
      <c r="A14" s="141"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4" t="s">
        <v>330</v>
      </c>
      <c r="C14" s="135"/>
      <c r="D14" s="140">
        <v>1</v>
      </c>
    </row>
    <row r="15" spans="1:4" ht="27.75" customHeight="1">
      <c r="A15"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4" t="s">
        <v>362</v>
      </c>
      <c r="C15" s="135"/>
      <c r="D15" s="140">
        <v>1</v>
      </c>
    </row>
    <row r="16" spans="1:4" ht="27.75" customHeight="1">
      <c r="A16" s="141"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6" s="154" t="s">
        <v>310</v>
      </c>
      <c r="C16" s="135"/>
      <c r="D16" s="140">
        <v>1</v>
      </c>
    </row>
    <row r="17" spans="1:4" ht="27.75" customHeight="1">
      <c r="A17"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54" t="s">
        <v>520</v>
      </c>
      <c r="C17" s="135" t="s">
        <v>527</v>
      </c>
      <c r="D17" s="140">
        <v>1</v>
      </c>
    </row>
    <row r="18" spans="1:4" ht="27.75" customHeight="1">
      <c r="A18" s="141"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4" t="s">
        <v>516</v>
      </c>
      <c r="C18" s="135" t="s">
        <v>420</v>
      </c>
      <c r="D18" s="140">
        <v>1</v>
      </c>
    </row>
    <row r="19" spans="1:4" ht="27.75" customHeight="1">
      <c r="A19" s="141" t="str">
        <f>IFERROR(INDEX(Расходка[[Тип расходного материала ]],MATCH(Карта_Учёта[[#This Row],[Наименование расходного материала]],Расходка[Наименование расходного материала],0)),"")</f>
        <v/>
      </c>
      <c r="B19" s="154"/>
      <c r="C19" s="182"/>
      <c r="D19" s="140"/>
    </row>
    <row r="20" spans="1:4" ht="27.75" customHeight="1">
      <c r="A20" s="141" t="str">
        <f>IFERROR(INDEX(Расходка[[Тип расходного материала ]],MATCH(Карта_Учёта[[#This Row],[Наименование расходного материала]],Расходка[Наименование расходного материала],0)),"")</f>
        <v/>
      </c>
      <c r="B20" s="155"/>
      <c r="C20" s="135"/>
      <c r="D20" s="140"/>
    </row>
    <row r="21" spans="1:4" ht="27.75" customHeight="1">
      <c r="A21" s="141" t="str">
        <f>IFERROR(INDEX(Расходка[[Тип расходного материала ]],MATCH(Карта_Учёта[[#This Row],[Наименование расходного материала]],Расходка[Наименование расходного материала],0)),"")</f>
        <v/>
      </c>
      <c r="B21" s="154"/>
      <c r="C21" s="135"/>
      <c r="D21" s="140"/>
    </row>
    <row r="22" spans="1:4" ht="27.75" customHeight="1">
      <c r="A22" s="141" t="str">
        <f>IFERROR(INDEX(Расходка[[Тип расходного материала ]],MATCH(Карта_Учёта[[#This Row],[Наименование расходного материала]],Расходка[Наименование расходного материала],0)),"")</f>
        <v/>
      </c>
      <c r="B22" s="154"/>
      <c r="C22" s="135"/>
      <c r="D22" s="142"/>
    </row>
    <row r="23" spans="1:4" ht="27.75" customHeight="1">
      <c r="A23" s="141" t="str">
        <f>IFERROR(INDEX(Расходка[[Тип расходного материала ]],MATCH(Карта_Учёта[[#This Row],[Наименование расходного материала]],Расходка[Наименование расходного материала],0)),"")</f>
        <v/>
      </c>
      <c r="B23" s="154"/>
      <c r="C23" s="135"/>
      <c r="D23" s="142"/>
    </row>
    <row r="24" spans="1:4" ht="27.75" customHeight="1">
      <c r="A24" s="143" t="str">
        <f>IFERROR(INDEX(Расходка[[Тип расходного материала ]],MATCH(Карта_Учёта[[#This Row],[Наименование расходного материала]],Расходка[Наименование расходного материала],0)),"")</f>
        <v/>
      </c>
      <c r="B24" s="154"/>
      <c r="C24" s="135"/>
      <c r="D24" s="142"/>
    </row>
    <row r="25" spans="1:4" ht="27.75" customHeight="1">
      <c r="A25" s="144" t="str">
        <f>IFERROR(INDEX(Расходка[[Тип расходного материала ]],MATCH(Карта_Учёта[[#This Row],[Наименование расходного материала]],Расходка[Наименование расходного материала],0)),"")</f>
        <v/>
      </c>
      <c r="B25" s="156"/>
      <c r="C25" s="145"/>
      <c r="D25" s="146"/>
    </row>
    <row r="26" spans="1:4" ht="14.45" customHeight="1">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0" t="s">
        <v>378</v>
      </c>
      <c r="C35" s="13"/>
      <c r="D35" s="39"/>
    </row>
    <row r="36" spans="1:4" ht="19.899999999999999" customHeight="1">
      <c r="A36" s="38"/>
      <c r="D36" s="39"/>
    </row>
    <row r="37" spans="1:4" ht="19.899999999999999" customHeight="1">
      <c r="A37" s="38"/>
      <c r="B37" s="117" t="str">
        <f>"Оператор:"&amp;" "&amp;ЧКВ!$G$13</f>
        <v>Оператор: Щербаков А.С.</v>
      </c>
      <c r="C37" s="13"/>
      <c r="D37" s="39"/>
    </row>
    <row r="38" spans="1:4" ht="19.899999999999999" customHeight="1">
      <c r="A38" s="38"/>
      <c r="D38" s="39"/>
    </row>
    <row r="39" spans="1:4" ht="19.899999999999999" customHeight="1">
      <c r="A39" s="38"/>
      <c r="B39" s="111" t="s">
        <v>518</v>
      </c>
      <c r="C39" s="114"/>
      <c r="D39" s="39"/>
    </row>
    <row r="40" spans="1:4" ht="19.899999999999999" customHeight="1">
      <c r="A40" s="40"/>
      <c r="B40" s="31"/>
      <c r="C40" s="31"/>
      <c r="D40" s="41"/>
    </row>
    <row r="41" spans="1:4" ht="14.45" customHeight="1">
      <c r="C41" s="11"/>
    </row>
  </sheetData>
  <sheetProtection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F8" sqref="F8"/>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487</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486</v>
      </c>
      <c r="G3" s="3" t="s">
        <v>487</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312</v>
      </c>
      <c r="G4" s="3" t="s">
        <v>487</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401</v>
      </c>
      <c r="F5" t="s">
        <v>131</v>
      </c>
      <c r="G5" s="3" t="s">
        <v>487</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487</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487</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487</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487</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488</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486</v>
      </c>
      <c r="G13" s="3" t="s">
        <v>488</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312</v>
      </c>
      <c r="G14" s="3" t="s">
        <v>488</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488</v>
      </c>
      <c r="H15" s="3">
        <v>2633</v>
      </c>
      <c r="I15" s="3">
        <v>46</v>
      </c>
      <c r="J15" s="3">
        <v>45</v>
      </c>
      <c r="K15" s="3">
        <v>45</v>
      </c>
      <c r="L15" s="3">
        <v>45</v>
      </c>
      <c r="M15" s="3">
        <v>45</v>
      </c>
      <c r="N15" s="3">
        <v>45</v>
      </c>
      <c r="O15" s="3">
        <v>45</v>
      </c>
      <c r="P15" s="3">
        <v>45</v>
      </c>
      <c r="Q15" s="3">
        <v>45</v>
      </c>
      <c r="R15" s="3">
        <v>45</v>
      </c>
      <c r="S15" s="3">
        <v>45</v>
      </c>
      <c r="T15" s="3">
        <v>45</v>
      </c>
      <c r="V15" t="s">
        <v>396</v>
      </c>
      <c r="W15" s="12"/>
    </row>
    <row r="16" spans="1:23">
      <c r="A16" s="8">
        <v>15</v>
      </c>
      <c r="B16" s="2" t="s">
        <v>31</v>
      </c>
      <c r="C16" s="8" t="s">
        <v>237</v>
      </c>
      <c r="D16" s="5" t="s">
        <v>32</v>
      </c>
      <c r="V16" t="s">
        <v>397</v>
      </c>
    </row>
    <row r="17" spans="1:23">
      <c r="A17" s="8">
        <v>16</v>
      </c>
      <c r="B17" s="2" t="s">
        <v>33</v>
      </c>
      <c r="C17" s="8" t="s">
        <v>238</v>
      </c>
      <c r="D17" s="5" t="s">
        <v>34</v>
      </c>
      <c r="F17" t="s">
        <v>489</v>
      </c>
      <c r="V17" t="s">
        <v>398</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337</v>
      </c>
      <c r="J21" s="12"/>
    </row>
    <row r="22" spans="1:23" ht="30">
      <c r="A22" s="8">
        <v>21</v>
      </c>
      <c r="B22" s="2" t="s">
        <v>52</v>
      </c>
      <c r="C22" s="8" t="s">
        <v>53</v>
      </c>
      <c r="D22" s="5" t="s">
        <v>54</v>
      </c>
      <c r="F22" t="s">
        <v>338</v>
      </c>
      <c r="J22" s="12"/>
      <c r="U22" s="2"/>
    </row>
    <row r="23" spans="1:23">
      <c r="A23" s="8">
        <v>22</v>
      </c>
      <c r="B23" s="2" t="s">
        <v>55</v>
      </c>
      <c r="C23" s="8" t="s">
        <v>56</v>
      </c>
      <c r="D23" s="5" t="s">
        <v>57</v>
      </c>
      <c r="F23" t="s">
        <v>348</v>
      </c>
      <c r="J23" s="12"/>
      <c r="U23" s="2"/>
    </row>
    <row r="24" spans="1:23">
      <c r="A24" s="8">
        <v>23</v>
      </c>
      <c r="B24" s="2" t="s">
        <v>58</v>
      </c>
      <c r="C24" s="8" t="s">
        <v>59</v>
      </c>
      <c r="D24" s="5" t="s">
        <v>60</v>
      </c>
      <c r="F24" t="s">
        <v>504</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zoomScaleNormal="100" workbookViewId="0">
      <selection activeCell="C49" sqref="C49"/>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501</v>
      </c>
      <c r="AN1" s="2" t="s">
        <v>495</v>
      </c>
      <c r="AO1" t="s">
        <v>357</v>
      </c>
      <c r="AP1" s="159"/>
    </row>
    <row r="2" spans="1:42">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1</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1</v>
      </c>
      <c r="L2" s="116">
        <f>IF(ISNUMBER(SEARCH('Карта учёта'!$B$20,Расходка[[#This Row],[Наименование расходного материала]])),MAX($L$1:L1)+1,0)</f>
        <v>1</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Индефлятор</v>
      </c>
      <c r="S2" s="115" t="str">
        <f>IFERROR(INDEX(Расходка[Наименование расходного материала],MATCH(Расходка[[#This Row],[№]],Поиск_расходки[Индекс2],0)),"")</f>
        <v>Launcher 6F JR 3.5</v>
      </c>
      <c r="T2" s="115" t="str">
        <f>IFERROR(INDEX(Расходка[Наименование расходного материала],MATCH(Расходка[[#This Row],[№]],Поиск_расходки[Индекс3],0)),"")</f>
        <v>Whisper MS</v>
      </c>
      <c r="U2" s="115" t="str">
        <f>IFERROR(INDEX(Расходка[Наименование расходного материала],MATCH(Расходка[[#This Row],[№]],Поиск_расходки[Индекс4],0)),"")</f>
        <v>Hunter® 6F</v>
      </c>
      <c r="V2" s="115" t="str">
        <f>IFERROR(INDEX(Расходка[Наименование расходного материала],MATCH(Расходка[[#This Row],[№]],Поиск_расходки[Индекс5],0)),"")</f>
        <v>Meril Evermine50™</v>
      </c>
      <c r="W2" s="115" t="str">
        <f>IFERROR(INDEX(Расходка[Наименование расходного материала],MATCH(Расходка[[#This Row],[№]],Поиск_расходки[Индекс6],0)),"")</f>
        <v>NC АКСИОМА</v>
      </c>
      <c r="X2" s="115" t="str">
        <f>IFERROR(INDEX(Расходка[Наименование расходного материала],MATCH(Расходка[[#This Row],[№]],Поиск_расходки[Индекс7],0)),"")</f>
        <v>Hunter® 6F</v>
      </c>
      <c r="Y2" s="115" t="str">
        <f>IFERROR(INDEX(Расходка[Наименование расходного материала],MATCH(Расходка[[#This Row],[№]],Поиск_расходки[Индекс8],0)),"")</f>
        <v>Hunter® 6F</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403</v>
      </c>
      <c r="AI2" t="s">
        <v>190</v>
      </c>
      <c r="AJ2" t="s">
        <v>199</v>
      </c>
      <c r="AK2" t="str">
        <f>CONCATENATE(AI2,AJ2)</f>
        <v xml:space="preserve">Контраст: Ультравист 370 </v>
      </c>
      <c r="AM2" s="207">
        <v>155800</v>
      </c>
      <c r="AN2" s="208" t="s">
        <v>309</v>
      </c>
      <c r="AO2" s="209" t="s">
        <v>497</v>
      </c>
      <c r="AP2" s="128"/>
    </row>
    <row r="3" spans="1:42">
      <c r="A3">
        <v>2</v>
      </c>
      <c r="B3" t="s">
        <v>94</v>
      </c>
      <c r="C3" t="s">
        <v>371</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2</v>
      </c>
      <c r="L3" s="116">
        <f>IF(ISNUMBER(SEARCH('Карта учёта'!$B$20,Расходка[[#This Row],[Наименование расходного материала]])),MAX($L$1:L2)+1,0)</f>
        <v>2</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c>
      <c r="U3" s="115" t="str">
        <f>IFERROR(INDEX(Расходка[Наименование расходного материала],MATCH(Расходка[[#This Row],[№]],Поиск_расходки[Индекс4],0)),"")</f>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xml:space="preserve">Medtronic Export Advance </v>
      </c>
      <c r="Y3" s="115" t="str">
        <f>IFERROR(INDEX(Расходка[Наименование расходного материала],MATCH(Расходка[[#This Row],[№]],Поиск_расходки[Индекс8],0)),"")</f>
        <v xml:space="preserve">Medtronic Export Advance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404</v>
      </c>
      <c r="AI3" t="s">
        <v>190</v>
      </c>
      <c r="AJ3" t="s">
        <v>200</v>
      </c>
      <c r="AK3" t="str">
        <f t="shared" ref="AK3:AK6" si="0">CONCATENATE(AI3,AJ3)</f>
        <v>Контраст: Омнипак 350</v>
      </c>
      <c r="AM3" s="189">
        <v>218190</v>
      </c>
      <c r="AN3" s="2" t="s">
        <v>490</v>
      </c>
      <c r="AO3" t="s">
        <v>498</v>
      </c>
      <c r="AP3" s="129"/>
    </row>
    <row r="4" spans="1:42">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3</v>
      </c>
      <c r="L4" s="116">
        <f>IF(ISNUMBER(SEARCH('Карта учёта'!$B$20,Расходка[[#This Row],[Наименование расходного материала]])),MAX($L$1:L3)+1,0)</f>
        <v>3</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Euphora</v>
      </c>
      <c r="Y4" s="115" t="str">
        <f>IFERROR(INDEX(Расходка[Наименование расходного материала],MATCH(Расходка[[#This Row],[№]],Поиск_расходки[Индекс8],0)),"")</f>
        <v>Euphora</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405</v>
      </c>
      <c r="AI4" t="s">
        <v>190</v>
      </c>
      <c r="AJ4" t="s">
        <v>201</v>
      </c>
      <c r="AK4" t="str">
        <f t="shared" si="0"/>
        <v>Контраст: Оптирей 350</v>
      </c>
      <c r="AM4" s="189">
        <v>337440</v>
      </c>
      <c r="AN4" s="2" t="s">
        <v>503</v>
      </c>
      <c r="AO4" t="s">
        <v>500</v>
      </c>
      <c r="AP4" s="129"/>
    </row>
    <row r="5" spans="1:42">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0</v>
      </c>
      <c r="J5" s="116">
        <f>IF(ISNUMBER(SEARCH('Карта учёта'!$B$18,Расходка[[#This Row],[Наименование расходного материала]])),MAX($J$1:J4)+1,0)</f>
        <v>0</v>
      </c>
      <c r="K5" s="116">
        <f>IF(ISNUMBER(SEARCH('Карта учёта'!$B$19,Расходка[[#This Row],[Наименование расходного материала]])),MAX($K$1:K4)+1,0)</f>
        <v>4</v>
      </c>
      <c r="L5" s="116">
        <f>IF(ISNUMBER(SEARCH('Карта учёта'!$B$20,Расходка[[#This Row],[Наименование расходного материала]])),MAX($L$1:L4)+1,0)</f>
        <v>4</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NC Accuforce</v>
      </c>
      <c r="Y5" s="115" t="str">
        <f>IFERROR(INDEX(Расходка[Наименование расходного материала],MATCH(Расходка[[#This Row],[№]],Поиск_расходки[Индекс8],0)),"")</f>
        <v>NC Accuforce</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406</v>
      </c>
      <c r="AI5" t="s">
        <v>190</v>
      </c>
      <c r="AJ5" t="s">
        <v>202</v>
      </c>
      <c r="AK5" t="str">
        <f t="shared" si="0"/>
        <v>Контраст: Юнигексол 350</v>
      </c>
      <c r="AM5" s="207">
        <v>136170</v>
      </c>
      <c r="AN5" s="208"/>
      <c r="AO5" s="209" t="s">
        <v>499</v>
      </c>
    </row>
    <row r="6" spans="1:42">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5</v>
      </c>
      <c r="L6" s="116">
        <f>IF(ISNUMBER(SEARCH('Карта учёта'!$B$20,Расходка[[#This Row],[Наименование расходного материала]])),MAX($L$1:L5)+1,0)</f>
        <v>5</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NC Euphora</v>
      </c>
      <c r="Y6" s="115" t="str">
        <f>IFERROR(INDEX(Расходка[Наименование расходного материала],MATCH(Расходка[[#This Row],[№]],Поиск_расходки[Индекс8],0)),"")</f>
        <v>NC Euphora</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407</v>
      </c>
      <c r="AI6" t="s">
        <v>190</v>
      </c>
      <c r="AJ6" t="s">
        <v>203</v>
      </c>
      <c r="AK6" t="str">
        <f t="shared" si="0"/>
        <v>Контраст: Сканлюкс 370</v>
      </c>
      <c r="AM6" s="189">
        <v>135820</v>
      </c>
      <c r="AN6" s="2"/>
      <c r="AO6" t="s">
        <v>502</v>
      </c>
    </row>
    <row r="7" spans="1:42">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6</v>
      </c>
      <c r="L7" s="116">
        <f>IF(ISNUMBER(SEARCH('Карта учёта'!$B$20,Расходка[[#This Row],[Наименование расходного материала]])),MAX($L$1:L6)+1,0)</f>
        <v>6</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Sapphire</v>
      </c>
      <c r="Y7" s="115" t="str">
        <f>IFERROR(INDEX(Расходка[Наименование расходного материала],MATCH(Расходка[[#This Row],[№]],Поиск_расходки[Индекс8],0)),"")</f>
        <v>Sapphire</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408</v>
      </c>
      <c r="AI7" t="s">
        <v>190</v>
      </c>
      <c r="AJ7" t="s">
        <v>204</v>
      </c>
      <c r="AK7" t="str">
        <f t="shared" ref="AK7:AK8" si="1">CONCATENATE(AI7,AJ7)</f>
        <v>Контраст: Йогексол 350</v>
      </c>
      <c r="AM7" s="207">
        <v>155760</v>
      </c>
      <c r="AN7" s="208"/>
      <c r="AO7" s="209" t="s">
        <v>496</v>
      </c>
    </row>
    <row r="8" spans="1:42">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7</v>
      </c>
      <c r="L8" s="116">
        <f>IF(ISNUMBER(SEARCH('Карта учёта'!$B$20,Расходка[[#This Row],[Наименование расходного материала]])),MAX($L$1:L7)+1,0)</f>
        <v>7</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Sprinter Legend</v>
      </c>
      <c r="Y8" s="115" t="str">
        <f>IFERROR(INDEX(Расходка[Наименование расходного материала],MATCH(Расходка[[#This Row],[№]],Поиск_расходки[Индекс8],0)),"")</f>
        <v>Sprinter Legend</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409</v>
      </c>
      <c r="AI8" t="s">
        <v>190</v>
      </c>
      <c r="AJ8" t="s">
        <v>205</v>
      </c>
      <c r="AK8" t="str">
        <f t="shared" si="1"/>
        <v>Контраст: Визипак 320</v>
      </c>
      <c r="AM8" s="189">
        <v>218140</v>
      </c>
      <c r="AN8" s="2"/>
      <c r="AO8" t="s">
        <v>89</v>
      </c>
    </row>
    <row r="9" spans="1:42">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8</v>
      </c>
      <c r="L9" s="116">
        <f>IF(ISNUMBER(SEARCH('Карта учёта'!$B$20,Расходка[[#This Row],[Наименование расходного материала]])),MAX($L$1:L8)+1,0)</f>
        <v>8</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SubMarine Rapido, Invatec</v>
      </c>
      <c r="Y9" s="115" t="str">
        <f>IFERROR(INDEX(Расходка[Наименование расходного материала],MATCH(Расходка[[#This Row],[№]],Поиск_расходки[Индекс8],0)),"")</f>
        <v>SubMarine Rapido, Invatec</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410</v>
      </c>
      <c r="AM9" s="189">
        <v>218160</v>
      </c>
      <c r="AN9" s="2"/>
      <c r="AO9" t="s">
        <v>90</v>
      </c>
    </row>
    <row r="10" spans="1:42">
      <c r="A10">
        <v>9</v>
      </c>
      <c r="B10" t="s">
        <v>5</v>
      </c>
      <c r="C10" t="s">
        <v>376</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0</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9</v>
      </c>
      <c r="L10" s="116">
        <f>IF(ISNUMBER(SEARCH('Карта учёта'!$B$20,Расходка[[#This Row],[Наименование расходного материала]])),MAX($L$1:L9)+1,0)</f>
        <v>9</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Колибри</v>
      </c>
      <c r="Y10" s="115" t="str">
        <f>IFERROR(INDEX(Расходка[Наименование расходного материала],MATCH(Расходка[[#This Row],[№]],Поиск_расходки[Индекс8],0)),"")</f>
        <v>Колибри</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411</v>
      </c>
      <c r="AI10" t="s">
        <v>356</v>
      </c>
      <c r="AM10" s="189">
        <v>194510</v>
      </c>
      <c r="AN10" s="2"/>
      <c r="AO10" t="s">
        <v>91</v>
      </c>
    </row>
    <row r="11" spans="1:42">
      <c r="A11">
        <v>10</v>
      </c>
      <c r="B11" t="s">
        <v>5</v>
      </c>
      <c r="C11" t="s">
        <v>399</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0</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10</v>
      </c>
      <c r="L11" s="116">
        <f>IF(ISNUMBER(SEARCH('Карта учёта'!$B$20,Расходка[[#This Row],[Наименование расходного материала]])),MAX($L$1:L10)+1,0)</f>
        <v>10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xml:space="preserve">NC Колибри </v>
      </c>
      <c r="Y11" s="115" t="str">
        <f>IFERROR(INDEX(Расходка[Наименование расходного материала],MATCH(Расходка[[#This Row],[№]],Поиск_расходки[Индекс8],0)),"")</f>
        <v xml:space="preserve">NC Колибри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412</v>
      </c>
      <c r="AI11" t="s">
        <v>4</v>
      </c>
      <c r="AM11" s="189">
        <v>323500</v>
      </c>
      <c r="AN11" s="2"/>
      <c r="AO11" t="s">
        <v>92</v>
      </c>
    </row>
    <row r="12" spans="1:42">
      <c r="A12">
        <v>11</v>
      </c>
      <c r="B12" t="s">
        <v>5</v>
      </c>
      <c r="C12" t="s">
        <v>516</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1</v>
      </c>
      <c r="K12" s="116">
        <f>IF(ISNUMBER(SEARCH('Карта учёта'!$B$19,Расходка[[#This Row],[Наименование расходного материала]])),MAX($K$1:K11)+1,0)</f>
        <v>11</v>
      </c>
      <c r="L12" s="116">
        <f>IF(ISNUMBER(SEARCH('Карта учёта'!$B$20,Расходка[[#This Row],[Наименование расходного материала]])),MAX($L$1:L11)+1,0)</f>
        <v>11</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NC АКСИОМА</v>
      </c>
      <c r="Y12" s="115" t="str">
        <f>IFERROR(INDEX(Расходка[Наименование расходного материала],MATCH(Расходка[[#This Row],[№]],Поиск_расходки[Индекс8],0)),"")</f>
        <v>NC АКСИОМА</v>
      </c>
      <c r="Z12" s="115" t="str">
        <f>IFERROR(INDEX(Расходка[Наименование расходного материала],MATCH(Расходка[[#This Row],[№]],Поиск_расходки[Индекс9],0)),"")</f>
        <v>NC АКСИОМА</v>
      </c>
      <c r="AA12" s="115" t="str">
        <f>IFERROR(INDEX(Расходка[Наименование расходного материала],MATCH(Расходка[[#This Row],[№]],Поиск_расходки[Индекс10],0)),"")</f>
        <v>NC АКСИОМА</v>
      </c>
      <c r="AB12" s="115" t="str">
        <f>IFERROR(INDEX(Расходка[Наименование расходного материала],MATCH(Расходка[[#This Row],[№]],Поиск_расходки[Индекс11],0)),"")</f>
        <v>NC АКСИОМА</v>
      </c>
      <c r="AC12" s="115" t="str">
        <f>IFERROR(INDEX(Расходка[Наименование расходного материала],MATCH(Расходка[[#This Row],[№]],Поиск_расходки[Индекс12],0)),"")</f>
        <v>NC АКСИОМА</v>
      </c>
      <c r="AD12" s="115" t="str">
        <f>IFERROR(INDEX(Расходка[Наименование расходного материала],MATCH(Расходка[[#This Row],[№]],Поиск_расходки[Индекс13],0)),"")</f>
        <v>NC АКСИОМА</v>
      </c>
      <c r="AF12" s="4" t="s">
        <v>5</v>
      </c>
      <c r="AG12" s="4" t="s">
        <v>413</v>
      </c>
      <c r="AI12" t="s">
        <v>3</v>
      </c>
      <c r="AM12" s="189">
        <v>323510</v>
      </c>
      <c r="AN12" s="2"/>
      <c r="AO12" t="s">
        <v>93</v>
      </c>
    </row>
    <row r="13" spans="1:42">
      <c r="A13">
        <v>12</v>
      </c>
      <c r="B13" t="s">
        <v>308</v>
      </c>
      <c r="C13" s="1" t="s">
        <v>334</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12</v>
      </c>
      <c r="L13" s="116">
        <f>IF(ISNUMBER(SEARCH('Карта учёта'!$B$20,Расходка[[#This Row],[Наименование расходного материала]])),MAX($L$1:L12)+1,0)</f>
        <v>12</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Nitrex 260</v>
      </c>
      <c r="Y13" s="115" t="str">
        <f>IFERROR(INDEX(Расходка[Наименование расходного материала],MATCH(Расходка[[#This Row],[№]],Поиск_расходки[Индекс8],0)),"")</f>
        <v>Nitrex 260</v>
      </c>
      <c r="Z13" s="115" t="str">
        <f>IFERROR(INDEX(Расходка[Наименование расходного материала],MATCH(Расходка[[#This Row],[№]],Поиск_расходки[Индекс9],0)),"")</f>
        <v>Nitrex 260</v>
      </c>
      <c r="AA13" s="115" t="str">
        <f>IFERROR(INDEX(Расходка[Наименование расходного материала],MATCH(Расходка[[#This Row],[№]],Поиск_расходки[Индекс10],0)),"")</f>
        <v>Nitrex 260</v>
      </c>
      <c r="AB13" s="115" t="str">
        <f>IFERROR(INDEX(Расходка[Наименование расходного материала],MATCH(Расходка[[#This Row],[№]],Поиск_расходки[Индекс11],0)),"")</f>
        <v>Nitrex 260</v>
      </c>
      <c r="AC13" s="115" t="str">
        <f>IFERROR(INDEX(Расходка[Наименование расходного материала],MATCH(Расходка[[#This Row],[№]],Поиск_расходки[Индекс12],0)),"")</f>
        <v>Nitrex 260</v>
      </c>
      <c r="AD13" s="115" t="str">
        <f>IFERROR(INDEX(Расходка[Наименование расходного материала],MATCH(Расходка[[#This Row],[№]],Поиск_расходки[Индекс13],0)),"")</f>
        <v>Nitrex 260</v>
      </c>
      <c r="AF13" s="4" t="s">
        <v>5</v>
      </c>
      <c r="AG13" s="4" t="s">
        <v>414</v>
      </c>
      <c r="AI13" t="s">
        <v>6</v>
      </c>
      <c r="AN13" s="2"/>
    </row>
    <row r="14" spans="1:42">
      <c r="A14">
        <v>13</v>
      </c>
      <c r="B14" t="s">
        <v>308</v>
      </c>
      <c r="C14" t="s">
        <v>367</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13</v>
      </c>
      <c r="L14" s="116">
        <f>IF(ISNUMBER(SEARCH('Карта учёта'!$B$20,Расходка[[#This Row],[Наименование расходного материала]])),MAX($L$1:L13)+1,0)</f>
        <v>13</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RadiFocus</v>
      </c>
      <c r="Y14" s="115" t="str">
        <f>IFERROR(INDEX(Расходка[Наименование расходного материала],MATCH(Расходка[[#This Row],[№]],Поиск_расходки[Индекс8],0)),"")</f>
        <v>RadiFocus</v>
      </c>
      <c r="Z14" s="115" t="str">
        <f>IFERROR(INDEX(Расходка[Наименование расходного материала],MATCH(Расходка[[#This Row],[№]],Поиск_расходки[Индекс9],0)),"")</f>
        <v>RadiFocus</v>
      </c>
      <c r="AA14" s="115" t="str">
        <f>IFERROR(INDEX(Расходка[Наименование расходного материала],MATCH(Расходка[[#This Row],[№]],Поиск_расходки[Индекс10],0)),"")</f>
        <v>RadiFocus</v>
      </c>
      <c r="AB14" s="115" t="str">
        <f>IFERROR(INDEX(Расходка[Наименование расходного материала],MATCH(Расходка[[#This Row],[№]],Поиск_расходки[Индекс11],0)),"")</f>
        <v>RadiFocus</v>
      </c>
      <c r="AC14" s="115" t="str">
        <f>IFERROR(INDEX(Расходка[Наименование расходного материала],MATCH(Расходка[[#This Row],[№]],Поиск_расходки[Индекс12],0)),"")</f>
        <v>RadiFocus</v>
      </c>
      <c r="AD14" s="115" t="str">
        <f>IFERROR(INDEX(Расходка[Наименование расходного материала],MATCH(Расходка[[#This Row],[№]],Поиск_расходки[Индекс13],0)),"")</f>
        <v>RadiFocus</v>
      </c>
      <c r="AF14" s="4" t="s">
        <v>5</v>
      </c>
      <c r="AG14" s="4" t="s">
        <v>493</v>
      </c>
      <c r="AI14" t="s">
        <v>5</v>
      </c>
      <c r="AM14" s="189"/>
      <c r="AN14" s="2"/>
    </row>
    <row r="15" spans="1:42">
      <c r="A15">
        <v>14</v>
      </c>
      <c r="B15" t="s">
        <v>306</v>
      </c>
      <c r="C15" t="s">
        <v>333</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14</v>
      </c>
      <c r="L15" s="116">
        <f>IF(ISNUMBER(SEARCH('Карта учёта'!$B$20,Расходка[[#This Row],[Наименование расходного материала]])),MAX($L$1:L14)+1,0)</f>
        <v>14</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BasixCOMPAK</v>
      </c>
      <c r="Y15" s="115" t="str">
        <f>IFERROR(INDEX(Расходка[Наименование расходного материала],MATCH(Расходка[[#This Row],[№]],Поиск_расходки[Индекс8],0)),"")</f>
        <v>BasixCOMPAK</v>
      </c>
      <c r="Z15" s="115" t="str">
        <f>IFERROR(INDEX(Расходка[Наименование расходного материала],MATCH(Расходка[[#This Row],[№]],Поиск_расходки[Индекс9],0)),"")</f>
        <v>BasixCOMPAK</v>
      </c>
      <c r="AA15" s="115" t="str">
        <f>IFERROR(INDEX(Расходка[Наименование расходного материала],MATCH(Расходка[[#This Row],[№]],Поиск_расходки[Индекс10],0)),"")</f>
        <v>BasixCOMPAK</v>
      </c>
      <c r="AB15" s="115" t="str">
        <f>IFERROR(INDEX(Расходка[Наименование расходного материала],MATCH(Расходка[[#This Row],[№]],Поиск_расходки[Индекс11],0)),"")</f>
        <v>BasixCOMPAK</v>
      </c>
      <c r="AC15" s="115" t="str">
        <f>IFERROR(INDEX(Расходка[Наименование расходного материала],MATCH(Расходка[[#This Row],[№]],Поиск_расходки[Индекс12],0)),"")</f>
        <v>BasixCOMPAK</v>
      </c>
      <c r="AD15" s="115" t="str">
        <f>IFERROR(INDEX(Расходка[Наименование расходного материала],MATCH(Расходка[[#This Row],[№]],Поиск_расходки[Индекс13],0)),"")</f>
        <v>BasixCOMPAK</v>
      </c>
      <c r="AF15" s="4" t="s">
        <v>5</v>
      </c>
      <c r="AG15" s="4" t="s">
        <v>415</v>
      </c>
      <c r="AI15" t="s">
        <v>94</v>
      </c>
    </row>
    <row r="16" spans="1:42">
      <c r="A16">
        <v>15</v>
      </c>
      <c r="B16" t="s">
        <v>306</v>
      </c>
      <c r="C16" t="s">
        <v>364</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15</v>
      </c>
      <c r="L16" s="116">
        <f>IF(ISNUMBER(SEARCH('Карта учёта'!$B$20,Расходка[[#This Row],[Наименование расходного материала]])),MAX($L$1:L15)+1,0)</f>
        <v>15</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BasixTOUCH</v>
      </c>
      <c r="Y16" s="115" t="str">
        <f>IFERROR(INDEX(Расходка[Наименование расходного материала],MATCH(Расходка[[#This Row],[№]],Поиск_расходки[Индекс8],0)),"")</f>
        <v>BasixTOUCH</v>
      </c>
      <c r="Z16" s="115" t="str">
        <f>IFERROR(INDEX(Расходка[Наименование расходного материала],MATCH(Расходка[[#This Row],[№]],Поиск_расходки[Индекс9],0)),"")</f>
        <v>BasixTOUCH</v>
      </c>
      <c r="AA16" s="115" t="str">
        <f>IFERROR(INDEX(Расходка[Наименование расходного материала],MATCH(Расходка[[#This Row],[№]],Поиск_расходки[Индекс10],0)),"")</f>
        <v>BasixTOUCH</v>
      </c>
      <c r="AB16" s="115" t="str">
        <f>IFERROR(INDEX(Расходка[Наименование расходного материала],MATCH(Расходка[[#This Row],[№]],Поиск_расходки[Индекс11],0)),"")</f>
        <v>BasixTOUCH</v>
      </c>
      <c r="AC16" s="115" t="str">
        <f>IFERROR(INDEX(Расходка[Наименование расходного материала],MATCH(Расходка[[#This Row],[№]],Поиск_расходки[Индекс12],0)),"")</f>
        <v>BasixTOUCH</v>
      </c>
      <c r="AD16" s="115" t="str">
        <f>IFERROR(INDEX(Расходка[Наименование расходного материала],MATCH(Расходка[[#This Row],[№]],Поиск_расходки[Индекс13],0)),"")</f>
        <v>BasixTOUCH</v>
      </c>
      <c r="AF16" s="4" t="s">
        <v>5</v>
      </c>
      <c r="AG16" s="4" t="s">
        <v>416</v>
      </c>
      <c r="AI16" t="s">
        <v>306</v>
      </c>
    </row>
    <row r="17" spans="1:35">
      <c r="A17">
        <v>16</v>
      </c>
      <c r="B17" t="s">
        <v>306</v>
      </c>
      <c r="C17" t="s">
        <v>355</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16</v>
      </c>
      <c r="L17" s="116">
        <f>IF(ISNUMBER(SEARCH('Карта учёта'!$B$20,Расходка[[#This Row],[Наименование расходного материала]])),MAX($L$1:L16)+1,0)</f>
        <v>16</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Dolphin</v>
      </c>
      <c r="Y17" s="115" t="str">
        <f>IFERROR(INDEX(Расходка[Наименование расходного материала],MATCH(Расходка[[#This Row],[№]],Поиск_расходки[Индекс8],0)),"")</f>
        <v>Dolphin</v>
      </c>
      <c r="Z17" s="115" t="str">
        <f>IFERROR(INDEX(Расходка[Наименование расходного материала],MATCH(Расходка[[#This Row],[№]],Поиск_расходки[Индекс9],0)),"")</f>
        <v>Dolphin</v>
      </c>
      <c r="AA17" s="115" t="str">
        <f>IFERROR(INDEX(Расходка[Наименование расходного материала],MATCH(Расходка[[#This Row],[№]],Поиск_расходки[Индекс10],0)),"")</f>
        <v>Dolphin</v>
      </c>
      <c r="AB17" s="115" t="str">
        <f>IFERROR(INDEX(Расходка[Наименование расходного материала],MATCH(Расходка[[#This Row],[№]],Поиск_расходки[Индекс11],0)),"")</f>
        <v>Dolphin</v>
      </c>
      <c r="AC17" s="115" t="str">
        <f>IFERROR(INDEX(Расходка[Наименование расходного материала],MATCH(Расходка[[#This Row],[№]],Поиск_расходки[Индекс12],0)),"")</f>
        <v>Dolphin</v>
      </c>
      <c r="AD17" s="115" t="str">
        <f>IFERROR(INDEX(Расходка[Наименование расходного материала],MATCH(Расходка[[#This Row],[№]],Поиск_расходки[Индекс13],0)),"")</f>
        <v>Dolphin</v>
      </c>
      <c r="AF17" s="4" t="s">
        <v>5</v>
      </c>
      <c r="AG17" s="4" t="s">
        <v>417</v>
      </c>
      <c r="AI17" t="s">
        <v>206</v>
      </c>
    </row>
    <row r="18" spans="1:35">
      <c r="A18">
        <v>17</v>
      </c>
      <c r="B18" t="s">
        <v>306</v>
      </c>
      <c r="C18" t="s">
        <v>377</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17</v>
      </c>
      <c r="L18" s="116">
        <f>IF(ISNUMBER(SEARCH('Карта учёта'!$B$20,Расходка[[#This Row],[Наименование расходного материала]])),MAX($L$1:L17)+1,0)</f>
        <v>17</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Lepu Medical</v>
      </c>
      <c r="Y18" s="115" t="str">
        <f>IFERROR(INDEX(Расходка[Наименование расходного материала],MATCH(Расходка[[#This Row],[№]],Поиск_расходки[Индекс8],0)),"")</f>
        <v>Lepu Medical</v>
      </c>
      <c r="Z18" s="115" t="str">
        <f>IFERROR(INDEX(Расходка[Наименование расходного материала],MATCH(Расходка[[#This Row],[№]],Поиск_расходки[Индекс9],0)),"")</f>
        <v>Lepu Medical</v>
      </c>
      <c r="AA18" s="115" t="str">
        <f>IFERROR(INDEX(Расходка[Наименование расходного материала],MATCH(Расходка[[#This Row],[№]],Поиск_расходки[Индекс10],0)),"")</f>
        <v>Lepu Medical</v>
      </c>
      <c r="AB18" s="115" t="str">
        <f>IFERROR(INDEX(Расходка[Наименование расходного материала],MATCH(Расходка[[#This Row],[№]],Поиск_расходки[Индекс11],0)),"")</f>
        <v>Lepu Medical</v>
      </c>
      <c r="AC18" s="115" t="str">
        <f>IFERROR(INDEX(Расходка[Наименование расходного материала],MATCH(Расходка[[#This Row],[№]],Поиск_расходки[Индекс12],0)),"")</f>
        <v>Lepu Medical</v>
      </c>
      <c r="AD18" s="115" t="str">
        <f>IFERROR(INDEX(Расходка[Наименование расходного материала],MATCH(Расходка[[#This Row],[№]],Поиск_расходки[Индекс13],0)),"")</f>
        <v>Lepu Medical</v>
      </c>
      <c r="AF18" s="4" t="s">
        <v>5</v>
      </c>
      <c r="AG18" s="4" t="s">
        <v>418</v>
      </c>
      <c r="AI18" t="s">
        <v>95</v>
      </c>
    </row>
    <row r="19" spans="1:35">
      <c r="A19">
        <v>18</v>
      </c>
      <c r="B19" t="s">
        <v>306</v>
      </c>
      <c r="C19" t="s">
        <v>369</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18</v>
      </c>
      <c r="L19" s="116">
        <f>IF(ISNUMBER(SEARCH('Карта учёта'!$B$20,Расходка[[#This Row],[Наименование расходного материала]])),MAX($L$1:L18)+1,0)</f>
        <v>18</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Perouse Medical FLAMINGO</v>
      </c>
      <c r="Y19" s="115" t="str">
        <f>IFERROR(INDEX(Расходка[Наименование расходного материала],MATCH(Расходка[[#This Row],[№]],Поиск_расходки[Индекс8],0)),"")</f>
        <v>Perouse Medical FLAMINGO</v>
      </c>
      <c r="Z19" s="115" t="str">
        <f>IFERROR(INDEX(Расходка[Наименование расходного материала],MATCH(Расходка[[#This Row],[№]],Поиск_расходки[Индекс9],0)),"")</f>
        <v>Perouse Medical FLAMINGO</v>
      </c>
      <c r="AA19" s="115" t="str">
        <f>IFERROR(INDEX(Расходка[Наименование расходного материала],MATCH(Расходка[[#This Row],[№]],Поиск_расходки[Индекс10],0)),"")</f>
        <v>Perouse Medical FLAMINGO</v>
      </c>
      <c r="AB19" s="115" t="str">
        <f>IFERROR(INDEX(Расходка[Наименование расходного материала],MATCH(Расходка[[#This Row],[№]],Поиск_расходки[Индекс11],0)),"")</f>
        <v>Perouse Medical FLAMINGO</v>
      </c>
      <c r="AC19" s="115" t="str">
        <f>IFERROR(INDEX(Расходка[Наименование расходного материала],MATCH(Расходка[[#This Row],[№]],Поиск_расходки[Индекс12],0)),"")</f>
        <v>Perouse Medical FLAMINGO</v>
      </c>
      <c r="AD19" s="115" t="str">
        <f>IFERROR(INDEX(Расходка[Наименование расходного материала],MATCH(Расходка[[#This Row],[№]],Поиск_расходки[Индекс13],0)),"")</f>
        <v>Perouse Medical FLAMINGO</v>
      </c>
      <c r="AF19" s="4" t="s">
        <v>5</v>
      </c>
      <c r="AG19" s="4" t="s">
        <v>419</v>
      </c>
      <c r="AI19" t="s">
        <v>301</v>
      </c>
    </row>
    <row r="20" spans="1:35">
      <c r="A20">
        <v>19</v>
      </c>
      <c r="B20" t="s">
        <v>306</v>
      </c>
      <c r="C20" t="s">
        <v>506</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19</v>
      </c>
      <c r="L20" s="116">
        <f>IF(ISNUMBER(SEARCH('Карта учёта'!$B$20,Расходка[[#This Row],[Наименование расходного материала]])),MAX($L$1:L19)+1,0)</f>
        <v>19</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Demax</v>
      </c>
      <c r="Y20" s="115" t="str">
        <f>IFERROR(INDEX(Расходка[Наименование расходного материала],MATCH(Расходка[[#This Row],[№]],Поиск_расходки[Индекс8],0)),"")</f>
        <v>Demax</v>
      </c>
      <c r="Z20" s="115" t="str">
        <f>IFERROR(INDEX(Расходка[Наименование расходного материала],MATCH(Расходка[[#This Row],[№]],Поиск_расходки[Индекс9],0)),"")</f>
        <v>Demax</v>
      </c>
      <c r="AA20" s="115" t="str">
        <f>IFERROR(INDEX(Расходка[Наименование расходного материала],MATCH(Расходка[[#This Row],[№]],Поиск_расходки[Индекс10],0)),"")</f>
        <v>Demax</v>
      </c>
      <c r="AB20" s="115" t="str">
        <f>IFERROR(INDEX(Расходка[Наименование расходного материала],MATCH(Расходка[[#This Row],[№]],Поиск_расходки[Индекс11],0)),"")</f>
        <v>Demax</v>
      </c>
      <c r="AC20" s="115" t="str">
        <f>IFERROR(INDEX(Расходка[Наименование расходного материала],MATCH(Расходка[[#This Row],[№]],Поиск_расходки[Индекс12],0)),"")</f>
        <v>Demax</v>
      </c>
      <c r="AD20" s="115" t="str">
        <f>IFERROR(INDEX(Расходка[Наименование расходного материала],MATCH(Расходка[[#This Row],[№]],Поиск_расходки[Индекс13],0)),"")</f>
        <v>Demax</v>
      </c>
      <c r="AF20" s="4" t="s">
        <v>5</v>
      </c>
      <c r="AG20" s="4" t="s">
        <v>420</v>
      </c>
      <c r="AI20" t="s">
        <v>308</v>
      </c>
    </row>
    <row r="21" spans="1:35">
      <c r="A21">
        <v>20</v>
      </c>
      <c r="B21" t="s">
        <v>206</v>
      </c>
      <c r="C21" s="1" t="s">
        <v>339</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20</v>
      </c>
      <c r="L21" s="116">
        <f>IF(ISNUMBER(SEARCH('Карта учёта'!$B$20,Расходка[[#This Row],[Наименование расходного материала]])),MAX($L$1:L20)+1,0)</f>
        <v>20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Oscor 7F</v>
      </c>
      <c r="Y21" s="115" t="str">
        <f>IFERROR(INDEX(Расходка[Наименование расходного материала],MATCH(Расходка[[#This Row],[№]],Поиск_расходки[Индекс8],0)),"")</f>
        <v>Oscor 7F</v>
      </c>
      <c r="Z21" s="115" t="str">
        <f>IFERROR(INDEX(Расходка[Наименование расходного материала],MATCH(Расходка[[#This Row],[№]],Поиск_расходки[Индекс9],0)),"")</f>
        <v>Oscor 7F</v>
      </c>
      <c r="AA21" s="115" t="str">
        <f>IFERROR(INDEX(Расходка[Наименование расходного материала],MATCH(Расходка[[#This Row],[№]],Поиск_расходки[Индекс10],0)),"")</f>
        <v>Oscor 7F</v>
      </c>
      <c r="AB21" s="115" t="str">
        <f>IFERROR(INDEX(Расходка[Наименование расходного материала],MATCH(Расходка[[#This Row],[№]],Поиск_расходки[Индекс11],0)),"")</f>
        <v>Oscor 7F</v>
      </c>
      <c r="AC21" s="115" t="str">
        <f>IFERROR(INDEX(Расходка[Наименование расходного материала],MATCH(Расходка[[#This Row],[№]],Поиск_расходки[Индекс12],0)),"")</f>
        <v>Oscor 7F</v>
      </c>
      <c r="AD21" s="115" t="str">
        <f>IFERROR(INDEX(Расходка[Наименование расходного материала],MATCH(Расходка[[#This Row],[№]],Поиск_расходки[Индекс13],0)),"")</f>
        <v>Oscor 7F</v>
      </c>
      <c r="AF21" s="4" t="s">
        <v>5</v>
      </c>
      <c r="AG21" s="4" t="s">
        <v>421</v>
      </c>
    </row>
    <row r="22" spans="1:35">
      <c r="A22">
        <v>21</v>
      </c>
      <c r="B22" t="s">
        <v>306</v>
      </c>
      <c r="C22" s="1" t="s">
        <v>509</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21</v>
      </c>
      <c r="L22" s="116">
        <f>IF(ISNUMBER(SEARCH('Карта учёта'!$B$20,Расходка[[#This Row],[Наименование расходного материала]])),MAX($L$1:L21)+1,0)</f>
        <v>21</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"МИМ". Тюмень</v>
      </c>
      <c r="Y22" s="115" t="str">
        <f>IFERROR(INDEX(Расходка[Наименование расходного материала],MATCH(Расходка[[#This Row],[№]],Поиск_расходки[Индекс8],0)),"")</f>
        <v>"МИМ". Тюмень</v>
      </c>
      <c r="Z22" s="115" t="str">
        <f>IFERROR(INDEX(Расходка[Наименование расходного материала],MATCH(Расходка[[#This Row],[№]],Поиск_расходки[Индекс9],0)),"")</f>
        <v>"МИМ". Тюмень</v>
      </c>
      <c r="AA22" s="115" t="str">
        <f>IFERROR(INDEX(Расходка[Наименование расходного материала],MATCH(Расходка[[#This Row],[№]],Поиск_расходки[Индекс10],0)),"")</f>
        <v>"МИМ". Тюмень</v>
      </c>
      <c r="AB22" s="115" t="str">
        <f>IFERROR(INDEX(Расходка[Наименование расходного материала],MATCH(Расходка[[#This Row],[№]],Поиск_расходки[Индекс11],0)),"")</f>
        <v>"МИМ". Тюмень</v>
      </c>
      <c r="AC22" s="115" t="str">
        <f>IFERROR(INDEX(Расходка[Наименование расходного материала],MATCH(Расходка[[#This Row],[№]],Поиск_расходки[Индекс12],0)),"")</f>
        <v>"МИМ". Тюмень</v>
      </c>
      <c r="AD22" s="115" t="str">
        <f>IFERROR(INDEX(Расходка[Наименование расходного материала],MATCH(Расходка[[#This Row],[№]],Поиск_расходки[Индекс13],0)),"")</f>
        <v>"МИМ". Тюмень</v>
      </c>
      <c r="AF22" s="4" t="s">
        <v>5</v>
      </c>
      <c r="AG22" s="4" t="s">
        <v>422</v>
      </c>
    </row>
    <row r="23" spans="1:35">
      <c r="A23">
        <v>22</v>
      </c>
      <c r="B23" t="s">
        <v>306</v>
      </c>
      <c r="C23" s="1" t="s">
        <v>511</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22</v>
      </c>
      <c r="L23" s="116">
        <f>IF(ISNUMBER(SEARCH('Карта учёта'!$B$20,Расходка[[#This Row],[Наименование расходного материала]])),MAX($L$1:L22)+1,0)</f>
        <v>22</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Поток CTЗ по ТУ</v>
      </c>
      <c r="Y23" s="115" t="str">
        <f>IFERROR(INDEX(Расходка[Наименование расходного материала],MATCH(Расходка[[#This Row],[№]],Поиск_расходки[Индекс8],0)),"")</f>
        <v>Поток CTЗ по ТУ</v>
      </c>
      <c r="Z23" s="115" t="str">
        <f>IFERROR(INDEX(Расходка[Наименование расходного материала],MATCH(Расходка[[#This Row],[№]],Поиск_расходки[Индекс9],0)),"")</f>
        <v>Поток CTЗ по ТУ</v>
      </c>
      <c r="AA23" s="115" t="str">
        <f>IFERROR(INDEX(Расходка[Наименование расходного материала],MATCH(Расходка[[#This Row],[№]],Поиск_расходки[Индекс10],0)),"")</f>
        <v>Поток CTЗ по ТУ</v>
      </c>
      <c r="AB23" s="115" t="str">
        <f>IFERROR(INDEX(Расходка[Наименование расходного материала],MATCH(Расходка[[#This Row],[№]],Поиск_расходки[Индекс11],0)),"")</f>
        <v>Поток CTЗ по ТУ</v>
      </c>
      <c r="AC23" s="115" t="str">
        <f>IFERROR(INDEX(Расходка[Наименование расходного материала],MATCH(Расходка[[#This Row],[№]],Поиск_расходки[Индекс12],0)),"")</f>
        <v>Поток CTЗ по ТУ</v>
      </c>
      <c r="AD23" s="115" t="str">
        <f>IFERROR(INDEX(Расходка[Наименование расходного материала],MATCH(Расходка[[#This Row],[№]],Поиск_расходки[Индекс13],0)),"")</f>
        <v>Поток CTЗ по ТУ</v>
      </c>
      <c r="AF23" s="4" t="s">
        <v>5</v>
      </c>
      <c r="AG23" s="4" t="s">
        <v>423</v>
      </c>
    </row>
    <row r="24" spans="1:35">
      <c r="A24">
        <v>23</v>
      </c>
      <c r="B24" t="s">
        <v>306</v>
      </c>
      <c r="C24" s="1" t="s">
        <v>306</v>
      </c>
      <c r="E24" s="116">
        <f>IF(ISNUMBER(SEARCH('Карта учёта'!$B$13,Расходка[[#This Row],[Наименование расходного материала]])),MAX($E$1:E23)+1,0)</f>
        <v>1</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23</v>
      </c>
      <c r="L24" s="116">
        <f>IF(ISNUMBER(SEARCH('Карта учёта'!$B$20,Расходка[[#This Row],[Наименование расходного материала]])),MAX($L$1:L23)+1,0)</f>
        <v>23</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Индефлятор</v>
      </c>
      <c r="Y24" s="115" t="str">
        <f>IFERROR(INDEX(Расходка[Наименование расходного материала],MATCH(Расходка[[#This Row],[№]],Поиск_расходки[Индекс8],0)),"")</f>
        <v>Индефлятор</v>
      </c>
      <c r="Z24" s="115" t="str">
        <f>IFERROR(INDEX(Расходка[Наименование расходного материала],MATCH(Расходка[[#This Row],[№]],Поиск_расходки[Индекс9],0)),"")</f>
        <v>Индефлятор</v>
      </c>
      <c r="AA24" s="115" t="str">
        <f>IFERROR(INDEX(Расходка[Наименование расходного материала],MATCH(Расходка[[#This Row],[№]],Поиск_расходки[Индекс10],0)),"")</f>
        <v>Индефлятор</v>
      </c>
      <c r="AB24" s="115" t="str">
        <f>IFERROR(INDEX(Расходка[Наименование расходного материала],MATCH(Расходка[[#This Row],[№]],Поиск_расходки[Индекс11],0)),"")</f>
        <v>Индефлятор</v>
      </c>
      <c r="AC24" s="115" t="str">
        <f>IFERROR(INDEX(Расходка[Наименование расходного материала],MATCH(Расходка[[#This Row],[№]],Поиск_расходки[Индекс12],0)),"")</f>
        <v>Индефлятор</v>
      </c>
      <c r="AD24" s="115" t="str">
        <f>IFERROR(INDEX(Расходка[Наименование расходного материала],MATCH(Расходка[[#This Row],[№]],Поиск_расходки[Индекс13],0)),"")</f>
        <v>Индефлятор</v>
      </c>
      <c r="AF24" s="4" t="s">
        <v>5</v>
      </c>
      <c r="AG24" s="4" t="s">
        <v>424</v>
      </c>
    </row>
    <row r="25" spans="1:35">
      <c r="A25">
        <v>24</v>
      </c>
      <c r="B25" t="s">
        <v>3</v>
      </c>
      <c r="C25" t="s">
        <v>322</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24</v>
      </c>
      <c r="L25" s="116">
        <f>IF(ISNUMBER(SEARCH('Карта учёта'!$B$20,Расходка[[#This Row],[Наименование расходного материала]])),MAX($L$1:L24)+1,0)</f>
        <v>24</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Cougar LS Hydro-Track®</v>
      </c>
      <c r="Y25" s="115" t="str">
        <f>IFERROR(INDEX(Расходка[Наименование расходного материала],MATCH(Расходка[[#This Row],[№]],Поиск_расходки[Индекс8],0)),"")</f>
        <v>Cougar LS Hydro-Track®</v>
      </c>
      <c r="Z25" s="115" t="str">
        <f>IFERROR(INDEX(Расходка[Наименование расходного материала],MATCH(Расходка[[#This Row],[№]],Поиск_расходки[Индекс9],0)),"")</f>
        <v>Cougar LS Hydro-Track®</v>
      </c>
      <c r="AA25" s="115" t="str">
        <f>IFERROR(INDEX(Расходка[Наименование расходного материала],MATCH(Расходка[[#This Row],[№]],Поиск_расходки[Индекс10],0)),"")</f>
        <v>Cougar LS Hydro-Track®</v>
      </c>
      <c r="AB25" s="115" t="str">
        <f>IFERROR(INDEX(Расходка[Наименование расходного материала],MATCH(Расходка[[#This Row],[№]],Поиск_расходки[Индекс11],0)),"")</f>
        <v>Cougar LS Hydro-Track®</v>
      </c>
      <c r="AC25" s="115" t="str">
        <f>IFERROR(INDEX(Расходка[Наименование расходного материала],MATCH(Расходка[[#This Row],[№]],Поиск_расходки[Индекс12],0)),"")</f>
        <v>Cougar LS Hydro-Track®</v>
      </c>
      <c r="AD25" s="115" t="str">
        <f>IFERROR(INDEX(Расходка[Наименование расходного материала],MATCH(Расходка[[#This Row],[№]],Поиск_расходки[Индекс13],0)),"")</f>
        <v>Cougar LS Hydro-Track®</v>
      </c>
      <c r="AF25" s="4" t="s">
        <v>5</v>
      </c>
      <c r="AG25" s="4" t="s">
        <v>425</v>
      </c>
    </row>
    <row r="26" spans="1:35">
      <c r="A26">
        <v>25</v>
      </c>
      <c r="B26" t="s">
        <v>3</v>
      </c>
      <c r="C26" t="s">
        <v>343</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25</v>
      </c>
      <c r="L26" s="116">
        <f>IF(ISNUMBER(SEARCH('Карта учёта'!$B$20,Расходка[[#This Row],[Наименование расходного материала]])),MAX($L$1:L25)+1,0)</f>
        <v>25</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Cougar XT Hydro-Track®</v>
      </c>
      <c r="Y26" s="115" t="str">
        <f>IFERROR(INDEX(Расходка[Наименование расходного материала],MATCH(Расходка[[#This Row],[№]],Поиск_расходки[Индекс8],0)),"")</f>
        <v>Cougar XT Hydro-Track®</v>
      </c>
      <c r="Z26" s="115" t="str">
        <f>IFERROR(INDEX(Расходка[Наименование расходного материала],MATCH(Расходка[[#This Row],[№]],Поиск_расходки[Индекс9],0)),"")</f>
        <v>Cougar XT Hydro-Track®</v>
      </c>
      <c r="AA26" s="115" t="str">
        <f>IFERROR(INDEX(Расходка[Наименование расходного материала],MATCH(Расходка[[#This Row],[№]],Поиск_расходки[Индекс10],0)),"")</f>
        <v>Cougar XT Hydro-Track®</v>
      </c>
      <c r="AB26" s="115" t="str">
        <f>IFERROR(INDEX(Расходка[Наименование расходного материала],MATCH(Расходка[[#This Row],[№]],Поиск_расходки[Индекс11],0)),"")</f>
        <v>Cougar XT Hydro-Track®</v>
      </c>
      <c r="AC26" s="115" t="str">
        <f>IFERROR(INDEX(Расходка[Наименование расходного материала],MATCH(Расходка[[#This Row],[№]],Поиск_расходки[Индекс12],0)),"")</f>
        <v>Cougar XT Hydro-Track®</v>
      </c>
      <c r="AD26" s="115" t="str">
        <f>IFERROR(INDEX(Расходка[Наименование расходного материала],MATCH(Расходка[[#This Row],[№]],Поиск_расходки[Индекс13],0)),"")</f>
        <v>Cougar XT Hydro-Track®</v>
      </c>
      <c r="AF26" s="4" t="s">
        <v>5</v>
      </c>
      <c r="AG26" s="4" t="s">
        <v>426</v>
      </c>
    </row>
    <row r="27" spans="1:35">
      <c r="A27">
        <v>26</v>
      </c>
      <c r="B27" t="s">
        <v>3</v>
      </c>
      <c r="C27" t="s">
        <v>315</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26</v>
      </c>
      <c r="L27" s="116">
        <f>IF(ISNUMBER(SEARCH('Карта учёта'!$B$20,Расходка[[#This Row],[Наименование расходного материала]])),MAX($L$1:L26)+1,0)</f>
        <v>26</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Fielder</v>
      </c>
      <c r="Y27" s="115" t="str">
        <f>IFERROR(INDEX(Расходка[Наименование расходного материала],MATCH(Расходка[[#This Row],[№]],Поиск_расходки[Индекс8],0)),"")</f>
        <v>Fielder</v>
      </c>
      <c r="Z27" s="115" t="str">
        <f>IFERROR(INDEX(Расходка[Наименование расходного материала],MATCH(Расходка[[#This Row],[№]],Поиск_расходки[Индекс9],0)),"")</f>
        <v>Fielder</v>
      </c>
      <c r="AA27" s="115" t="str">
        <f>IFERROR(INDEX(Расходка[Наименование расходного материала],MATCH(Расходка[[#This Row],[№]],Поиск_расходки[Индекс10],0)),"")</f>
        <v>Fielder</v>
      </c>
      <c r="AB27" s="115" t="str">
        <f>IFERROR(INDEX(Расходка[Наименование расходного материала],MATCH(Расходка[[#This Row],[№]],Поиск_расходки[Индекс11],0)),"")</f>
        <v>Fielder</v>
      </c>
      <c r="AC27" s="115" t="str">
        <f>IFERROR(INDEX(Расходка[Наименование расходного материала],MATCH(Расходка[[#This Row],[№]],Поиск_расходки[Индекс12],0)),"")</f>
        <v>Fielder</v>
      </c>
      <c r="AD27" s="115" t="str">
        <f>IFERROR(INDEX(Расходка[Наименование расходного материала],MATCH(Расходка[[#This Row],[№]],Поиск_расходки[Индекс13],0)),"")</f>
        <v>Fielder</v>
      </c>
      <c r="AF27" s="4" t="s">
        <v>5</v>
      </c>
      <c r="AG27" s="4" t="s">
        <v>427</v>
      </c>
    </row>
    <row r="28" spans="1:35">
      <c r="A28">
        <v>27</v>
      </c>
      <c r="B28" t="s">
        <v>3</v>
      </c>
      <c r="C28" t="s">
        <v>374</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27</v>
      </c>
      <c r="L28" s="116">
        <f>IF(ISNUMBER(SEARCH('Карта учёта'!$B$20,Расходка[[#This Row],[Наименование расходного материала]])),MAX($L$1:L27)+1,0)</f>
        <v>27</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Fielder XT-A</v>
      </c>
      <c r="Y28" s="115" t="str">
        <f>IFERROR(INDEX(Расходка[Наименование расходного материала],MATCH(Расходка[[#This Row],[№]],Поиск_расходки[Индекс8],0)),"")</f>
        <v>Fielder XT-A</v>
      </c>
      <c r="Z28" s="115" t="str">
        <f>IFERROR(INDEX(Расходка[Наименование расходного материала],MATCH(Расходка[[#This Row],[№]],Поиск_расходки[Индекс9],0)),"")</f>
        <v>Fielder XT-A</v>
      </c>
      <c r="AA28" s="115" t="str">
        <f>IFERROR(INDEX(Расходка[Наименование расходного материала],MATCH(Расходка[[#This Row],[№]],Поиск_расходки[Индекс10],0)),"")</f>
        <v>Fielder XT-A</v>
      </c>
      <c r="AB28" s="115" t="str">
        <f>IFERROR(INDEX(Расходка[Наименование расходного материала],MATCH(Расходка[[#This Row],[№]],Поиск_расходки[Индекс11],0)),"")</f>
        <v>Fielder XT-A</v>
      </c>
      <c r="AC28" s="115" t="str">
        <f>IFERROR(INDEX(Расходка[Наименование расходного материала],MATCH(Расходка[[#This Row],[№]],Поиск_расходки[Индекс12],0)),"")</f>
        <v>Fielder XT-A</v>
      </c>
      <c r="AD28" s="115" t="str">
        <f>IFERROR(INDEX(Расходка[Наименование расходного материала],MATCH(Расходка[[#This Row],[№]],Поиск_расходки[Индекс13],0)),"")</f>
        <v>Fielder XT-A</v>
      </c>
      <c r="AF28" s="4" t="s">
        <v>5</v>
      </c>
      <c r="AG28" s="4" t="s">
        <v>428</v>
      </c>
    </row>
    <row r="29" spans="1:35">
      <c r="A29">
        <v>28</v>
      </c>
      <c r="B29" t="s">
        <v>3</v>
      </c>
      <c r="C29" t="s">
        <v>375</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28</v>
      </c>
      <c r="L29" s="116">
        <f>IF(ISNUMBER(SEARCH('Карта учёта'!$B$20,Расходка[[#This Row],[Наименование расходного материала]])),MAX($L$1:L28)+1,0)</f>
        <v>28</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Fielder XT-R</v>
      </c>
      <c r="Y29" s="115" t="str">
        <f>IFERROR(INDEX(Расходка[Наименование расходного материала],MATCH(Расходка[[#This Row],[№]],Поиск_расходки[Индекс8],0)),"")</f>
        <v>Fielder XT-R</v>
      </c>
      <c r="Z29" s="115" t="str">
        <f>IFERROR(INDEX(Расходка[Наименование расходного материала],MATCH(Расходка[[#This Row],[№]],Поиск_расходки[Индекс9],0)),"")</f>
        <v>Fielder XT-R</v>
      </c>
      <c r="AA29" s="115" t="str">
        <f>IFERROR(INDEX(Расходка[Наименование расходного материала],MATCH(Расходка[[#This Row],[№]],Поиск_расходки[Индекс10],0)),"")</f>
        <v>Fielder XT-R</v>
      </c>
      <c r="AB29" s="115" t="str">
        <f>IFERROR(INDEX(Расходка[Наименование расходного материала],MATCH(Расходка[[#This Row],[№]],Поиск_расходки[Индекс11],0)),"")</f>
        <v>Fielder XT-R</v>
      </c>
      <c r="AC29" s="115" t="str">
        <f>IFERROR(INDEX(Расходка[Наименование расходного материала],MATCH(Расходка[[#This Row],[№]],Поиск_расходки[Индекс12],0)),"")</f>
        <v>Fielder XT-R</v>
      </c>
      <c r="AD29" s="115" t="str">
        <f>IFERROR(INDEX(Расходка[Наименование расходного материала],MATCH(Расходка[[#This Row],[№]],Поиск_расходки[Индекс13],0)),"")</f>
        <v>Fielder XT-R</v>
      </c>
      <c r="AF29" s="4" t="s">
        <v>5</v>
      </c>
      <c r="AG29" s="4" t="s">
        <v>429</v>
      </c>
    </row>
    <row r="30" spans="1:35">
      <c r="A30">
        <v>29</v>
      </c>
      <c r="B30" t="s">
        <v>3</v>
      </c>
      <c r="C30" t="s">
        <v>513</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29</v>
      </c>
      <c r="L30" s="116">
        <f>IF(ISNUMBER(SEARCH('Карта учёта'!$B$20,Расходка[[#This Row],[Наименование расходного материала]])),MAX($L$1:L29)+1,0)</f>
        <v>29</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Asahi Gaia First</v>
      </c>
      <c r="Y30" s="115" t="str">
        <f>IFERROR(INDEX(Расходка[Наименование расходного материала],MATCH(Расходка[[#This Row],[№]],Поиск_расходки[Индекс8],0)),"")</f>
        <v>Asahi Gaia First</v>
      </c>
      <c r="Z30" s="115" t="str">
        <f>IFERROR(INDEX(Расходка[Наименование расходного материала],MATCH(Расходка[[#This Row],[№]],Поиск_расходки[Индекс9],0)),"")</f>
        <v>Asahi Gaia First</v>
      </c>
      <c r="AA30" s="115" t="str">
        <f>IFERROR(INDEX(Расходка[Наименование расходного материала],MATCH(Расходка[[#This Row],[№]],Поиск_расходки[Индекс10],0)),"")</f>
        <v>Asahi Gaia First</v>
      </c>
      <c r="AB30" s="115" t="str">
        <f>IFERROR(INDEX(Расходка[Наименование расходного материала],MATCH(Расходка[[#This Row],[№]],Поиск_расходки[Индекс11],0)),"")</f>
        <v>Asahi Gaia First</v>
      </c>
      <c r="AC30" s="115" t="str">
        <f>IFERROR(INDEX(Расходка[Наименование расходного материала],MATCH(Расходка[[#This Row],[№]],Поиск_расходки[Индекс12],0)),"")</f>
        <v>Asahi Gaia First</v>
      </c>
      <c r="AD30" s="115" t="str">
        <f>IFERROR(INDEX(Расходка[Наименование расходного материала],MATCH(Расходка[[#This Row],[№]],Поиск_расходки[Индекс13],0)),"")</f>
        <v>Asahi Gaia First</v>
      </c>
      <c r="AF30" s="4" t="s">
        <v>5</v>
      </c>
      <c r="AG30" s="4" t="s">
        <v>491</v>
      </c>
    </row>
    <row r="31" spans="1:35">
      <c r="A31">
        <v>30</v>
      </c>
      <c r="B31" t="s">
        <v>3</v>
      </c>
      <c r="C31" s="1" t="s">
        <v>514</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30</v>
      </c>
      <c r="L31" s="116">
        <f>IF(ISNUMBER(SEARCH('Карта учёта'!$B$20,Расходка[[#This Row],[Наименование расходного материала]])),MAX($L$1:L30)+1,0)</f>
        <v>30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Asahi Gaia Second</v>
      </c>
      <c r="Y31" s="115" t="str">
        <f>IFERROR(INDEX(Расходка[Наименование расходного материала],MATCH(Расходка[[#This Row],[№]],Поиск_расходки[Индекс8],0)),"")</f>
        <v>Asahi Gaia Second</v>
      </c>
      <c r="Z31" s="115" t="str">
        <f>IFERROR(INDEX(Расходка[Наименование расходного материала],MATCH(Расходка[[#This Row],[№]],Поиск_расходки[Индекс9],0)),"")</f>
        <v>Asahi Gaia Second</v>
      </c>
      <c r="AA31" s="115" t="str">
        <f>IFERROR(INDEX(Расходка[Наименование расходного материала],MATCH(Расходка[[#This Row],[№]],Поиск_расходки[Индекс10],0)),"")</f>
        <v>Asahi Gaia Second</v>
      </c>
      <c r="AB31" s="115" t="str">
        <f>IFERROR(INDEX(Расходка[Наименование расходного материала],MATCH(Расходка[[#This Row],[№]],Поиск_расходки[Индекс11],0)),"")</f>
        <v>Asahi Gaia Second</v>
      </c>
      <c r="AC31" s="115" t="str">
        <f>IFERROR(INDEX(Расходка[Наименование расходного материала],MATCH(Расходка[[#This Row],[№]],Поиск_расходки[Индекс12],0)),"")</f>
        <v>Asahi Gaia Second</v>
      </c>
      <c r="AD31" s="115" t="str">
        <f>IFERROR(INDEX(Расходка[Наименование расходного материала],MATCH(Расходка[[#This Row],[№]],Поиск_расходки[Индекс13],0)),"")</f>
        <v>Asahi Gaia Second</v>
      </c>
      <c r="AF31" s="4" t="s">
        <v>5</v>
      </c>
      <c r="AG31" s="4" t="s">
        <v>430</v>
      </c>
    </row>
    <row r="32" spans="1:35">
      <c r="A32">
        <v>31</v>
      </c>
      <c r="B32" t="s">
        <v>3</v>
      </c>
      <c r="C32" s="1" t="s">
        <v>515</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31</v>
      </c>
      <c r="L32" s="116">
        <f>IF(ISNUMBER(SEARCH('Карта учёта'!$B$20,Расходка[[#This Row],[Наименование расходного материала]])),MAX($L$1:L31)+1,0)</f>
        <v>31</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Asahi Gaia Third</v>
      </c>
      <c r="Y32" s="115" t="str">
        <f>IFERROR(INDEX(Расходка[Наименование расходного материала],MATCH(Расходка[[#This Row],[№]],Поиск_расходки[Индекс8],0)),"")</f>
        <v>Asahi Gaia Third</v>
      </c>
      <c r="Z32" s="115" t="str">
        <f>IFERROR(INDEX(Расходка[Наименование расходного материала],MATCH(Расходка[[#This Row],[№]],Поиск_расходки[Индекс9],0)),"")</f>
        <v>Asahi Gaia Third</v>
      </c>
      <c r="AA32" s="115" t="str">
        <f>IFERROR(INDEX(Расходка[Наименование расходного материала],MATCH(Расходка[[#This Row],[№]],Поиск_расходки[Индекс10],0)),"")</f>
        <v>Asahi Gaia Third</v>
      </c>
      <c r="AB32" s="115" t="str">
        <f>IFERROR(INDEX(Расходка[Наименование расходного материала],MATCH(Расходка[[#This Row],[№]],Поиск_расходки[Индекс11],0)),"")</f>
        <v>Asahi Gaia Third</v>
      </c>
      <c r="AC32" s="115" t="str">
        <f>IFERROR(INDEX(Расходка[Наименование расходного материала],MATCH(Расходка[[#This Row],[№]],Поиск_расходки[Индекс12],0)),"")</f>
        <v>Asahi Gaia Third</v>
      </c>
      <c r="AD32" s="115" t="str">
        <f>IFERROR(INDEX(Расходка[Наименование расходного материала],MATCH(Расходка[[#This Row],[№]],Поиск_расходки[Индекс13],0)),"")</f>
        <v>Asahi Gaia Third</v>
      </c>
      <c r="AF32" s="4" t="s">
        <v>5</v>
      </c>
      <c r="AG32" s="4" t="s">
        <v>431</v>
      </c>
    </row>
    <row r="33" spans="1:33">
      <c r="A33">
        <v>32</v>
      </c>
      <c r="B33" t="s">
        <v>3</v>
      </c>
      <c r="C33" s="1" t="s">
        <v>323</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32</v>
      </c>
      <c r="L33" s="116">
        <f>IF(ISNUMBER(SEARCH('Карта учёта'!$B$20,Расходка[[#This Row],[Наименование расходного материала]])),MAX($L$1:L32)+1,0)</f>
        <v>32</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Intuition</v>
      </c>
      <c r="Y33" s="115" t="str">
        <f>IFERROR(INDEX(Расходка[Наименование расходного материала],MATCH(Расходка[[#This Row],[№]],Поиск_расходки[Индекс8],0)),"")</f>
        <v>Intuition</v>
      </c>
      <c r="Z33" s="115" t="str">
        <f>IFERROR(INDEX(Расходка[Наименование расходного материала],MATCH(Расходка[[#This Row],[№]],Поиск_расходки[Индекс9],0)),"")</f>
        <v>Intuition</v>
      </c>
      <c r="AA33" s="115" t="str">
        <f>IFERROR(INDEX(Расходка[Наименование расходного материала],MATCH(Расходка[[#This Row],[№]],Поиск_расходки[Индекс10],0)),"")</f>
        <v>Intuition</v>
      </c>
      <c r="AB33" s="115" t="str">
        <f>IFERROR(INDEX(Расходка[Наименование расходного материала],MATCH(Расходка[[#This Row],[№]],Поиск_расходки[Индекс11],0)),"")</f>
        <v>Intuition</v>
      </c>
      <c r="AC33" s="115" t="str">
        <f>IFERROR(INDEX(Расходка[Наименование расходного материала],MATCH(Расходка[[#This Row],[№]],Поиск_расходки[Индекс12],0)),"")</f>
        <v>Intuition</v>
      </c>
      <c r="AD33" s="115" t="str">
        <f>IFERROR(INDEX(Расходка[Наименование расходного материала],MATCH(Расходка[[#This Row],[№]],Поиск_расходки[Индекс13],0)),"")</f>
        <v>Intuition</v>
      </c>
      <c r="AF33" s="4" t="s">
        <v>5</v>
      </c>
      <c r="AG33" s="4" t="s">
        <v>432</v>
      </c>
    </row>
    <row r="34" spans="1:33">
      <c r="A34">
        <v>33</v>
      </c>
      <c r="B34" t="s">
        <v>3</v>
      </c>
      <c r="C34" t="s">
        <v>319</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33</v>
      </c>
      <c r="L34" s="116">
        <f>IF(ISNUMBER(SEARCH('Карта учёта'!$B$20,Расходка[[#This Row],[Наименование расходного материала]])),MAX($L$1:L33)+1,0)</f>
        <v>33</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ProVia 3 Hydro-Track®</v>
      </c>
      <c r="Y34" s="115" t="str">
        <f>IFERROR(INDEX(Расходка[Наименование расходного материала],MATCH(Расходка[[#This Row],[№]],Поиск_расходки[Индекс8],0)),"")</f>
        <v>ProVia 3 Hydro-Track®</v>
      </c>
      <c r="Z34" s="115" t="str">
        <f>IFERROR(INDEX(Расходка[Наименование расходного материала],MATCH(Расходка[[#This Row],[№]],Поиск_расходки[Индекс9],0)),"")</f>
        <v>ProVia 3 Hydro-Track®</v>
      </c>
      <c r="AA34" s="115" t="str">
        <f>IFERROR(INDEX(Расходка[Наименование расходного материала],MATCH(Расходка[[#This Row],[№]],Поиск_расходки[Индекс10],0)),"")</f>
        <v>ProVia 3 Hydro-Track®</v>
      </c>
      <c r="AB34" s="115" t="str">
        <f>IFERROR(INDEX(Расходка[Наименование расходного материала],MATCH(Расходка[[#This Row],[№]],Поиск_расходки[Индекс11],0)),"")</f>
        <v>ProVia 3 Hydro-Track®</v>
      </c>
      <c r="AC34" s="115" t="str">
        <f>IFERROR(INDEX(Расходка[Наименование расходного материала],MATCH(Расходка[[#This Row],[№]],Поиск_расходки[Индекс12],0)),"")</f>
        <v>ProVia 3 Hydro-Track®</v>
      </c>
      <c r="AD34" s="115" t="str">
        <f>IFERROR(INDEX(Расходка[Наименование расходного материала],MATCH(Расходка[[#This Row],[№]],Поиск_расходки[Индекс13],0)),"")</f>
        <v>ProVia 3 Hydro-Track®</v>
      </c>
      <c r="AF34" s="4" t="s">
        <v>5</v>
      </c>
      <c r="AG34" s="4" t="s">
        <v>433</v>
      </c>
    </row>
    <row r="35" spans="1:33">
      <c r="A35">
        <v>34</v>
      </c>
      <c r="B35" t="s">
        <v>3</v>
      </c>
      <c r="C35" t="s">
        <v>320</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34</v>
      </c>
      <c r="L35" s="116">
        <f>IF(ISNUMBER(SEARCH('Карта учёта'!$B$20,Расходка[[#This Row],[Наименование расходного материала]])),MAX($L$1:L34)+1,0)</f>
        <v>34</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ProVia 6 Hydro-Track®</v>
      </c>
      <c r="Y35" s="115" t="str">
        <f>IFERROR(INDEX(Расходка[Наименование расходного материала],MATCH(Расходка[[#This Row],[№]],Поиск_расходки[Индекс8],0)),"")</f>
        <v>ProVia 6 Hydro-Track®</v>
      </c>
      <c r="Z35" s="115" t="str">
        <f>IFERROR(INDEX(Расходка[Наименование расходного материала],MATCH(Расходка[[#This Row],[№]],Поиск_расходки[Индекс9],0)),"")</f>
        <v>ProVia 6 Hydro-Track®</v>
      </c>
      <c r="AA35" s="115" t="str">
        <f>IFERROR(INDEX(Расходка[Наименование расходного материала],MATCH(Расходка[[#This Row],[№]],Поиск_расходки[Индекс10],0)),"")</f>
        <v>ProVia 6 Hydro-Track®</v>
      </c>
      <c r="AB35" s="115" t="str">
        <f>IFERROR(INDEX(Расходка[Наименование расходного материала],MATCH(Расходка[[#This Row],[№]],Поиск_расходки[Индекс11],0)),"")</f>
        <v>ProVia 6 Hydro-Track®</v>
      </c>
      <c r="AC35" s="115" t="str">
        <f>IFERROR(INDEX(Расходка[Наименование расходного материала],MATCH(Расходка[[#This Row],[№]],Поиск_расходки[Индекс12],0)),"")</f>
        <v>ProVia 6 Hydro-Track®</v>
      </c>
      <c r="AD35" s="115" t="str">
        <f>IFERROR(INDEX(Расходка[Наименование расходного материала],MATCH(Расходка[[#This Row],[№]],Поиск_расходки[Индекс13],0)),"")</f>
        <v>ProVia 6 Hydro-Track®</v>
      </c>
      <c r="AF35" s="4" t="s">
        <v>5</v>
      </c>
      <c r="AG35" s="4" t="s">
        <v>492</v>
      </c>
    </row>
    <row r="36" spans="1:33">
      <c r="A36">
        <v>35</v>
      </c>
      <c r="B36" t="s">
        <v>3</v>
      </c>
      <c r="C36" t="s">
        <v>321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35</v>
      </c>
      <c r="L36" s="116">
        <f>IF(ISNUMBER(SEARCH('Карта учёта'!$B$20,Расходка[[#This Row],[Наименование расходного материала]])),MAX($L$1:L35)+1,0)</f>
        <v>35</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ProVia 9 Hydro-Track®</v>
      </c>
      <c r="Y36" s="115" t="str">
        <f>IFERROR(INDEX(Расходка[Наименование расходного материала],MATCH(Расходка[[#This Row],[№]],Поиск_расходки[Индекс8],0)),"")</f>
        <v>ProVia 9 Hydro-Track®</v>
      </c>
      <c r="Z36" s="115" t="str">
        <f>IFERROR(INDEX(Расходка[Наименование расходного материала],MATCH(Расходка[[#This Row],[№]],Поиск_расходки[Индекс9],0)),"")</f>
        <v>ProVia 9 Hydro-Track®</v>
      </c>
      <c r="AA36" s="115" t="str">
        <f>IFERROR(INDEX(Расходка[Наименование расходного материала],MATCH(Расходка[[#This Row],[№]],Поиск_расходки[Индекс10],0)),"")</f>
        <v>ProVia 9 Hydro-Track®</v>
      </c>
      <c r="AB36" s="115" t="str">
        <f>IFERROR(INDEX(Расходка[Наименование расходного материала],MATCH(Расходка[[#This Row],[№]],Поиск_расходки[Индекс11],0)),"")</f>
        <v>ProVia 9 Hydro-Track®</v>
      </c>
      <c r="AC36" s="115" t="str">
        <f>IFERROR(INDEX(Расходка[Наименование расходного материала],MATCH(Расходка[[#This Row],[№]],Поиск_расходки[Индекс12],0)),"")</f>
        <v>ProVia 9 Hydro-Track®</v>
      </c>
      <c r="AD36" s="115" t="str">
        <f>IFERROR(INDEX(Расходка[Наименование расходного материала],MATCH(Расходка[[#This Row],[№]],Поиск_расходки[Индекс13],0)),"")</f>
        <v>ProVia 9 Hydro-Track®</v>
      </c>
      <c r="AF36" s="4" t="s">
        <v>5</v>
      </c>
      <c r="AG36" s="4" t="s">
        <v>434</v>
      </c>
    </row>
    <row r="37" spans="1:33">
      <c r="A37">
        <v>36</v>
      </c>
      <c r="B37" t="s">
        <v>3</v>
      </c>
      <c r="C37" t="s">
        <v>317</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36</v>
      </c>
      <c r="L37" s="116">
        <f>IF(ISNUMBER(SEARCH('Карта учёта'!$B$20,Расходка[[#This Row],[Наименование расходного материала]])),MAX($L$1:L36)+1,0)</f>
        <v>36</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Rinato</v>
      </c>
      <c r="Y37" s="115" t="str">
        <f>IFERROR(INDEX(Расходка[Наименование расходного материала],MATCH(Расходка[[#This Row],[№]],Поиск_расходки[Индекс8],0)),"")</f>
        <v>Rinato</v>
      </c>
      <c r="Z37" s="115" t="str">
        <f>IFERROR(INDEX(Расходка[Наименование расходного материала],MATCH(Расходка[[#This Row],[№]],Поиск_расходки[Индекс9],0)),"")</f>
        <v>Rinato</v>
      </c>
      <c r="AA37" s="115" t="str">
        <f>IFERROR(INDEX(Расходка[Наименование расходного материала],MATCH(Расходка[[#This Row],[№]],Поиск_расходки[Индекс10],0)),"")</f>
        <v>Rinato</v>
      </c>
      <c r="AB37" s="115" t="str">
        <f>IFERROR(INDEX(Расходка[Наименование расходного материала],MATCH(Расходка[[#This Row],[№]],Поиск_расходки[Индекс11],0)),"")</f>
        <v>Rinato</v>
      </c>
      <c r="AC37" s="115" t="str">
        <f>IFERROR(INDEX(Расходка[Наименование расходного материала],MATCH(Расходка[[#This Row],[№]],Поиск_расходки[Индекс12],0)),"")</f>
        <v>Rinato</v>
      </c>
      <c r="AD37" s="115" t="str">
        <f>IFERROR(INDEX(Расходка[Наименование расходного материала],MATCH(Расходка[[#This Row],[№]],Поиск_расходки[Индекс13],0)),"")</f>
        <v>Rinato</v>
      </c>
      <c r="AF37" s="4" t="s">
        <v>6</v>
      </c>
      <c r="AG37" s="4" t="s">
        <v>407</v>
      </c>
    </row>
    <row r="38" spans="1:33">
      <c r="A38">
        <v>37</v>
      </c>
      <c r="B38" t="s">
        <v>3</v>
      </c>
      <c r="C38" s="1" t="s">
        <v>354</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37</v>
      </c>
      <c r="L38" s="116">
        <f>IF(ISNUMBER(SEARCH('Карта учёта'!$B$20,Расходка[[#This Row],[Наименование расходного материала]])),MAX($L$1:L37)+1,0)</f>
        <v>37</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Runthrough NS (Floppy)</v>
      </c>
      <c r="Y38" s="115" t="str">
        <f>IFERROR(INDEX(Расходка[Наименование расходного материала],MATCH(Расходка[[#This Row],[№]],Поиск_расходки[Индекс8],0)),"")</f>
        <v>Runthrough NS (Floppy)</v>
      </c>
      <c r="Z38" s="115" t="str">
        <f>IFERROR(INDEX(Расходка[Наименование расходного материала],MATCH(Расходка[[#This Row],[№]],Поиск_расходки[Индекс9],0)),"")</f>
        <v>Runthrough NS (Floppy)</v>
      </c>
      <c r="AA38" s="115" t="str">
        <f>IFERROR(INDEX(Расходка[Наименование расходного материала],MATCH(Расходка[[#This Row],[№]],Поиск_расходки[Индекс10],0)),"")</f>
        <v>Runthrough NS (Floppy)</v>
      </c>
      <c r="AB38" s="115" t="str">
        <f>IFERROR(INDEX(Расходка[Наименование расходного материала],MATCH(Расходка[[#This Row],[№]],Поиск_расходки[Индекс11],0)),"")</f>
        <v>Runthrough NS (Floppy)</v>
      </c>
      <c r="AC38" s="115" t="str">
        <f>IFERROR(INDEX(Расходка[Наименование расходного материала],MATCH(Расходка[[#This Row],[№]],Поиск_расходки[Индекс12],0)),"")</f>
        <v>Runthrough NS (Floppy)</v>
      </c>
      <c r="AD38" s="115" t="str">
        <f>IFERROR(INDEX(Расходка[Наименование расходного материала],MATCH(Расходка[[#This Row],[№]],Поиск_расходки[Индекс13],0)),"")</f>
        <v>Runthrough NS (Floppy)</v>
      </c>
      <c r="AF38" s="4" t="s">
        <v>6</v>
      </c>
      <c r="AG38" s="4" t="s">
        <v>494</v>
      </c>
    </row>
    <row r="39" spans="1:33">
      <c r="A39">
        <v>38</v>
      </c>
      <c r="B39" t="s">
        <v>3</v>
      </c>
      <c r="C39" s="1" t="s">
        <v>361</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38</v>
      </c>
      <c r="L39" s="116">
        <f>IF(ISNUMBER(SEARCH('Карта учёта'!$B$20,Расходка[[#This Row],[Наименование расходного материала]])),MAX($L$1:L38)+1,0)</f>
        <v>38</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Runthrough NS Hypercoat</v>
      </c>
      <c r="Y39" s="115" t="str">
        <f>IFERROR(INDEX(Расходка[Наименование расходного материала],MATCH(Расходка[[#This Row],[№]],Поиск_расходки[Индекс8],0)),"")</f>
        <v>Runthrough NS Hypercoat</v>
      </c>
      <c r="Z39" s="115" t="str">
        <f>IFERROR(INDEX(Расходка[Наименование расходного материала],MATCH(Расходка[[#This Row],[№]],Поиск_расходки[Индекс9],0)),"")</f>
        <v>Runthrough NS Hypercoat</v>
      </c>
      <c r="AA39" s="115" t="str">
        <f>IFERROR(INDEX(Расходка[Наименование расходного материала],MATCH(Расходка[[#This Row],[№]],Поиск_расходки[Индекс10],0)),"")</f>
        <v>Runthrough NS Hypercoat</v>
      </c>
      <c r="AB39" s="115" t="str">
        <f>IFERROR(INDEX(Расходка[Наименование расходного материала],MATCH(Расходка[[#This Row],[№]],Поиск_расходки[Индекс11],0)),"")</f>
        <v>Runthrough NS Hypercoat</v>
      </c>
      <c r="AC39" s="115" t="str">
        <f>IFERROR(INDEX(Расходка[Наименование расходного материала],MATCH(Расходка[[#This Row],[№]],Поиск_расходки[Индекс12],0)),"")</f>
        <v>Runthrough NS Hypercoat</v>
      </c>
      <c r="AD39" s="115" t="str">
        <f>IFERROR(INDEX(Расходка[Наименование расходного материала],MATCH(Расходка[[#This Row],[№]],Поиск_расходки[Индекс13],0)),"")</f>
        <v>Runthrough NS Hypercoat</v>
      </c>
      <c r="AF39" s="4" t="s">
        <v>6</v>
      </c>
      <c r="AG39" s="4" t="s">
        <v>435</v>
      </c>
    </row>
    <row r="40" spans="1:33">
      <c r="A40">
        <v>39</v>
      </c>
      <c r="B40" t="s">
        <v>3</v>
      </c>
      <c r="C40" s="1" t="s">
        <v>360</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39</v>
      </c>
      <c r="L40" s="116">
        <f>IF(ISNUMBER(SEARCH('Карта учёта'!$B$20,Расходка[[#This Row],[Наименование расходного материала]])),MAX($L$1:L39)+1,0)</f>
        <v>39</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Runthrough NS Intermediate</v>
      </c>
      <c r="Y40" s="115" t="str">
        <f>IFERROR(INDEX(Расходка[Наименование расходного материала],MATCH(Расходка[[#This Row],[№]],Поиск_расходки[Индекс8],0)),"")</f>
        <v>Runthrough NS Intermediate</v>
      </c>
      <c r="Z40" s="115" t="str">
        <f>IFERROR(INDEX(Расходка[Наименование расходного материала],MATCH(Расходка[[#This Row],[№]],Поиск_расходки[Индекс9],0)),"")</f>
        <v>Runthrough NS Intermediate</v>
      </c>
      <c r="AA40" s="115" t="str">
        <f>IFERROR(INDEX(Расходка[Наименование расходного материала],MATCH(Расходка[[#This Row],[№]],Поиск_расходки[Индекс10],0)),"")</f>
        <v>Runthrough NS Intermediate</v>
      </c>
      <c r="AB40" s="115" t="str">
        <f>IFERROR(INDEX(Расходка[Наименование расходного материала],MATCH(Расходка[[#This Row],[№]],Поиск_расходки[Индекс11],0)),"")</f>
        <v>Runthrough NS Intermediate</v>
      </c>
      <c r="AC40" s="115" t="str">
        <f>IFERROR(INDEX(Расходка[Наименование расходного материала],MATCH(Расходка[[#This Row],[№]],Поиск_расходки[Индекс12],0)),"")</f>
        <v>Runthrough NS Intermediate</v>
      </c>
      <c r="AD40" s="115" t="str">
        <f>IFERROR(INDEX(Расходка[Наименование расходного материала],MATCH(Расходка[[#This Row],[№]],Поиск_расходки[Индекс13],0)),"")</f>
        <v>Runthrough NS Intermediate</v>
      </c>
      <c r="AF40" s="4" t="s">
        <v>6</v>
      </c>
      <c r="AG40" s="4" t="s">
        <v>436</v>
      </c>
    </row>
    <row r="41" spans="1:33">
      <c r="A41">
        <v>40</v>
      </c>
      <c r="B41" t="s">
        <v>3</v>
      </c>
      <c r="C41" t="s">
        <v>316</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40</v>
      </c>
      <c r="L41" s="116">
        <f>IF(ISNUMBER(SEARCH('Карта учёта'!$B$20,Расходка[[#This Row],[Наименование расходного материала]])),MAX($L$1:L40)+1,0)</f>
        <v>40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Sion</v>
      </c>
      <c r="Y41" s="115" t="str">
        <f>IFERROR(INDEX(Расходка[Наименование расходного материала],MATCH(Расходка[[#This Row],[№]],Поиск_расходки[Индекс8],0)),"")</f>
        <v>Sion</v>
      </c>
      <c r="Z41" s="115" t="str">
        <f>IFERROR(INDEX(Расходка[Наименование расходного материала],MATCH(Расходка[[#This Row],[№]],Поиск_расходки[Индекс9],0)),"")</f>
        <v>Sion</v>
      </c>
      <c r="AA41" s="115" t="str">
        <f>IFERROR(INDEX(Расходка[Наименование расходного материала],MATCH(Расходка[[#This Row],[№]],Поиск_расходки[Индекс10],0)),"")</f>
        <v>Sion</v>
      </c>
      <c r="AB41" s="115" t="str">
        <f>IFERROR(INDEX(Расходка[Наименование расходного материала],MATCH(Расходка[[#This Row],[№]],Поиск_расходки[Индекс11],0)),"")</f>
        <v>Sion</v>
      </c>
      <c r="AC41" s="115" t="str">
        <f>IFERROR(INDEX(Расходка[Наименование расходного материала],MATCH(Расходка[[#This Row],[№]],Поиск_расходки[Индекс12],0)),"")</f>
        <v>Sion</v>
      </c>
      <c r="AD41" s="115" t="str">
        <f>IFERROR(INDEX(Расходка[Наименование расходного материала],MATCH(Расходка[[#This Row],[№]],Поиск_расходки[Индекс13],0)),"")</f>
        <v>Sion</v>
      </c>
      <c r="AF41" s="4" t="s">
        <v>6</v>
      </c>
      <c r="AG41" s="4" t="s">
        <v>437</v>
      </c>
    </row>
    <row r="42" spans="1:33">
      <c r="A42">
        <v>41</v>
      </c>
      <c r="B42" t="s">
        <v>3</v>
      </c>
      <c r="C42" t="s">
        <v>379</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41</v>
      </c>
      <c r="L42" s="116">
        <f>IF(ISNUMBER(SEARCH('Карта учёта'!$B$20,Расходка[[#This Row],[Наименование расходного материала]])),MAX($L$1:L41)+1,0)</f>
        <v>41</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Sion Black</v>
      </c>
      <c r="Y42" s="115" t="str">
        <f>IFERROR(INDEX(Расходка[Наименование расходного материала],MATCH(Расходка[[#This Row],[№]],Поиск_расходки[Индекс8],0)),"")</f>
        <v>Sion Black</v>
      </c>
      <c r="Z42" s="115" t="str">
        <f>IFERROR(INDEX(Расходка[Наименование расходного материала],MATCH(Расходка[[#This Row],[№]],Поиск_расходки[Индекс9],0)),"")</f>
        <v>Sion Black</v>
      </c>
      <c r="AA42" s="115" t="str">
        <f>IFERROR(INDEX(Расходка[Наименование расходного материала],MATCH(Расходка[[#This Row],[№]],Поиск_расходки[Индекс10],0)),"")</f>
        <v>Sion Black</v>
      </c>
      <c r="AB42" s="115" t="str">
        <f>IFERROR(INDEX(Расходка[Наименование расходного материала],MATCH(Расходка[[#This Row],[№]],Поиск_расходки[Индекс11],0)),"")</f>
        <v>Sion Black</v>
      </c>
      <c r="AC42" s="115" t="str">
        <f>IFERROR(INDEX(Расходка[Наименование расходного материала],MATCH(Расходка[[#This Row],[№]],Поиск_расходки[Индекс12],0)),"")</f>
        <v>Sion Black</v>
      </c>
      <c r="AD42" s="115" t="str">
        <f>IFERROR(INDEX(Расходка[Наименование расходного материала],MATCH(Расходка[[#This Row],[№]],Поиск_расходки[Индекс13],0)),"")</f>
        <v>Sion Black</v>
      </c>
      <c r="AF42" s="4" t="s">
        <v>6</v>
      </c>
      <c r="AG42" s="4" t="s">
        <v>438</v>
      </c>
    </row>
    <row r="43" spans="1:33">
      <c r="A43">
        <v>42</v>
      </c>
      <c r="B43" t="s">
        <v>3</v>
      </c>
      <c r="C43" s="1" t="s">
        <v>373</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42</v>
      </c>
      <c r="L43" s="116">
        <f>IF(ISNUMBER(SEARCH('Карта учёта'!$B$20,Расходка[[#This Row],[Наименование расходного материала]])),MAX($L$1:L42)+1,0)</f>
        <v>42</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Sion Blue</v>
      </c>
      <c r="Y43" s="115" t="str">
        <f>IFERROR(INDEX(Расходка[Наименование расходного материала],MATCH(Расходка[[#This Row],[№]],Поиск_расходки[Индекс8],0)),"")</f>
        <v>Sion Blue</v>
      </c>
      <c r="Z43" s="115" t="str">
        <f>IFERROR(INDEX(Расходка[Наименование расходного материала],MATCH(Расходка[[#This Row],[№]],Поиск_расходки[Индекс9],0)),"")</f>
        <v>Sion Blue</v>
      </c>
      <c r="AA43" s="115" t="str">
        <f>IFERROR(INDEX(Расходка[Наименование расходного материала],MATCH(Расходка[[#This Row],[№]],Поиск_расходки[Индекс10],0)),"")</f>
        <v>Sion Blue</v>
      </c>
      <c r="AB43" s="115" t="str">
        <f>IFERROR(INDEX(Расходка[Наименование расходного материала],MATCH(Расходка[[#This Row],[№]],Поиск_расходки[Индекс11],0)),"")</f>
        <v>Sion Blue</v>
      </c>
      <c r="AC43" s="115" t="str">
        <f>IFERROR(INDEX(Расходка[Наименование расходного материала],MATCH(Расходка[[#This Row],[№]],Поиск_расходки[Индекс12],0)),"")</f>
        <v>Sion Blue</v>
      </c>
      <c r="AD43" s="115" t="str">
        <f>IFERROR(INDEX(Расходка[Наименование расходного материала],MATCH(Расходка[[#This Row],[№]],Поиск_расходки[Индекс13],0)),"")</f>
        <v>Sion Blue</v>
      </c>
      <c r="AF43" s="4" t="s">
        <v>6</v>
      </c>
      <c r="AG43" s="4" t="s">
        <v>411</v>
      </c>
    </row>
    <row r="44" spans="1:33">
      <c r="A44">
        <v>43</v>
      </c>
      <c r="B44" t="s">
        <v>3</v>
      </c>
      <c r="C44" t="s">
        <v>318</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43</v>
      </c>
      <c r="L44" s="116">
        <f>IF(ISNUMBER(SEARCH('Карта учёта'!$B$20,Расходка[[#This Row],[Наименование расходного материала]])),MAX($L$1:L43)+1,0)</f>
        <v>43</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Thunder</v>
      </c>
      <c r="Y44" s="115" t="str">
        <f>IFERROR(INDEX(Расходка[Наименование расходного материала],MATCH(Расходка[[#This Row],[№]],Поиск_расходки[Индекс8],0)),"")</f>
        <v>Thunder</v>
      </c>
      <c r="Z44" s="115" t="str">
        <f>IFERROR(INDEX(Расходка[Наименование расходного материала],MATCH(Расходка[[#This Row],[№]],Поиск_расходки[Индекс9],0)),"")</f>
        <v>Thunder</v>
      </c>
      <c r="AA44" s="115" t="str">
        <f>IFERROR(INDEX(Расходка[Наименование расходного материала],MATCH(Расходка[[#This Row],[№]],Поиск_расходки[Индекс10],0)),"")</f>
        <v>Thunder</v>
      </c>
      <c r="AB44" s="115" t="str">
        <f>IFERROR(INDEX(Расходка[Наименование расходного материала],MATCH(Расходка[[#This Row],[№]],Поиск_расходки[Индекс11],0)),"")</f>
        <v>Thunder</v>
      </c>
      <c r="AC44" s="115" t="str">
        <f>IFERROR(INDEX(Расходка[Наименование расходного материала],MATCH(Расходка[[#This Row],[№]],Поиск_расходки[Индекс12],0)),"")</f>
        <v>Thunder</v>
      </c>
      <c r="AD44" s="115" t="str">
        <f>IFERROR(INDEX(Расходка[Наименование расходного материала],MATCH(Расходка[[#This Row],[№]],Поиск_расходки[Индекс13],0)),"")</f>
        <v>Thunder</v>
      </c>
      <c r="AF44" s="4" t="s">
        <v>6</v>
      </c>
      <c r="AG44" s="4" t="s">
        <v>439</v>
      </c>
    </row>
    <row r="45" spans="1:33">
      <c r="A45">
        <v>44</v>
      </c>
      <c r="B45" t="s">
        <v>3</v>
      </c>
      <c r="C45" t="s">
        <v>362</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1</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44</v>
      </c>
      <c r="L45" s="116">
        <f>IF(ISNUMBER(SEARCH('Карта учёта'!$B$20,Расходка[[#This Row],[Наименование расходного материала]])),MAX($L$1:L44)+1,0)</f>
        <v>44</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Whisper MS</v>
      </c>
      <c r="Y45" s="115" t="str">
        <f>IFERROR(INDEX(Расходка[Наименование расходного материала],MATCH(Расходка[[#This Row],[№]],Поиск_расходки[Индекс8],0)),"")</f>
        <v>Whisper MS</v>
      </c>
      <c r="Z45" s="115" t="str">
        <f>IFERROR(INDEX(Расходка[Наименование расходного материала],MATCH(Расходка[[#This Row],[№]],Поиск_расходки[Индекс9],0)),"")</f>
        <v>Whisper MS</v>
      </c>
      <c r="AA45" s="115" t="str">
        <f>IFERROR(INDEX(Расходка[Наименование расходного материала],MATCH(Расходка[[#This Row],[№]],Поиск_расходки[Индекс10],0)),"")</f>
        <v>Whisper MS</v>
      </c>
      <c r="AB45" s="115" t="str">
        <f>IFERROR(INDEX(Расходка[Наименование расходного материала],MATCH(Расходка[[#This Row],[№]],Поиск_расходки[Индекс11],0)),"")</f>
        <v>Whisper MS</v>
      </c>
      <c r="AC45" s="115" t="str">
        <f>IFERROR(INDEX(Расходка[Наименование расходного материала],MATCH(Расходка[[#This Row],[№]],Поиск_расходки[Индекс12],0)),"")</f>
        <v>Whisper MS</v>
      </c>
      <c r="AD45" s="115" t="str">
        <f>IFERROR(INDEX(Расходка[Наименование расходного материала],MATCH(Расходка[[#This Row],[№]],Поиск_расходки[Индекс13],0)),"")</f>
        <v>Whisper MS</v>
      </c>
      <c r="AF45" s="4" t="s">
        <v>6</v>
      </c>
      <c r="AG45" s="4" t="s">
        <v>440</v>
      </c>
    </row>
    <row r="46" spans="1:33">
      <c r="A46">
        <v>45</v>
      </c>
      <c r="B46" t="s">
        <v>3</v>
      </c>
      <c r="C46" t="s">
        <v>363</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45</v>
      </c>
      <c r="L46" s="116">
        <f>IF(ISNUMBER(SEARCH('Карта учёта'!$B$20,Расходка[[#This Row],[Наименование расходного материала]])),MAX($L$1:L45)+1,0)</f>
        <v>45</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Winn 200T</v>
      </c>
      <c r="Y46" s="115" t="str">
        <f>IFERROR(INDEX(Расходка[Наименование расходного материала],MATCH(Расходка[[#This Row],[№]],Поиск_расходки[Индекс8],0)),"")</f>
        <v>Winn 200T</v>
      </c>
      <c r="Z46" s="115" t="str">
        <f>IFERROR(INDEX(Расходка[Наименование расходного материала],MATCH(Расходка[[#This Row],[№]],Поиск_расходки[Индекс9],0)),"")</f>
        <v>Winn 200T</v>
      </c>
      <c r="AA46" s="115" t="str">
        <f>IFERROR(INDEX(Расходка[Наименование расходного материала],MATCH(Расходка[[#This Row],[№]],Поиск_расходки[Индекс10],0)),"")</f>
        <v>Winn 200T</v>
      </c>
      <c r="AB46" s="115" t="str">
        <f>IFERROR(INDEX(Расходка[Наименование расходного материала],MATCH(Расходка[[#This Row],[№]],Поиск_расходки[Индекс11],0)),"")</f>
        <v>Winn 200T</v>
      </c>
      <c r="AC46" s="115" t="str">
        <f>IFERROR(INDEX(Расходка[Наименование расходного материала],MATCH(Расходка[[#This Row],[№]],Поиск_расходки[Индекс12],0)),"")</f>
        <v>Winn 200T</v>
      </c>
      <c r="AD46" s="115" t="str">
        <f>IFERROR(INDEX(Расходка[Наименование расходного материала],MATCH(Расходка[[#This Row],[№]],Поиск_расходки[Индекс13],0)),"")</f>
        <v>Winn 200T</v>
      </c>
      <c r="AF46" s="4" t="s">
        <v>6</v>
      </c>
      <c r="AG46" s="4" t="s">
        <v>441</v>
      </c>
    </row>
    <row r="47" spans="1:33">
      <c r="A47">
        <v>46</v>
      </c>
      <c r="B47" t="s">
        <v>3</v>
      </c>
      <c r="C47" t="s">
        <v>347</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46</v>
      </c>
      <c r="L47" s="116">
        <f>IF(ISNUMBER(SEARCH('Карта учёта'!$B$20,Расходка[[#This Row],[Наименование расходного материала]])),MAX($L$1:L46)+1,0)</f>
        <v>46</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Проводник коронарный  1g, Angioline</v>
      </c>
      <c r="Y47" s="115" t="str">
        <f>IFERROR(INDEX(Расходка[Наименование расходного материала],MATCH(Расходка[[#This Row],[№]],Поиск_расходки[Индекс8],0)),"")</f>
        <v>Проводник коронарный  1g, Angioline</v>
      </c>
      <c r="Z47" s="115" t="str">
        <f>IFERROR(INDEX(Расходка[Наименование расходного материала],MATCH(Расходка[[#This Row],[№]],Поиск_расходки[Индекс9],0)),"")</f>
        <v>Проводник коронарный  1g, Angioline</v>
      </c>
      <c r="AA47" s="115" t="str">
        <f>IFERROR(INDEX(Расходка[Наименование расходного материала],MATCH(Расходка[[#This Row],[№]],Поиск_расходки[Индекс10],0)),"")</f>
        <v>Проводник коронарный  1g, Angioline</v>
      </c>
      <c r="AB47" s="115" t="str">
        <f>IFERROR(INDEX(Расходка[Наименование расходного материала],MATCH(Расходка[[#This Row],[№]],Поиск_расходки[Индекс11],0)),"")</f>
        <v>Проводник коронарный  1g, Angioline</v>
      </c>
      <c r="AC47" s="115" t="str">
        <f>IFERROR(INDEX(Расходка[Наименование расходного материала],MATCH(Расходка[[#This Row],[№]],Поиск_расходки[Индекс12],0)),"")</f>
        <v>Проводник коронарный  1g, Angioline</v>
      </c>
      <c r="AD47" s="115" t="str">
        <f>IFERROR(INDEX(Расходка[Наименование расходного материала],MATCH(Расходка[[#This Row],[№]],Поиск_расходки[Индекс13],0)),"")</f>
        <v>Проводник коронарный  1g, Angioline</v>
      </c>
      <c r="AF47" s="4" t="s">
        <v>6</v>
      </c>
      <c r="AG47" s="4" t="s">
        <v>442</v>
      </c>
    </row>
    <row r="48" spans="1:33">
      <c r="A48">
        <v>47</v>
      </c>
      <c r="B48" t="s">
        <v>3</v>
      </c>
      <c r="C48" t="s">
        <v>512</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47</v>
      </c>
      <c r="L48" s="116">
        <f>IF(ISNUMBER(SEARCH('Карта учёта'!$B$20,Расходка[[#This Row],[Наименование расходного материала]])),MAX($L$1:L47)+1,0)</f>
        <v>47</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Проводник коронарный  0,8g, Angioline</v>
      </c>
      <c r="Y48" s="115" t="str">
        <f>IFERROR(INDEX(Расходка[Наименование расходного материала],MATCH(Расходка[[#This Row],[№]],Поиск_расходки[Индекс8],0)),"")</f>
        <v>Проводник коронарный  0,8g, Angioline</v>
      </c>
      <c r="Z48" s="115" t="str">
        <f>IFERROR(INDEX(Расходка[Наименование расходного материала],MATCH(Расходка[[#This Row],[№]],Поиск_расходки[Индекс9],0)),"")</f>
        <v>Проводник коронарный  0,8g, Angioline</v>
      </c>
      <c r="AA48" s="115" t="str">
        <f>IFERROR(INDEX(Расходка[Наименование расходного материала],MATCH(Расходка[[#This Row],[№]],Поиск_расходки[Индекс10],0)),"")</f>
        <v>Проводник коронарный  0,8g, Angioline</v>
      </c>
      <c r="AB48" s="115" t="str">
        <f>IFERROR(INDEX(Расходка[Наименование расходного материала],MATCH(Расходка[[#This Row],[№]],Поиск_расходки[Индекс11],0)),"")</f>
        <v>Проводник коронарный  0,8g, Angioline</v>
      </c>
      <c r="AC48" s="115" t="str">
        <f>IFERROR(INDEX(Расходка[Наименование расходного материала],MATCH(Расходка[[#This Row],[№]],Поиск_расходки[Индекс12],0)),"")</f>
        <v>Проводник коронарный  0,8g, Angioline</v>
      </c>
      <c r="AD48" s="115" t="str">
        <f>IFERROR(INDEX(Расходка[Наименование расходного материала],MATCH(Расходка[[#This Row],[№]],Поиск_расходки[Индекс13],0)),"")</f>
        <v>Проводник коронарный  0,8g, Angioline</v>
      </c>
      <c r="AF48" s="4" t="s">
        <v>6</v>
      </c>
      <c r="AG48" s="4" t="s">
        <v>443</v>
      </c>
    </row>
    <row r="49" spans="1:33">
      <c r="A49">
        <v>48</v>
      </c>
      <c r="B49" t="s">
        <v>3</v>
      </c>
      <c r="C49" t="s">
        <v>96</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48</v>
      </c>
      <c r="L49" s="116">
        <f>IF(ISNUMBER(SEARCH('Карта учёта'!$B$20,Расходка[[#This Row],[Наименование расходного материала]])),MAX($L$1:L48)+1,0)</f>
        <v>48</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Проводник коронарный  3g, Angioline</v>
      </c>
      <c r="Y49" s="115" t="str">
        <f>IFERROR(INDEX(Расходка[Наименование расходного материала],MATCH(Расходка[[#This Row],[№]],Поиск_расходки[Индекс8],0)),"")</f>
        <v>Проводник коронарный  3g, Angioline</v>
      </c>
      <c r="Z49" s="115" t="str">
        <f>IFERROR(INDEX(Расходка[Наименование расходного материала],MATCH(Расходка[[#This Row],[№]],Поиск_расходки[Индекс9],0)),"")</f>
        <v>Проводник коронарный  3g, Angioline</v>
      </c>
      <c r="AA49" s="115" t="str">
        <f>IFERROR(INDEX(Расходка[Наименование расходного материала],MATCH(Расходка[[#This Row],[№]],Поиск_расходки[Индекс10],0)),"")</f>
        <v>Проводник коронарный  3g, Angioline</v>
      </c>
      <c r="AB49" s="115" t="str">
        <f>IFERROR(INDEX(Расходка[Наименование расходного материала],MATCH(Расходка[[#This Row],[№]],Поиск_расходки[Индекс11],0)),"")</f>
        <v>Проводник коронарный  3g, Angioline</v>
      </c>
      <c r="AC49" s="115" t="str">
        <f>IFERROR(INDEX(Расходка[Наименование расходного материала],MATCH(Расходка[[#This Row],[№]],Поиск_расходки[Индекс12],0)),"")</f>
        <v>Проводник коронарный  3g, Angioline</v>
      </c>
      <c r="AD49" s="115" t="str">
        <f>IFERROR(INDEX(Расходка[Наименование расходного материала],MATCH(Расходка[[#This Row],[№]],Поиск_расходки[Индекс13],0)),"")</f>
        <v>Проводник коронарный  3g, Angioline</v>
      </c>
      <c r="AF49" s="4" t="s">
        <v>6</v>
      </c>
      <c r="AG49" s="4" t="s">
        <v>444</v>
      </c>
    </row>
    <row r="50" spans="1:33">
      <c r="A50">
        <v>49</v>
      </c>
      <c r="B50" t="s">
        <v>3</v>
      </c>
      <c r="C50" t="s">
        <v>510</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49</v>
      </c>
      <c r="L50" s="116">
        <f>IF(ISNUMBER(SEARCH('Карта учёта'!$B$20,Расходка[[#This Row],[Наименование расходного материала]])),MAX($L$1:L49)+1,0)</f>
        <v>49</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xml:space="preserve">Balancium </v>
      </c>
      <c r="Y50" s="115" t="str">
        <f>IFERROR(INDEX(Расходка[Наименование расходного материала],MATCH(Расходка[[#This Row],[№]],Поиск_расходки[Индекс8],0)),"")</f>
        <v xml:space="preserve">Balancium </v>
      </c>
      <c r="Z50" s="115" t="str">
        <f>IFERROR(INDEX(Расходка[Наименование расходного материала],MATCH(Расходка[[#This Row],[№]],Поиск_расходки[Индекс9],0)),"")</f>
        <v xml:space="preserve">Balancium </v>
      </c>
      <c r="AA50" s="115" t="str">
        <f>IFERROR(INDEX(Расходка[Наименование расходного материала],MATCH(Расходка[[#This Row],[№]],Поиск_расходки[Индекс10],0)),"")</f>
        <v xml:space="preserve">Balancium </v>
      </c>
      <c r="AB50" s="115" t="str">
        <f>IFERROR(INDEX(Расходка[Наименование расходного материала],MATCH(Расходка[[#This Row],[№]],Поиск_расходки[Индекс11],0)),"")</f>
        <v xml:space="preserve">Balancium </v>
      </c>
      <c r="AC50" s="115" t="str">
        <f>IFERROR(INDEX(Расходка[Наименование расходного материала],MATCH(Расходка[[#This Row],[№]],Поиск_расходки[Индекс12],0)),"")</f>
        <v xml:space="preserve">Balancium </v>
      </c>
      <c r="AD50" s="115" t="str">
        <f>IFERROR(INDEX(Расходка[Наименование расходного материала],MATCH(Расходка[[#This Row],[№]],Поиск_расходки[Индекс13],0)),"")</f>
        <v xml:space="preserve">Balancium </v>
      </c>
      <c r="AF50" s="4" t="s">
        <v>6</v>
      </c>
      <c r="AG50" s="4" t="s">
        <v>445</v>
      </c>
    </row>
    <row r="51" spans="1:33">
      <c r="A51">
        <v>50</v>
      </c>
      <c r="B51" t="s">
        <v>3</v>
      </c>
      <c r="C51" t="s">
        <v>521</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50</v>
      </c>
      <c r="L51" s="116">
        <f>IF(ISNUMBER(SEARCH('Карта учёта'!$B$20,Расходка[[#This Row],[Наименование расходного материала]])),MAX($L$1:L50)+1,0)</f>
        <v>50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Shunmei</v>
      </c>
      <c r="Y51" s="115" t="str">
        <f>IFERROR(INDEX(Расходка[Наименование расходного материала],MATCH(Расходка[[#This Row],[№]],Поиск_расходки[Индекс8],0)),"")</f>
        <v>Shunmei</v>
      </c>
      <c r="Z51" s="115" t="str">
        <f>IFERROR(INDEX(Расходка[Наименование расходного материала],MATCH(Расходка[[#This Row],[№]],Поиск_расходки[Индекс9],0)),"")</f>
        <v>Shunmei</v>
      </c>
      <c r="AA51" s="115" t="str">
        <f>IFERROR(INDEX(Расходка[Наименование расходного материала],MATCH(Расходка[[#This Row],[№]],Поиск_расходки[Индекс10],0)),"")</f>
        <v>Shunmei</v>
      </c>
      <c r="AB51" s="115" t="str">
        <f>IFERROR(INDEX(Расходка[Наименование расходного материала],MATCH(Расходка[[#This Row],[№]],Поиск_расходки[Индекс11],0)),"")</f>
        <v>Shunmei</v>
      </c>
      <c r="AC51" s="115" t="str">
        <f>IFERROR(INDEX(Расходка[Наименование расходного материала],MATCH(Расходка[[#This Row],[№]],Поиск_расходки[Индекс12],0)),"")</f>
        <v>Shunmei</v>
      </c>
      <c r="AD51" s="115" t="str">
        <f>IFERROR(INDEX(Расходка[Наименование расходного материала],MATCH(Расходка[[#This Row],[№]],Поиск_расходки[Индекс13],0)),"")</f>
        <v>Shunmei</v>
      </c>
      <c r="AF51" s="4" t="s">
        <v>6</v>
      </c>
      <c r="AG51" s="4" t="s">
        <v>446</v>
      </c>
    </row>
    <row r="52" spans="1:33">
      <c r="A52">
        <v>51</v>
      </c>
      <c r="B52" t="s">
        <v>6</v>
      </c>
      <c r="C52" s="1" t="s">
        <v>278</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51</v>
      </c>
      <c r="L52" s="116">
        <f>IF(ISNUMBER(SEARCH('Карта учёта'!$B$20,Расходка[[#This Row],[Наименование расходного материала]])),MAX($L$1:L51)+1,0)</f>
        <v>51</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BMS, Integtity</v>
      </c>
      <c r="Y52" s="115" t="str">
        <f>IFERROR(INDEX(Расходка[Наименование расходного материала],MATCH(Расходка[[#This Row],[№]],Поиск_расходки[Индекс8],0)),"")</f>
        <v>BMS, Integtity</v>
      </c>
      <c r="Z52" s="115" t="str">
        <f>IFERROR(INDEX(Расходка[Наименование расходного материала],MATCH(Расходка[[#This Row],[№]],Поиск_расходки[Индекс9],0)),"")</f>
        <v>BMS, Integtity</v>
      </c>
      <c r="AA52" s="115" t="str">
        <f>IFERROR(INDEX(Расходка[Наименование расходного материала],MATCH(Расходка[[#This Row],[№]],Поиск_расходки[Индекс10],0)),"")</f>
        <v>BMS, Integtity</v>
      </c>
      <c r="AB52" s="115" t="str">
        <f>IFERROR(INDEX(Расходка[Наименование расходного материала],MATCH(Расходка[[#This Row],[№]],Поиск_расходки[Индекс11],0)),"")</f>
        <v>BMS, Integtity</v>
      </c>
      <c r="AC52" s="115" t="str">
        <f>IFERROR(INDEX(Расходка[Наименование расходного материала],MATCH(Расходка[[#This Row],[№]],Поиск_расходки[Индекс12],0)),"")</f>
        <v>BMS, Integtity</v>
      </c>
      <c r="AD52" s="115" t="str">
        <f>IFERROR(INDEX(Расходка[Наименование расходного материала],MATCH(Расходка[[#This Row],[№]],Поиск_расходки[Индекс13],0)),"")</f>
        <v>BMS, Integtity</v>
      </c>
      <c r="AF52" s="4" t="s">
        <v>6</v>
      </c>
      <c r="AG52" s="4" t="s">
        <v>447</v>
      </c>
    </row>
    <row r="53" spans="1:33">
      <c r="A53">
        <v>52</v>
      </c>
      <c r="B53" t="s">
        <v>6</v>
      </c>
      <c r="C53" s="157" t="s">
        <v>346</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52</v>
      </c>
      <c r="L53" s="116">
        <f>IF(ISNUMBER(SEARCH('Карта учёта'!$B$20,Расходка[[#This Row],[Наименование расходного материала]])),MAX($L$1:L52)+1,0)</f>
        <v>52</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DES, Calipso</v>
      </c>
      <c r="Y53" s="115" t="str">
        <f>IFERROR(INDEX(Расходка[Наименование расходного материала],MATCH(Расходка[[#This Row],[№]],Поиск_расходки[Индекс8],0)),"")</f>
        <v>DES, Calipso</v>
      </c>
      <c r="Z53" s="115" t="str">
        <f>IFERROR(INDEX(Расходка[Наименование расходного материала],MATCH(Расходка[[#This Row],[№]],Поиск_расходки[Индекс9],0)),"")</f>
        <v>DES, Calipso</v>
      </c>
      <c r="AA53" s="115" t="str">
        <f>IFERROR(INDEX(Расходка[Наименование расходного материала],MATCH(Расходка[[#This Row],[№]],Поиск_расходки[Индекс10],0)),"")</f>
        <v>DES, Calipso</v>
      </c>
      <c r="AB53" s="115" t="str">
        <f>IFERROR(INDEX(Расходка[Наименование расходного материала],MATCH(Расходка[[#This Row],[№]],Поиск_расходки[Индекс11],0)),"")</f>
        <v>DES, Calipso</v>
      </c>
      <c r="AC53" s="115" t="str">
        <f>IFERROR(INDEX(Расходка[Наименование расходного материала],MATCH(Расходка[[#This Row],[№]],Поиск_расходки[Индекс12],0)),"")</f>
        <v>DES, Calipso</v>
      </c>
      <c r="AD53" s="115" t="str">
        <f>IFERROR(INDEX(Расходка[Наименование расходного материала],MATCH(Расходка[[#This Row],[№]],Поиск_расходки[Индекс13],0)),"")</f>
        <v>DES, Calipso</v>
      </c>
      <c r="AF53" s="4" t="s">
        <v>6</v>
      </c>
      <c r="AG53" s="4" t="s">
        <v>448</v>
      </c>
    </row>
    <row r="54" spans="1:33">
      <c r="A54">
        <v>53</v>
      </c>
      <c r="B54" t="s">
        <v>6</v>
      </c>
      <c r="C54" s="157" t="s">
        <v>345</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53</v>
      </c>
      <c r="L54" s="116">
        <f>IF(ISNUMBER(SEARCH('Карта учёта'!$B$20,Расходка[[#This Row],[Наименование расходного материала]])),MAX($L$1:L53)+1,0)</f>
        <v>53</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DES, NanoMed</v>
      </c>
      <c r="Y54" s="115" t="str">
        <f>IFERROR(INDEX(Расходка[Наименование расходного материала],MATCH(Расходка[[#This Row],[№]],Поиск_расходки[Индекс8],0)),"")</f>
        <v>DES, NanoMed</v>
      </c>
      <c r="Z54" s="115" t="str">
        <f>IFERROR(INDEX(Расходка[Наименование расходного материала],MATCH(Расходка[[#This Row],[№]],Поиск_расходки[Индекс9],0)),"")</f>
        <v>DES, NanoMed</v>
      </c>
      <c r="AA54" s="115" t="str">
        <f>IFERROR(INDEX(Расходка[Наименование расходного материала],MATCH(Расходка[[#This Row],[№]],Поиск_расходки[Индекс10],0)),"")</f>
        <v>DES, NanoMed</v>
      </c>
      <c r="AB54" s="115" t="str">
        <f>IFERROR(INDEX(Расходка[Наименование расходного материала],MATCH(Расходка[[#This Row],[№]],Поиск_расходки[Индекс11],0)),"")</f>
        <v>DES, NanoMed</v>
      </c>
      <c r="AC54" s="115" t="str">
        <f>IFERROR(INDEX(Расходка[Наименование расходного материала],MATCH(Расходка[[#This Row],[№]],Поиск_расходки[Индекс12],0)),"")</f>
        <v>DES, NanoMed</v>
      </c>
      <c r="AD54" s="115" t="str">
        <f>IFERROR(INDEX(Расходка[Наименование расходного материала],MATCH(Расходка[[#This Row],[№]],Поиск_расходки[Индекс13],0)),"")</f>
        <v>DES, NanoMed</v>
      </c>
      <c r="AF54" s="4" t="s">
        <v>6</v>
      </c>
      <c r="AG54" s="4" t="s">
        <v>449</v>
      </c>
    </row>
    <row r="55" spans="1:33">
      <c r="A55">
        <v>54</v>
      </c>
      <c r="B55" t="s">
        <v>6</v>
      </c>
      <c r="C55" s="130" t="s">
        <v>324</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54</v>
      </c>
      <c r="L55" s="116">
        <f>IF(ISNUMBER(SEARCH('Карта учёта'!$B$20,Расходка[[#This Row],[Наименование расходного материала]])),MAX($L$1:L54)+1,0)</f>
        <v>54</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DES, Resolute Integtity</v>
      </c>
      <c r="Y55" s="115" t="str">
        <f>IFERROR(INDEX(Расходка[Наименование расходного материала],MATCH(Расходка[[#This Row],[№]],Поиск_расходки[Индекс8],0)),"")</f>
        <v>DES, Resolute Integtity</v>
      </c>
      <c r="Z55" s="115" t="str">
        <f>IFERROR(INDEX(Расходка[Наименование расходного материала],MATCH(Расходка[[#This Row],[№]],Поиск_расходки[Индекс9],0)),"")</f>
        <v>DES, Resolute Integtity</v>
      </c>
      <c r="AA55" s="115" t="str">
        <f>IFERROR(INDEX(Расходка[Наименование расходного материала],MATCH(Расходка[[#This Row],[№]],Поиск_расходки[Индекс10],0)),"")</f>
        <v>DES, Resolute Integtity</v>
      </c>
      <c r="AB55" s="115" t="str">
        <f>IFERROR(INDEX(Расходка[Наименование расходного материала],MATCH(Расходка[[#This Row],[№]],Поиск_расходки[Индекс11],0)),"")</f>
        <v>DES, Resolute Integtity</v>
      </c>
      <c r="AC55" s="115" t="str">
        <f>IFERROR(INDEX(Расходка[Наименование расходного материала],MATCH(Расходка[[#This Row],[№]],Поиск_расходки[Индекс12],0)),"")</f>
        <v>DES, Resolute Integtity</v>
      </c>
      <c r="AD55" s="115" t="str">
        <f>IFERROR(INDEX(Расходка[Наименование расходного материала],MATCH(Расходка[[#This Row],[№]],Поиск_расходки[Индекс13],0)),"")</f>
        <v>DES, Resolute Integtity</v>
      </c>
      <c r="AF55" s="4" t="s">
        <v>6</v>
      </c>
      <c r="AG55" s="4" t="s">
        <v>450</v>
      </c>
    </row>
    <row r="56" spans="1:33">
      <c r="A56">
        <v>55</v>
      </c>
      <c r="B56" t="s">
        <v>6</v>
      </c>
      <c r="C56" t="s">
        <v>358</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55</v>
      </c>
      <c r="L56" s="116">
        <f>IF(ISNUMBER(SEARCH('Карта учёта'!$B$20,Расходка[[#This Row],[Наименование расходного материала]])),MAX($L$1:L55)+1,0)</f>
        <v>55</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DES, Yukon Chrome PC</v>
      </c>
      <c r="Y56" s="115" t="str">
        <f>IFERROR(INDEX(Расходка[Наименование расходного материала],MATCH(Расходка[[#This Row],[№]],Поиск_расходки[Индекс8],0)),"")</f>
        <v>DES, Yukon Chrome PC</v>
      </c>
      <c r="Z56" s="115" t="str">
        <f>IFERROR(INDEX(Расходка[Наименование расходного материала],MATCH(Расходка[[#This Row],[№]],Поиск_расходки[Индекс9],0)),"")</f>
        <v>DES, Yukon Chrome PC</v>
      </c>
      <c r="AA56" s="115" t="str">
        <f>IFERROR(INDEX(Расходка[Наименование расходного материала],MATCH(Расходка[[#This Row],[№]],Поиск_расходки[Индекс10],0)),"")</f>
        <v>DES, Yukon Chrome PC</v>
      </c>
      <c r="AB56" s="115" t="str">
        <f>IFERROR(INDEX(Расходка[Наименование расходного материала],MATCH(Расходка[[#This Row],[№]],Поиск_расходки[Индекс11],0)),"")</f>
        <v>DES, Yukon Chrome PC</v>
      </c>
      <c r="AC56" s="115" t="str">
        <f>IFERROR(INDEX(Расходка[Наименование расходного материала],MATCH(Расходка[[#This Row],[№]],Поиск_расходки[Индекс12],0)),"")</f>
        <v>DES, Yukon Chrome PC</v>
      </c>
      <c r="AD56" s="115" t="str">
        <f>IFERROR(INDEX(Расходка[Наименование расходного материала],MATCH(Расходка[[#This Row],[№]],Поиск_расходки[Индекс13],0)),"")</f>
        <v>DES, Yukon Chrome PC</v>
      </c>
      <c r="AF56" s="4" t="s">
        <v>6</v>
      </c>
      <c r="AG56" s="4" t="s">
        <v>451</v>
      </c>
    </row>
    <row r="57" spans="1:33">
      <c r="A57">
        <v>56</v>
      </c>
      <c r="B57" t="s">
        <v>6</v>
      </c>
      <c r="C57" s="161" t="s">
        <v>387</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56</v>
      </c>
      <c r="L57" s="116">
        <f>IF(ISNUMBER(SEARCH('Карта учёта'!$B$20,Расходка[[#This Row],[Наименование расходного материала]])),MAX($L$1:L56)+1,0)</f>
        <v>56</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DES, Firehawk</v>
      </c>
      <c r="Y57" s="115" t="str">
        <f>IFERROR(INDEX(Расходка[Наименование расходного материала],MATCH(Расходка[[#This Row],[№]],Поиск_расходки[Индекс8],0)),"")</f>
        <v>DES, Firehawk</v>
      </c>
      <c r="Z57" s="115" t="str">
        <f>IFERROR(INDEX(Расходка[Наименование расходного материала],MATCH(Расходка[[#This Row],[№]],Поиск_расходки[Индекс9],0)),"")</f>
        <v>DES, Firehawk</v>
      </c>
      <c r="AA57" s="115" t="str">
        <f>IFERROR(INDEX(Расходка[Наименование расходного материала],MATCH(Расходка[[#This Row],[№]],Поиск_расходки[Индекс10],0)),"")</f>
        <v>DES, Firehawk</v>
      </c>
      <c r="AB57" s="115" t="str">
        <f>IFERROR(INDEX(Расходка[Наименование расходного материала],MATCH(Расходка[[#This Row],[№]],Поиск_расходки[Индекс11],0)),"")</f>
        <v>DES, Firehawk</v>
      </c>
      <c r="AC57" s="115" t="str">
        <f>IFERROR(INDEX(Расходка[Наименование расходного материала],MATCH(Расходка[[#This Row],[№]],Поиск_расходки[Индекс12],0)),"")</f>
        <v>DES, Firehawk</v>
      </c>
      <c r="AD57" s="115" t="str">
        <f>IFERROR(INDEX(Расходка[Наименование расходного материала],MATCH(Расходка[[#This Row],[№]],Поиск_расходки[Индекс13],0)),"")</f>
        <v>DES, Firehawk</v>
      </c>
      <c r="AF57" s="4" t="s">
        <v>6</v>
      </c>
      <c r="AG57" s="4" t="s">
        <v>452</v>
      </c>
    </row>
    <row r="58" spans="1:33">
      <c r="A58">
        <v>57</v>
      </c>
      <c r="B58" t="s">
        <v>6</v>
      </c>
      <c r="C58" t="s">
        <v>386</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57</v>
      </c>
      <c r="L58" s="116">
        <f>IF(ISNUMBER(SEARCH('Карта учёта'!$B$20,Расходка[[#This Row],[Наименование расходного материала]])),MAX($L$1:L57)+1,0)</f>
        <v>57</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DES, Resolute Onyx</v>
      </c>
      <c r="Y58" s="115" t="str">
        <f>IFERROR(INDEX(Расходка[Наименование расходного материала],MATCH(Расходка[[#This Row],[№]],Поиск_расходки[Индекс8],0)),"")</f>
        <v>DES, Resolute Onyx</v>
      </c>
      <c r="Z58" s="115" t="str">
        <f>IFERROR(INDEX(Расходка[Наименование расходного материала],MATCH(Расходка[[#This Row],[№]],Поиск_расходки[Индекс9],0)),"")</f>
        <v>DES, Resolute Onyx</v>
      </c>
      <c r="AA58" s="115" t="str">
        <f>IFERROR(INDEX(Расходка[Наименование расходного материала],MATCH(Расходка[[#This Row],[№]],Поиск_расходки[Индекс10],0)),"")</f>
        <v>DES, Resolute Onyx</v>
      </c>
      <c r="AB58" s="115" t="str">
        <f>IFERROR(INDEX(Расходка[Наименование расходного материала],MATCH(Расходка[[#This Row],[№]],Поиск_расходки[Индекс11],0)),"")</f>
        <v>DES, Resolute Onyx</v>
      </c>
      <c r="AC58" s="115" t="str">
        <f>IFERROR(INDEX(Расходка[Наименование расходного материала],MATCH(Расходка[[#This Row],[№]],Поиск_расходки[Индекс12],0)),"")</f>
        <v>DES, Resolute Onyx</v>
      </c>
      <c r="AD58" s="115" t="str">
        <f>IFERROR(INDEX(Расходка[Наименование расходного материала],MATCH(Расходка[[#This Row],[№]],Поиск_расходки[Индекс13],0)),"")</f>
        <v>DES, Resolute Onyx</v>
      </c>
      <c r="AF58" s="4" t="s">
        <v>6</v>
      </c>
      <c r="AG58" s="4" t="s">
        <v>453</v>
      </c>
    </row>
    <row r="59" spans="1:33">
      <c r="A59">
        <v>58</v>
      </c>
      <c r="B59" t="s">
        <v>6</v>
      </c>
      <c r="C59" t="s">
        <v>519</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58</v>
      </c>
      <c r="L59" s="116">
        <f>IF(ISNUMBER(SEARCH('Карта учёта'!$B$20,Расходка[[#This Row],[Наименование расходного материала]])),MAX($L$1:L58)+1,0)</f>
        <v>58</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DES, Калипсо</v>
      </c>
      <c r="Y59" s="115" t="str">
        <f>IFERROR(INDEX(Расходка[Наименование расходного материала],MATCH(Расходка[[#This Row],[№]],Поиск_расходки[Индекс8],0)),"")</f>
        <v>DES, Калипсо</v>
      </c>
      <c r="Z59" s="115" t="str">
        <f>IFERROR(INDEX(Расходка[Наименование расходного материала],MATCH(Расходка[[#This Row],[№]],Поиск_расходки[Индекс9],0)),"")</f>
        <v>DES, Калипсо</v>
      </c>
      <c r="AA59" s="115" t="str">
        <f>IFERROR(INDEX(Расходка[Наименование расходного материала],MATCH(Расходка[[#This Row],[№]],Поиск_расходки[Индекс10],0)),"")</f>
        <v>DES, Калипсо</v>
      </c>
      <c r="AB59" s="115" t="str">
        <f>IFERROR(INDEX(Расходка[Наименование расходного материала],MATCH(Расходка[[#This Row],[№]],Поиск_расходки[Индекс11],0)),"")</f>
        <v>DES, Калипсо</v>
      </c>
      <c r="AC59" s="115" t="str">
        <f>IFERROR(INDEX(Расходка[Наименование расходного материала],MATCH(Расходка[[#This Row],[№]],Поиск_расходки[Индекс12],0)),"")</f>
        <v>DES, Калипсо</v>
      </c>
      <c r="AD59" s="115" t="str">
        <f>IFERROR(INDEX(Расходка[Наименование расходного материала],MATCH(Расходка[[#This Row],[№]],Поиск_расходки[Индекс13],0)),"")</f>
        <v>DES, Калипсо</v>
      </c>
      <c r="AF59" s="4" t="s">
        <v>6</v>
      </c>
      <c r="AG59" s="4" t="s">
        <v>454</v>
      </c>
    </row>
    <row r="60" spans="1:33">
      <c r="A60">
        <v>59</v>
      </c>
      <c r="B60" t="s">
        <v>6</v>
      </c>
      <c r="C60" t="s">
        <v>520</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1</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59</v>
      </c>
      <c r="L60" s="116">
        <f>IF(ISNUMBER(SEARCH('Карта учёта'!$B$20,Расходка[[#This Row],[Наименование расходного материала]])),MAX($L$1:L59)+1,0)</f>
        <v>59</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Meril Evermine50™</v>
      </c>
      <c r="Y60" s="115" t="str">
        <f>IFERROR(INDEX(Расходка[Наименование расходного материала],MATCH(Расходка[[#This Row],[№]],Поиск_расходки[Индекс8],0)),"")</f>
        <v>Meril Evermine50™</v>
      </c>
      <c r="Z60" s="115" t="str">
        <f>IFERROR(INDEX(Расходка[Наименование расходного материала],MATCH(Расходка[[#This Row],[№]],Поиск_расходки[Индекс9],0)),"")</f>
        <v>Meril Evermine50™</v>
      </c>
      <c r="AA60" s="115" t="str">
        <f>IFERROR(INDEX(Расходка[Наименование расходного материала],MATCH(Расходка[[#This Row],[№]],Поиск_расходки[Индекс10],0)),"")</f>
        <v>Meril Evermine50™</v>
      </c>
      <c r="AB60" s="115" t="str">
        <f>IFERROR(INDEX(Расходка[Наименование расходного материала],MATCH(Расходка[[#This Row],[№]],Поиск_расходки[Индекс11],0)),"")</f>
        <v>Meril Evermine50™</v>
      </c>
      <c r="AC60" s="115" t="str">
        <f>IFERROR(INDEX(Расходка[Наименование расходного материала],MATCH(Расходка[[#This Row],[№]],Поиск_расходки[Индекс12],0)),"")</f>
        <v>Meril Evermine50™</v>
      </c>
      <c r="AD60" s="115" t="str">
        <f>IFERROR(INDEX(Расходка[Наименование расходного материала],MATCH(Расходка[[#This Row],[№]],Поиск_расходки[Индекс13],0)),"")</f>
        <v>Meril Evermine50™</v>
      </c>
      <c r="AF60" s="4" t="s">
        <v>6</v>
      </c>
      <c r="AG60" s="4" t="s">
        <v>455</v>
      </c>
    </row>
    <row r="61" spans="1:33">
      <c r="A61">
        <v>60</v>
      </c>
      <c r="B61" t="s">
        <v>95</v>
      </c>
      <c r="C61" s="1" t="s">
        <v>325</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60</v>
      </c>
      <c r="L61" s="116">
        <f>IF(ISNUMBER(SEARCH('Карта учёта'!$B$20,Расходка[[#This Row],[Наименование расходного материала]])),MAX($L$1:L60)+1,0)</f>
        <v>60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Guidezilla™ II 6F</v>
      </c>
      <c r="Y61" s="115" t="str">
        <f>IFERROR(INDEX(Расходка[Наименование расходного материала],MATCH(Расходка[[#This Row],[№]],Поиск_расходки[Индекс8],0)),"")</f>
        <v>Guidezilla™ II 6F</v>
      </c>
      <c r="Z61" s="115" t="str">
        <f>IFERROR(INDEX(Расходка[Наименование расходного материала],MATCH(Расходка[[#This Row],[№]],Поиск_расходки[Индекс9],0)),"")</f>
        <v>Guidezilla™ II 6F</v>
      </c>
      <c r="AA61" s="115" t="str">
        <f>IFERROR(INDEX(Расходка[Наименование расходного материала],MATCH(Расходка[[#This Row],[№]],Поиск_расходки[Индекс10],0)),"")</f>
        <v>Guidezilla™ II 6F</v>
      </c>
      <c r="AB61" s="115" t="str">
        <f>IFERROR(INDEX(Расходка[Наименование расходного материала],MATCH(Расходка[[#This Row],[№]],Поиск_расходки[Индекс11],0)),"")</f>
        <v>Guidezilla™ II 6F</v>
      </c>
      <c r="AC61" s="115" t="str">
        <f>IFERROR(INDEX(Расходка[Наименование расходного материала],MATCH(Расходка[[#This Row],[№]],Поиск_расходки[Индекс12],0)),"")</f>
        <v>Guidezilla™ II 6F</v>
      </c>
      <c r="AD61" s="115" t="str">
        <f>IFERROR(INDEX(Расходка[Наименование расходного материала],MATCH(Расходка[[#This Row],[№]],Поиск_расходки[Индекс13],0)),"")</f>
        <v>Guidezilla™ II 6F</v>
      </c>
      <c r="AF61" s="4" t="s">
        <v>6</v>
      </c>
      <c r="AG61" s="4" t="s">
        <v>416</v>
      </c>
    </row>
    <row r="62" spans="1:33">
      <c r="A62">
        <v>61</v>
      </c>
      <c r="B62" t="s">
        <v>95</v>
      </c>
      <c r="C62" s="1" t="s">
        <v>344</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61</v>
      </c>
      <c r="L62" s="116">
        <f>IF(ISNUMBER(SEARCH('Карта учёта'!$B$20,Расходка[[#This Row],[Наименование расходного материала]])),MAX($L$1:L61)+1,0)</f>
        <v>61</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Telescope ™ II 6F</v>
      </c>
      <c r="Y62" s="115" t="str">
        <f>IFERROR(INDEX(Расходка[Наименование расходного материала],MATCH(Расходка[[#This Row],[№]],Поиск_расходки[Индекс8],0)),"")</f>
        <v>Telescope ™ II 6F</v>
      </c>
      <c r="Z62" s="115" t="str">
        <f>IFERROR(INDEX(Расходка[Наименование расходного материала],MATCH(Расходка[[#This Row],[№]],Поиск_расходки[Индекс9],0)),"")</f>
        <v>Telescope ™ II 6F</v>
      </c>
      <c r="AA62" s="115" t="str">
        <f>IFERROR(INDEX(Расходка[Наименование расходного материала],MATCH(Расходка[[#This Row],[№]],Поиск_расходки[Индекс10],0)),"")</f>
        <v>Telescope ™ II 6F</v>
      </c>
      <c r="AB62" s="115" t="str">
        <f>IFERROR(INDEX(Расходка[Наименование расходного материала],MATCH(Расходка[[#This Row],[№]],Поиск_расходки[Индекс11],0)),"")</f>
        <v>Telescope ™ II 6F</v>
      </c>
      <c r="AC62" s="115" t="str">
        <f>IFERROR(INDEX(Расходка[Наименование расходного материала],MATCH(Расходка[[#This Row],[№]],Поиск_расходки[Индекс12],0)),"")</f>
        <v>Telescope ™ II 6F</v>
      </c>
      <c r="AD62" s="115" t="str">
        <f>IFERROR(INDEX(Расходка[Наименование расходного материала],MATCH(Расходка[[#This Row],[№]],Поиск_расходки[Индекс13],0)),"")</f>
        <v>Telescope ™ II 6F</v>
      </c>
      <c r="AF62" s="4" t="s">
        <v>6</v>
      </c>
      <c r="AG62" s="4" t="s">
        <v>456</v>
      </c>
    </row>
    <row r="63" spans="1:33">
      <c r="A63">
        <v>62</v>
      </c>
      <c r="B63" t="s">
        <v>4</v>
      </c>
      <c r="C63" t="s">
        <v>351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62</v>
      </c>
      <c r="L63" s="116">
        <f>IF(ISNUMBER(SEARCH('Карта учёта'!$B$20,Расходка[[#This Row],[Наименование расходного материала]])),MAX($L$1:L62)+1,0)</f>
        <v>62</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Launcher 6F AL 1</v>
      </c>
      <c r="Y63" s="115" t="str">
        <f>IFERROR(INDEX(Расходка[Наименование расходного материала],MATCH(Расходка[[#This Row],[№]],Поиск_расходки[Индекс8],0)),"")</f>
        <v>Launcher 6F AL 1</v>
      </c>
      <c r="Z63" s="115" t="str">
        <f>IFERROR(INDEX(Расходка[Наименование расходного материала],MATCH(Расходка[[#This Row],[№]],Поиск_расходки[Индекс9],0)),"")</f>
        <v>Launcher 6F AL 1</v>
      </c>
      <c r="AA63" s="115" t="str">
        <f>IFERROR(INDEX(Расходка[Наименование расходного материала],MATCH(Расходка[[#This Row],[№]],Поиск_расходки[Индекс10],0)),"")</f>
        <v>Launcher 6F AL 1</v>
      </c>
      <c r="AB63" s="115" t="str">
        <f>IFERROR(INDEX(Расходка[Наименование расходного материала],MATCH(Расходка[[#This Row],[№]],Поиск_расходки[Индекс11],0)),"")</f>
        <v>Launcher 6F AL 1</v>
      </c>
      <c r="AC63" s="115" t="str">
        <f>IFERROR(INDEX(Расходка[Наименование расходного материала],MATCH(Расходка[[#This Row],[№]],Поиск_расходки[Индекс12],0)),"")</f>
        <v>Launcher 6F AL 1</v>
      </c>
      <c r="AD63" s="115" t="str">
        <f>IFERROR(INDEX(Расходка[Наименование расходного материала],MATCH(Расходка[[#This Row],[№]],Поиск_расходки[Индекс13],0)),"")</f>
        <v>Launcher 6F AL 1</v>
      </c>
      <c r="AF63" s="4" t="s">
        <v>6</v>
      </c>
      <c r="AG63" s="4" t="s">
        <v>457</v>
      </c>
    </row>
    <row r="64" spans="1:33">
      <c r="A64">
        <v>63</v>
      </c>
      <c r="B64" t="s">
        <v>4</v>
      </c>
      <c r="C64" t="s">
        <v>352</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63</v>
      </c>
      <c r="L64" s="116">
        <f>IF(ISNUMBER(SEARCH('Карта учёта'!$B$20,Расходка[[#This Row],[Наименование расходного материала]])),MAX($L$1:L63)+1,0)</f>
        <v>63</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Launcher 6F AL 2</v>
      </c>
      <c r="Y64" s="115" t="str">
        <f>IFERROR(INDEX(Расходка[Наименование расходного материала],MATCH(Расходка[[#This Row],[№]],Поиск_расходки[Индекс8],0)),"")</f>
        <v>Launcher 6F AL 2</v>
      </c>
      <c r="Z64" s="115" t="str">
        <f>IFERROR(INDEX(Расходка[Наименование расходного материала],MATCH(Расходка[[#This Row],[№]],Поиск_расходки[Индекс9],0)),"")</f>
        <v>Launcher 6F AL 2</v>
      </c>
      <c r="AA64" s="115" t="str">
        <f>IFERROR(INDEX(Расходка[Наименование расходного материала],MATCH(Расходка[[#This Row],[№]],Поиск_расходки[Индекс10],0)),"")</f>
        <v>Launcher 6F AL 2</v>
      </c>
      <c r="AB64" s="115" t="str">
        <f>IFERROR(INDEX(Расходка[Наименование расходного материала],MATCH(Расходка[[#This Row],[№]],Поиск_расходки[Индекс11],0)),"")</f>
        <v>Launcher 6F AL 2</v>
      </c>
      <c r="AC64" s="115" t="str">
        <f>IFERROR(INDEX(Расходка[Наименование расходного материала],MATCH(Расходка[[#This Row],[№]],Поиск_расходки[Индекс12],0)),"")</f>
        <v>Launcher 6F AL 2</v>
      </c>
      <c r="AD64" s="115" t="str">
        <f>IFERROR(INDEX(Расходка[Наименование расходного материала],MATCH(Расходка[[#This Row],[№]],Поиск_расходки[Индекс13],0)),"")</f>
        <v>Launcher 6F AL 2</v>
      </c>
      <c r="AF64" s="4" t="s">
        <v>6</v>
      </c>
      <c r="AG64" s="4" t="s">
        <v>458</v>
      </c>
    </row>
    <row r="65" spans="1:33">
      <c r="A65">
        <v>64</v>
      </c>
      <c r="B65" t="s">
        <v>4</v>
      </c>
      <c r="C65" t="s">
        <v>326</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64</v>
      </c>
      <c r="L65" s="116">
        <f>IF(ISNUMBER(SEARCH('Карта учёта'!$B$20,Расходка[[#This Row],[Наименование расходного материала]])),MAX($L$1:L64)+1,0)</f>
        <v>64</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Launcher 6F EBU 3.5</v>
      </c>
      <c r="Y65" s="115" t="str">
        <f>IFERROR(INDEX(Расходка[Наименование расходного материала],MATCH(Расходка[[#This Row],[№]],Поиск_расходки[Индекс8],0)),"")</f>
        <v>Launcher 6F EBU 3.5</v>
      </c>
      <c r="Z65" s="115" t="str">
        <f>IFERROR(INDEX(Расходка[Наименование расходного материала],MATCH(Расходка[[#This Row],[№]],Поиск_расходки[Индекс9],0)),"")</f>
        <v>Launcher 6F EBU 3.5</v>
      </c>
      <c r="AA65" s="115" t="str">
        <f>IFERROR(INDEX(Расходка[Наименование расходного материала],MATCH(Расходка[[#This Row],[№]],Поиск_расходки[Индекс10],0)),"")</f>
        <v>Launcher 6F EBU 3.5</v>
      </c>
      <c r="AB65" s="115" t="str">
        <f>IFERROR(INDEX(Расходка[Наименование расходного материала],MATCH(Расходка[[#This Row],[№]],Поиск_расходки[Индекс11],0)),"")</f>
        <v>Launcher 6F EBU 3.5</v>
      </c>
      <c r="AC65" s="115" t="str">
        <f>IFERROR(INDEX(Расходка[Наименование расходного материала],MATCH(Расходка[[#This Row],[№]],Поиск_расходки[Индекс12],0)),"")</f>
        <v>Launcher 6F EBU 3.5</v>
      </c>
      <c r="AD65" s="115" t="str">
        <f>IFERROR(INDEX(Расходка[Наименование расходного материала],MATCH(Расходка[[#This Row],[№]],Поиск_расходки[Индекс13],0)),"")</f>
        <v>Launcher 6F EBU 3.5</v>
      </c>
      <c r="AF65" s="4" t="s">
        <v>6</v>
      </c>
      <c r="AG65" s="4" t="s">
        <v>459</v>
      </c>
    </row>
    <row r="66" spans="1:33">
      <c r="A66">
        <v>65</v>
      </c>
      <c r="B66" t="s">
        <v>4</v>
      </c>
      <c r="C66" t="s">
        <v>327</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65</v>
      </c>
      <c r="L66" s="116">
        <f>IF(ISNUMBER(SEARCH('Карта учёта'!$B$20,Расходка[[#This Row],[Наименование расходного материала]])),MAX($L$1:L65)+1,0)</f>
        <v>65</v>
      </c>
      <c r="M66" s="116">
        <f>IF(ISNUMBER(SEARCH('Карта учёта'!$B$21,Расходка[[#This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Launcher 6F EBU 4.0</v>
      </c>
      <c r="Y66" s="115" t="str">
        <f>IFERROR(INDEX(Расходка[Наименование расходного материала],MATCH(Расходка[[#This Row],[№]],Поиск_расходки[Индекс8],0)),"")</f>
        <v>Launcher 6F EBU 4.0</v>
      </c>
      <c r="Z66" s="115" t="str">
        <f>IFERROR(INDEX(Расходка[Наименование расходного материала],MATCH(Расходка[[#This Row],[№]],Поиск_расходки[Индекс9],0)),"")</f>
        <v>Launcher 6F EBU 4.0</v>
      </c>
      <c r="AA66" s="115" t="str">
        <f>IFERROR(INDEX(Расходка[Наименование расходного материала],MATCH(Расходка[[#This Row],[№]],Поиск_расходки[Индекс10],0)),"")</f>
        <v>Launcher 6F EBU 4.0</v>
      </c>
      <c r="AB66" s="115" t="str">
        <f>IFERROR(INDEX(Расходка[Наименование расходного материала],MATCH(Расходка[[#This Row],[№]],Поиск_расходки[Индекс11],0)),"")</f>
        <v>Launcher 6F EBU 4.0</v>
      </c>
      <c r="AC66" s="115" t="str">
        <f>IFERROR(INDEX(Расходка[Наименование расходного материала],MATCH(Расходка[[#This Row],[№]],Поиск_расходки[Индекс12],0)),"")</f>
        <v>Launcher 6F EBU 4.0</v>
      </c>
      <c r="AD66" s="115" t="str">
        <f>IFERROR(INDEX(Расходка[Наименование расходного материала],MATCH(Расходка[[#This Row],[№]],Поиск_расходки[Индекс13],0)),"")</f>
        <v>Launcher 6F EBU 4.0</v>
      </c>
      <c r="AF66" s="4" t="s">
        <v>6</v>
      </c>
      <c r="AG66" s="4" t="s">
        <v>460</v>
      </c>
    </row>
    <row r="67" spans="1:33">
      <c r="A67">
        <v>66</v>
      </c>
      <c r="B67" t="s">
        <v>4</v>
      </c>
      <c r="C67" t="s">
        <v>328</v>
      </c>
      <c r="E67" s="197">
        <f>IF(ISNUMBER(SEARCH('Карта учёта'!$B$13,Расходка[[#This Row],[Наименование расходного материала]])),MAX($E$1:E66)+1,0)</f>
        <v>0</v>
      </c>
      <c r="F67" s="197">
        <f>IF(ISNUMBER(SEARCH('Карта учёта'!$B$14,Расходка[[#This Row],[Наименование расходного материала]])),MAX($F$1:F66)+1,0)</f>
        <v>0</v>
      </c>
      <c r="G67" s="197">
        <f>IF(ISNUMBER(SEARCH('Карта учёта'!$B$15,Расходка[[#This Row],[Наименование расходного материала]])),MAX($G$1:G66)+1,0)</f>
        <v>0</v>
      </c>
      <c r="H67" s="197">
        <f>IF(ISNUMBER(SEARCH('Карта учёта'!$B$16,Расходка[[#This Row],[Наименование расходного материала]])),MAX($H$1:H66)+1,0)</f>
        <v>0</v>
      </c>
      <c r="I67" s="197">
        <f>IF(ISNUMBER(SEARCH('Карта учёта'!$B$17,Расходка[[#This Row],[Наименование расходного материала]])),MAX($I$1:I66)+1,0)</f>
        <v>0</v>
      </c>
      <c r="J67" s="197">
        <f>IF(ISNUMBER(SEARCH('Карта учёта'!$B$18,Расходка[[#This Row],[Наименование расходного материала]])),MAX($J$1:J66)+1,0)</f>
        <v>0</v>
      </c>
      <c r="K67" s="197">
        <f>IF(ISNUMBER(SEARCH('Карта учёта'!$B$19,Расходка[[#This Row],[Наименование расходного материала]])),MAX($K$1:K66)+1,0)</f>
        <v>66</v>
      </c>
      <c r="L67" s="197">
        <f>IF(ISNUMBER(SEARCH('Карта учёта'!$B$20,Расходка[[#This Row],[Наименование расходного материала]])),MAX($L$1:L66)+1,0)</f>
        <v>66</v>
      </c>
      <c r="M67" s="197">
        <f>IF(ISNUMBER(SEARCH('Карта учёта'!$B$21,Расходка[[#This Row],[Наименование расходного материала]])),MAX($M$1:M66)+1,0)</f>
        <v>66</v>
      </c>
      <c r="N67" s="197">
        <f>IF(ISNUMBER(SEARCH('Карта учёта'!$B$22,Расходка[[#This Row],[Наименование расходного материала]])),MAX($N$1:N66)+1,0)</f>
        <v>66</v>
      </c>
      <c r="O67" s="197">
        <f>IF(ISNUMBER(SEARCH('Карта учёта'!$B$23,Расходка[[#This Row],[Наименование расходного материала]])),MAX($O$1:O66)+1,0)</f>
        <v>66</v>
      </c>
      <c r="P67" s="197">
        <f>IF(ISNUMBER(SEARCH('Карта учёта'!$B$24,Расходка[[#This Row],[Наименование расходного материала]])),MAX($P$1:P66)+1,0)</f>
        <v>66</v>
      </c>
      <c r="Q67" s="197">
        <f>IF(ISNUMBER(SEARCH('Карта учёта'!$B$25,Расходка[[#This Row],[Наименование расходного материала]])),MAX($Q$1:Q66)+1,0)</f>
        <v>66</v>
      </c>
      <c r="R67" s="198" t="str">
        <f>IFERROR(INDEX(Расходка[Наименование расходного материала],MATCH(Расходка[[#This Row],[№]],Поиск_расходки[Индекс1],0)),"")</f>
        <v/>
      </c>
      <c r="S67" s="198" t="str">
        <f>IFERROR(INDEX(Расходка[Наименование расходного материала],MATCH(Расходка[[#This Row],[№]],Поиск_расходки[Индекс2],0)),"")</f>
        <v/>
      </c>
      <c r="T67" s="198" t="str">
        <f>IFERROR(INDEX(Расходка[Наименование расходного материала],MATCH(Расходка[[#This Row],[№]],Поиск_расходки[Индекс3],0)),"")</f>
        <v/>
      </c>
      <c r="U67" s="198" t="str">
        <f>IFERROR(INDEX(Расходка[Наименование расходного материала],MATCH(Расходка[[#This Row],[№]],Поиск_расходки[Индекс4],0)),"")</f>
        <v/>
      </c>
      <c r="V67" s="198" t="str">
        <f>IFERROR(INDEX(Расходка[Наименование расходного материала],MATCH(Расходка[[#This Row],[№]],Поиск_расходки[Индекс5],0)),"")</f>
        <v/>
      </c>
      <c r="W67" s="198" t="str">
        <f>IFERROR(INDEX(Расходка[Наименование расходного материала],MATCH(Расходка[[#This Row],[№]],Поиск_расходки[Индекс6],0)),"")</f>
        <v/>
      </c>
      <c r="X67" s="198" t="str">
        <f>IFERROR(INDEX(Расходка[Наименование расходного материала],MATCH(Расходка[[#This Row],[№]],Поиск_расходки[Индекс7],0)),"")</f>
        <v>Launcher 6F JL 3.5</v>
      </c>
      <c r="Y67" s="198" t="str">
        <f>IFERROR(INDEX(Расходка[Наименование расходного материала],MATCH(Расходка[[#This Row],[№]],Поиск_расходки[Индекс8],0)),"")</f>
        <v>Launcher 6F JL 3.5</v>
      </c>
      <c r="Z67" s="198" t="str">
        <f>IFERROR(INDEX(Расходка[Наименование расходного материала],MATCH(Расходка[[#This Row],[№]],Поиск_расходки[Индекс9],0)),"")</f>
        <v>Launcher 6F JL 3.5</v>
      </c>
      <c r="AA67" s="198" t="str">
        <f>IFERROR(INDEX(Расходка[Наименование расходного материала],MATCH(Расходка[[#This Row],[№]],Поиск_расходки[Индекс10],0)),"")</f>
        <v>Launcher 6F JL 3.5</v>
      </c>
      <c r="AB67" s="198" t="str">
        <f>IFERROR(INDEX(Расходка[Наименование расходного материала],MATCH(Расходка[[#This Row],[№]],Поиск_расходки[Индекс11],0)),"")</f>
        <v>Launcher 6F JL 3.5</v>
      </c>
      <c r="AC67" s="198" t="str">
        <f>IFERROR(INDEX(Расходка[Наименование расходного материала],MATCH(Расходка[[#This Row],[№]],Поиск_расходки[Индекс12],0)),"")</f>
        <v>Launcher 6F JL 3.5</v>
      </c>
      <c r="AD67" s="198" t="str">
        <f>IFERROR(INDEX(Расходка[Наименование расходного материала],MATCH(Расходка[[#This Row],[№]],Поиск_расходки[Индекс13],0)),"")</f>
        <v>Launcher 6F JL 3.5</v>
      </c>
      <c r="AF67" s="4" t="s">
        <v>6</v>
      </c>
      <c r="AG67" s="4" t="s">
        <v>461</v>
      </c>
    </row>
    <row r="68" spans="1:33">
      <c r="A68">
        <v>67</v>
      </c>
      <c r="B68" t="s">
        <v>4</v>
      </c>
      <c r="C68" t="s">
        <v>329</v>
      </c>
      <c r="E68" s="197">
        <f>IF(ISNUMBER(SEARCH('Карта учёта'!$B$13,Расходка[[#This Row],[Наименование расходного материала]])),MAX($E$1:E67)+1,0)</f>
        <v>0</v>
      </c>
      <c r="F68" s="197">
        <f>IF(ISNUMBER(SEARCH('Карта учёта'!$B$14,Расходка[[#This Row],[Наименование расходного материала]])),MAX($F$1:F67)+1,0)</f>
        <v>0</v>
      </c>
      <c r="G68" s="197">
        <f>IF(ISNUMBER(SEARCH('Карта учёта'!$B$15,Расходка[[#This Row],[Наименование расходного материала]])),MAX($G$1:G67)+1,0)</f>
        <v>0</v>
      </c>
      <c r="H68" s="197">
        <f>IF(ISNUMBER(SEARCH('Карта учёта'!$B$16,Расходка[[#This Row],[Наименование расходного материала]])),MAX($H$1:H67)+1,0)</f>
        <v>0</v>
      </c>
      <c r="I68" s="197">
        <f>IF(ISNUMBER(SEARCH('Карта учёта'!$B$17,Расходка[[#This Row],[Наименование расходного материала]])),MAX($I$1:I67)+1,0)</f>
        <v>0</v>
      </c>
      <c r="J68" s="197">
        <f>IF(ISNUMBER(SEARCH('Карта учёта'!$B$18,Расходка[[#This Row],[Наименование расходного материала]])),MAX($J$1:J67)+1,0)</f>
        <v>0</v>
      </c>
      <c r="K68" s="197">
        <f>IF(ISNUMBER(SEARCH('Карта учёта'!$B$19,Расходка[[#This Row],[Наименование расходного материала]])),MAX($K$1:K67)+1,0)</f>
        <v>67</v>
      </c>
      <c r="L68" s="197">
        <f>IF(ISNUMBER(SEARCH('Карта учёта'!$B$20,Расходка[[#This Row],[Наименование расходного материала]])),MAX($L$1:L67)+1,0)</f>
        <v>67</v>
      </c>
      <c r="M68" s="197">
        <f>IF(ISNUMBER(SEARCH('Карта учёта'!$B$21,Расходка[[#This Row],[Наименование расходного материала]])),MAX($M$1:M67)+1,0)</f>
        <v>67</v>
      </c>
      <c r="N68" s="197">
        <f>IF(ISNUMBER(SEARCH('Карта учёта'!$B$22,Расходка[[#This Row],[Наименование расходного материала]])),MAX($N$1:N67)+1,0)</f>
        <v>67</v>
      </c>
      <c r="O68" s="197">
        <f>IF(ISNUMBER(SEARCH('Карта учёта'!$B$23,Расходка[[#This Row],[Наименование расходного материала]])),MAX($O$1:O67)+1,0)</f>
        <v>67</v>
      </c>
      <c r="P68" s="197">
        <f>IF(ISNUMBER(SEARCH('Карта учёта'!$B$24,Расходка[[#This Row],[Наименование расходного материала]])),MAX($P$1:P67)+1,0)</f>
        <v>67</v>
      </c>
      <c r="Q68" s="197">
        <f>IF(ISNUMBER(SEARCH('Карта учёта'!$B$25,Расходка[[#This Row],[Наименование расходного материала]])),MAX($Q$1:Q67)+1,0)</f>
        <v>67</v>
      </c>
      <c r="R68" s="198" t="str">
        <f>IFERROR(INDEX(Расходка[Наименование расходного материала],MATCH(Расходка[[#This Row],[№]],Поиск_расходки[Индекс1],0)),"")</f>
        <v/>
      </c>
      <c r="S68" s="198" t="str">
        <f>IFERROR(INDEX(Расходка[Наименование расходного материала],MATCH(Расходка[[#This Row],[№]],Поиск_расходки[Индекс2],0)),"")</f>
        <v/>
      </c>
      <c r="T68" s="198" t="str">
        <f>IFERROR(INDEX(Расходка[Наименование расходного материала],MATCH(Расходка[[#This Row],[№]],Поиск_расходки[Индекс3],0)),"")</f>
        <v/>
      </c>
      <c r="U68" s="198" t="str">
        <f>IFERROR(INDEX(Расходка[Наименование расходного материала],MATCH(Расходка[[#This Row],[№]],Поиск_расходки[Индекс4],0)),"")</f>
        <v/>
      </c>
      <c r="V68" s="198" t="str">
        <f>IFERROR(INDEX(Расходка[Наименование расходного материала],MATCH(Расходка[[#This Row],[№]],Поиск_расходки[Индекс5],0)),"")</f>
        <v/>
      </c>
      <c r="W68" s="198" t="str">
        <f>IFERROR(INDEX(Расходка[Наименование расходного материала],MATCH(Расходка[[#This Row],[№]],Поиск_расходки[Индекс6],0)),"")</f>
        <v/>
      </c>
      <c r="X68" s="198" t="str">
        <f>IFERROR(INDEX(Расходка[Наименование расходного материала],MATCH(Расходка[[#This Row],[№]],Поиск_расходки[Индекс7],0)),"")</f>
        <v>Launcher 6F JL 4.0</v>
      </c>
      <c r="Y68" s="198" t="str">
        <f>IFERROR(INDEX(Расходка[Наименование расходного материала],MATCH(Расходка[[#This Row],[№]],Поиск_расходки[Индекс8],0)),"")</f>
        <v>Launcher 6F JL 4.0</v>
      </c>
      <c r="Z68" s="198" t="str">
        <f>IFERROR(INDEX(Расходка[Наименование расходного материала],MATCH(Расходка[[#This Row],[№]],Поиск_расходки[Индекс9],0)),"")</f>
        <v>Launcher 6F JL 4.0</v>
      </c>
      <c r="AA68" s="198" t="str">
        <f>IFERROR(INDEX(Расходка[Наименование расходного материала],MATCH(Расходка[[#This Row],[№]],Поиск_расходки[Индекс10],0)),"")</f>
        <v>Launcher 6F JL 4.0</v>
      </c>
      <c r="AB68" s="198" t="str">
        <f>IFERROR(INDEX(Расходка[Наименование расходного материала],MATCH(Расходка[[#This Row],[№]],Поиск_расходки[Индекс11],0)),"")</f>
        <v>Launcher 6F JL 4.0</v>
      </c>
      <c r="AC68" s="198" t="str">
        <f>IFERROR(INDEX(Расходка[Наименование расходного материала],MATCH(Расходка[[#This Row],[№]],Поиск_расходки[Индекс12],0)),"")</f>
        <v>Launcher 6F JL 4.0</v>
      </c>
      <c r="AD68" s="198" t="str">
        <f>IFERROR(INDEX(Расходка[Наименование расходного материала],MATCH(Расходка[[#This Row],[№]],Поиск_расходки[Индекс13],0)),"")</f>
        <v>Launcher 6F JL 4.0</v>
      </c>
      <c r="AF68" s="4" t="s">
        <v>6</v>
      </c>
      <c r="AG68" s="4" t="s">
        <v>462</v>
      </c>
    </row>
    <row r="69" spans="1:33">
      <c r="A69">
        <v>68</v>
      </c>
      <c r="B69" t="s">
        <v>4</v>
      </c>
      <c r="C69" t="s">
        <v>335</v>
      </c>
      <c r="E69" s="197">
        <f>IF(ISNUMBER(SEARCH('Карта учёта'!$B$13,Расходка[[#This Row],[Наименование расходного материала]])),MAX($E$1:E68)+1,0)</f>
        <v>0</v>
      </c>
      <c r="F69" s="197">
        <f>IF(ISNUMBER(SEARCH('Карта учёта'!$B$14,Расходка[[#This Row],[Наименование расходного материала]])),MAX($F$1:F68)+1,0)</f>
        <v>0</v>
      </c>
      <c r="G69" s="197">
        <f>IF(ISNUMBER(SEARCH('Карта учёта'!$B$15,Расходка[[#This Row],[Наименование расходного материала]])),MAX($G$1:G68)+1,0)</f>
        <v>0</v>
      </c>
      <c r="H69" s="197">
        <f>IF(ISNUMBER(SEARCH('Карта учёта'!$B$16,Расходка[[#This Row],[Наименование расходного материала]])),MAX($H$1:H68)+1,0)</f>
        <v>0</v>
      </c>
      <c r="I69" s="197">
        <f>IF(ISNUMBER(SEARCH('Карта учёта'!$B$17,Расходка[[#This Row],[Наименование расходного материала]])),MAX($I$1:I68)+1,0)</f>
        <v>0</v>
      </c>
      <c r="J69" s="197">
        <f>IF(ISNUMBER(SEARCH('Карта учёта'!$B$18,Расходка[[#This Row],[Наименование расходного материала]])),MAX($J$1:J68)+1,0)</f>
        <v>0</v>
      </c>
      <c r="K69" s="197">
        <f>IF(ISNUMBER(SEARCH('Карта учёта'!$B$19,Расходка[[#This Row],[Наименование расходного материала]])),MAX($K$1:K68)+1,0)</f>
        <v>68</v>
      </c>
      <c r="L69" s="197">
        <f>IF(ISNUMBER(SEARCH('Карта учёта'!$B$20,Расходка[[#This Row],[Наименование расходного материала]])),MAX($L$1:L68)+1,0)</f>
        <v>68</v>
      </c>
      <c r="M69" s="197">
        <f>IF(ISNUMBER(SEARCH('Карта учёта'!$B$21,Расходка[[#This Row],[Наименование расходного материала]])),MAX($M$1:M68)+1,0)</f>
        <v>68</v>
      </c>
      <c r="N69" s="197">
        <f>IF(ISNUMBER(SEARCH('Карта учёта'!$B$22,Расходка[[#This Row],[Наименование расходного материала]])),MAX($N$1:N68)+1,0)</f>
        <v>68</v>
      </c>
      <c r="O69" s="197">
        <f>IF(ISNUMBER(SEARCH('Карта учёта'!$B$23,Расходка[[#This Row],[Наименование расходного материала]])),MAX($O$1:O68)+1,0)</f>
        <v>68</v>
      </c>
      <c r="P69" s="197">
        <f>IF(ISNUMBER(SEARCH('Карта учёта'!$B$24,Расходка[[#This Row],[Наименование расходного материала]])),MAX($P$1:P68)+1,0)</f>
        <v>68</v>
      </c>
      <c r="Q69" s="197">
        <f>IF(ISNUMBER(SEARCH('Карта учёта'!$B$25,Расходка[[#This Row],[Наименование расходного материала]])),MAX($Q$1:Q68)+1,0)</f>
        <v>68</v>
      </c>
      <c r="R69" s="198" t="str">
        <f>IFERROR(INDEX(Расходка[Наименование расходного материала],MATCH(Расходка[[#This Row],[№]],Поиск_расходки[Индекс1],0)),"")</f>
        <v/>
      </c>
      <c r="S69" s="198" t="str">
        <f>IFERROR(INDEX(Расходка[Наименование расходного материала],MATCH(Расходка[[#This Row],[№]],Поиск_расходки[Индекс2],0)),"")</f>
        <v/>
      </c>
      <c r="T69" s="198" t="str">
        <f>IFERROR(INDEX(Расходка[Наименование расходного материала],MATCH(Расходка[[#This Row],[№]],Поиск_расходки[Индекс3],0)),"")</f>
        <v/>
      </c>
      <c r="U69" s="198" t="str">
        <f>IFERROR(INDEX(Расходка[Наименование расходного материала],MATCH(Расходка[[#This Row],[№]],Поиск_расходки[Индекс4],0)),"")</f>
        <v/>
      </c>
      <c r="V69" s="198" t="str">
        <f>IFERROR(INDEX(Расходка[Наименование расходного материала],MATCH(Расходка[[#This Row],[№]],Поиск_расходки[Индекс5],0)),"")</f>
        <v/>
      </c>
      <c r="W69" s="198" t="str">
        <f>IFERROR(INDEX(Расходка[Наименование расходного материала],MATCH(Расходка[[#This Row],[№]],Поиск_расходки[Индекс6],0)),"")</f>
        <v/>
      </c>
      <c r="X69" s="198" t="str">
        <f>IFERROR(INDEX(Расходка[Наименование расходного материала],MATCH(Расходка[[#This Row],[№]],Поиск_расходки[Индекс7],0)),"")</f>
        <v>Launcher 6F JL 4.5</v>
      </c>
      <c r="Y69" s="198" t="str">
        <f>IFERROR(INDEX(Расходка[Наименование расходного материала],MATCH(Расходка[[#This Row],[№]],Поиск_расходки[Индекс8],0)),"")</f>
        <v>Launcher 6F JL 4.5</v>
      </c>
      <c r="Z69" s="198" t="str">
        <f>IFERROR(INDEX(Расходка[Наименование расходного материала],MATCH(Расходка[[#This Row],[№]],Поиск_расходки[Индекс9],0)),"")</f>
        <v>Launcher 6F JL 4.5</v>
      </c>
      <c r="AA69" s="198" t="str">
        <f>IFERROR(INDEX(Расходка[Наименование расходного материала],MATCH(Расходка[[#This Row],[№]],Поиск_расходки[Индекс10],0)),"")</f>
        <v>Launcher 6F JL 4.5</v>
      </c>
      <c r="AB69" s="198" t="str">
        <f>IFERROR(INDEX(Расходка[Наименование расходного материала],MATCH(Расходка[[#This Row],[№]],Поиск_расходки[Индекс11],0)),"")</f>
        <v>Launcher 6F JL 4.5</v>
      </c>
      <c r="AC69" s="198" t="str">
        <f>IFERROR(INDEX(Расходка[Наименование расходного материала],MATCH(Расходка[[#This Row],[№]],Поиск_расходки[Индекс12],0)),"")</f>
        <v>Launcher 6F JL 4.5</v>
      </c>
      <c r="AD69" s="198" t="str">
        <f>IFERROR(INDEX(Расходка[Наименование расходного материала],MATCH(Расходка[[#This Row],[№]],Поиск_расходки[Индекс13],0)),"")</f>
        <v>Launcher 6F JL 4.5</v>
      </c>
      <c r="AF69" s="4" t="s">
        <v>6</v>
      </c>
      <c r="AG69" s="4" t="s">
        <v>463</v>
      </c>
    </row>
    <row r="70" spans="1:33">
      <c r="A70">
        <v>69</v>
      </c>
      <c r="B70" t="s">
        <v>4</v>
      </c>
      <c r="C70" t="s">
        <v>330</v>
      </c>
      <c r="E70" s="197">
        <f>IF(ISNUMBER(SEARCH('Карта учёта'!$B$13,Расходка[[#This Row],[Наименование расходного материала]])),MAX($E$1:E69)+1,0)</f>
        <v>0</v>
      </c>
      <c r="F70" s="197">
        <f>IF(ISNUMBER(SEARCH('Карта учёта'!$B$14,Расходка[[#This Row],[Наименование расходного материала]])),MAX($F$1:F69)+1,0)</f>
        <v>1</v>
      </c>
      <c r="G70" s="197">
        <f>IF(ISNUMBER(SEARCH('Карта учёта'!$B$15,Расходка[[#This Row],[Наименование расходного материала]])),MAX($G$1:G69)+1,0)</f>
        <v>0</v>
      </c>
      <c r="H70" s="197">
        <f>IF(ISNUMBER(SEARCH('Карта учёта'!$B$16,Расходка[[#This Row],[Наименование расходного материала]])),MAX($H$1:H69)+1,0)</f>
        <v>0</v>
      </c>
      <c r="I70" s="197">
        <f>IF(ISNUMBER(SEARCH('Карта учёта'!$B$17,Расходка[[#This Row],[Наименование расходного материала]])),MAX($I$1:I69)+1,0)</f>
        <v>0</v>
      </c>
      <c r="J70" s="197">
        <f>IF(ISNUMBER(SEARCH('Карта учёта'!$B$18,Расходка[[#This Row],[Наименование расходного материала]])),MAX($J$1:J69)+1,0)</f>
        <v>0</v>
      </c>
      <c r="K70" s="197">
        <f>IF(ISNUMBER(SEARCH('Карта учёта'!$B$19,Расходка[[#This Row],[Наименование расходного материала]])),MAX($K$1:K69)+1,0)</f>
        <v>69</v>
      </c>
      <c r="L70" s="197">
        <f>IF(ISNUMBER(SEARCH('Карта учёта'!$B$20,Расходка[[#This Row],[Наименование расходного материала]])),MAX($L$1:L69)+1,0)</f>
        <v>69</v>
      </c>
      <c r="M70" s="197">
        <f>IF(ISNUMBER(SEARCH('Карта учёта'!$B$21,Расходка[[#This Row],[Наименование расходного материала]])),MAX($M$1:M69)+1,0)</f>
        <v>69</v>
      </c>
      <c r="N70" s="197">
        <f>IF(ISNUMBER(SEARCH('Карта учёта'!$B$22,Расходка[[#This Row],[Наименование расходного материала]])),MAX($N$1:N69)+1,0)</f>
        <v>69</v>
      </c>
      <c r="O70" s="197">
        <f>IF(ISNUMBER(SEARCH('Карта учёта'!$B$23,Расходка[[#This Row],[Наименование расходного материала]])),MAX($O$1:O69)+1,0)</f>
        <v>69</v>
      </c>
      <c r="P70" s="197">
        <f>IF(ISNUMBER(SEARCH('Карта учёта'!$B$24,Расходка[[#This Row],[Наименование расходного материала]])),MAX($P$1:P69)+1,0)</f>
        <v>69</v>
      </c>
      <c r="Q70" s="197">
        <f>IF(ISNUMBER(SEARCH('Карта учёта'!$B$25,Расходка[[#This Row],[Наименование расходного материала]])),MAX($Q$1:Q69)+1,0)</f>
        <v>69</v>
      </c>
      <c r="R70" s="198" t="str">
        <f>IFERROR(INDEX(Расходка[Наименование расходного материала],MATCH(Расходка[[#This Row],[№]],Поиск_расходки[Индекс1],0)),"")</f>
        <v/>
      </c>
      <c r="S70" s="198" t="str">
        <f>IFERROR(INDEX(Расходка[Наименование расходного материала],MATCH(Расходка[[#This Row],[№]],Поиск_расходки[Индекс2],0)),"")</f>
        <v/>
      </c>
      <c r="T70" s="198" t="str">
        <f>IFERROR(INDEX(Расходка[Наименование расходного материала],MATCH(Расходка[[#This Row],[№]],Поиск_расходки[Индекс3],0)),"")</f>
        <v/>
      </c>
      <c r="U70" s="198" t="str">
        <f>IFERROR(INDEX(Расходка[Наименование расходного материала],MATCH(Расходка[[#This Row],[№]],Поиск_расходки[Индекс4],0)),"")</f>
        <v/>
      </c>
      <c r="V70" s="198" t="str">
        <f>IFERROR(INDEX(Расходка[Наименование расходного материала],MATCH(Расходка[[#This Row],[№]],Поиск_расходки[Индекс5],0)),"")</f>
        <v/>
      </c>
      <c r="W70" s="198" t="str">
        <f>IFERROR(INDEX(Расходка[Наименование расходного материала],MATCH(Расходка[[#This Row],[№]],Поиск_расходки[Индекс6],0)),"")</f>
        <v/>
      </c>
      <c r="X70" s="198" t="str">
        <f>IFERROR(INDEX(Расходка[Наименование расходного материала],MATCH(Расходка[[#This Row],[№]],Поиск_расходки[Индекс7],0)),"")</f>
        <v>Launcher 6F JR 3.5</v>
      </c>
      <c r="Y70" s="198" t="str">
        <f>IFERROR(INDEX(Расходка[Наименование расходного материала],MATCH(Расходка[[#This Row],[№]],Поиск_расходки[Индекс8],0)),"")</f>
        <v>Launcher 6F JR 3.5</v>
      </c>
      <c r="Z70" s="198" t="str">
        <f>IFERROR(INDEX(Расходка[Наименование расходного материала],MATCH(Расходка[[#This Row],[№]],Поиск_расходки[Индекс9],0)),"")</f>
        <v>Launcher 6F JR 3.5</v>
      </c>
      <c r="AA70" s="198" t="str">
        <f>IFERROR(INDEX(Расходка[Наименование расходного материала],MATCH(Расходка[[#This Row],[№]],Поиск_расходки[Индекс10],0)),"")</f>
        <v>Launcher 6F JR 3.5</v>
      </c>
      <c r="AB70" s="198" t="str">
        <f>IFERROR(INDEX(Расходка[Наименование расходного материала],MATCH(Расходка[[#This Row],[№]],Поиск_расходки[Индекс11],0)),"")</f>
        <v>Launcher 6F JR 3.5</v>
      </c>
      <c r="AC70" s="198" t="str">
        <f>IFERROR(INDEX(Расходка[Наименование расходного материала],MATCH(Расходка[[#This Row],[№]],Поиск_расходки[Индекс12],0)),"")</f>
        <v>Launcher 6F JR 3.5</v>
      </c>
      <c r="AD70" s="198" t="str">
        <f>IFERROR(INDEX(Расходка[Наименование расходного материала],MATCH(Расходка[[#This Row],[№]],Поиск_расходки[Индекс13],0)),"")</f>
        <v>Launcher 6F JR 3.5</v>
      </c>
      <c r="AF70" s="4" t="s">
        <v>6</v>
      </c>
      <c r="AG70" s="4" t="s">
        <v>464</v>
      </c>
    </row>
    <row r="71" spans="1:33">
      <c r="A71">
        <v>70</v>
      </c>
      <c r="B71" t="s">
        <v>4</v>
      </c>
      <c r="C71" t="s">
        <v>331</v>
      </c>
      <c r="E71" s="197">
        <f>IF(ISNUMBER(SEARCH('Карта учёта'!$B$13,Расходка[[#This Row],[Наименование расходного материала]])),MAX($E$1:E70)+1,0)</f>
        <v>0</v>
      </c>
      <c r="F71" s="197">
        <f>IF(ISNUMBER(SEARCH('Карта учёта'!$B$14,Расходка[[#This Row],[Наименование расходного материала]])),MAX($F$1:F70)+1,0)</f>
        <v>0</v>
      </c>
      <c r="G71" s="197">
        <f>IF(ISNUMBER(SEARCH('Карта учёта'!$B$15,Расходка[[#This Row],[Наименование расходного материала]])),MAX($G$1:G70)+1,0)</f>
        <v>0</v>
      </c>
      <c r="H71" s="197">
        <f>IF(ISNUMBER(SEARCH('Карта учёта'!$B$16,Расходка[[#This Row],[Наименование расходного материала]])),MAX($H$1:H70)+1,0)</f>
        <v>0</v>
      </c>
      <c r="I71" s="197">
        <f>IF(ISNUMBER(SEARCH('Карта учёта'!$B$17,Расходка[[#This Row],[Наименование расходного материала]])),MAX($I$1:I70)+1,0)</f>
        <v>0</v>
      </c>
      <c r="J71" s="197">
        <f>IF(ISNUMBER(SEARCH('Карта учёта'!$B$18,Расходка[[#This Row],[Наименование расходного материала]])),MAX($J$1:J70)+1,0)</f>
        <v>0</v>
      </c>
      <c r="K71" s="197">
        <f>IF(ISNUMBER(SEARCH('Карта учёта'!$B$19,Расходка[[#This Row],[Наименование расходного материала]])),MAX($K$1:K70)+1,0)</f>
        <v>70</v>
      </c>
      <c r="L71" s="197">
        <f>IF(ISNUMBER(SEARCH('Карта учёта'!$B$20,Расходка[[#This Row],[Наименование расходного материала]])),MAX($L$1:L70)+1,0)</f>
        <v>70</v>
      </c>
      <c r="M71" s="197">
        <f>IF(ISNUMBER(SEARCH('Карта учёта'!$B$21,Расходка[[#This Row],[Наименование расходного материала]])),MAX($M$1:M70)+1,0)</f>
        <v>70</v>
      </c>
      <c r="N71" s="197">
        <f>IF(ISNUMBER(SEARCH('Карта учёта'!$B$22,Расходка[[#This Row],[Наименование расходного материала]])),MAX($N$1:N70)+1,0)</f>
        <v>70</v>
      </c>
      <c r="O71" s="197">
        <f>IF(ISNUMBER(SEARCH('Карта учёта'!$B$23,Расходка[[#This Row],[Наименование расходного материала]])),MAX($O$1:O70)+1,0)</f>
        <v>70</v>
      </c>
      <c r="P71" s="197">
        <f>IF(ISNUMBER(SEARCH('Карта учёта'!$B$24,Расходка[[#This Row],[Наименование расходного материала]])),MAX($P$1:P70)+1,0)</f>
        <v>70</v>
      </c>
      <c r="Q71" s="197">
        <f>IF(ISNUMBER(SEARCH('Карта учёта'!$B$25,Расходка[[#This Row],[Наименование расходного материала]])),MAX($Q$1:Q70)+1,0)</f>
        <v>70</v>
      </c>
      <c r="R71" s="198" t="str">
        <f>IFERROR(INDEX(Расходка[Наименование расходного материала],MATCH(Расходка[[#This Row],[№]],Поиск_расходки[Индекс1],0)),"")</f>
        <v/>
      </c>
      <c r="S71" s="198" t="str">
        <f>IFERROR(INDEX(Расходка[Наименование расходного материала],MATCH(Расходка[[#This Row],[№]],Поиск_расходки[Индекс2],0)),"")</f>
        <v/>
      </c>
      <c r="T71" s="198" t="str">
        <f>IFERROR(INDEX(Расходка[Наименование расходного материала],MATCH(Расходка[[#This Row],[№]],Поиск_расходки[Индекс3],0)),"")</f>
        <v/>
      </c>
      <c r="U71" s="198" t="str">
        <f>IFERROR(INDEX(Расходка[Наименование расходного материала],MATCH(Расходка[[#This Row],[№]],Поиск_расходки[Индекс4],0)),"")</f>
        <v/>
      </c>
      <c r="V71" s="198" t="str">
        <f>IFERROR(INDEX(Расходка[Наименование расходного материала],MATCH(Расходка[[#This Row],[№]],Поиск_расходки[Индекс5],0)),"")</f>
        <v/>
      </c>
      <c r="W71" s="198" t="str">
        <f>IFERROR(INDEX(Расходка[Наименование расходного материала],MATCH(Расходка[[#This Row],[№]],Поиск_расходки[Индекс6],0)),"")</f>
        <v/>
      </c>
      <c r="X71" s="198" t="str">
        <f>IFERROR(INDEX(Расходка[Наименование расходного материала],MATCH(Расходка[[#This Row],[№]],Поиск_расходки[Индекс7],0)),"")</f>
        <v>Launcher 6F JR 4.0</v>
      </c>
      <c r="Y71" s="198" t="str">
        <f>IFERROR(INDEX(Расходка[Наименование расходного материала],MATCH(Расходка[[#This Row],[№]],Поиск_расходки[Индекс8],0)),"")</f>
        <v>Launcher 6F JR 4.0</v>
      </c>
      <c r="Z71" s="198" t="str">
        <f>IFERROR(INDEX(Расходка[Наименование расходного материала],MATCH(Расходка[[#This Row],[№]],Поиск_расходки[Индекс9],0)),"")</f>
        <v>Launcher 6F JR 4.0</v>
      </c>
      <c r="AA71" s="198" t="str">
        <f>IFERROR(INDEX(Расходка[Наименование расходного материала],MATCH(Расходка[[#This Row],[№]],Поиск_расходки[Индекс10],0)),"")</f>
        <v>Launcher 6F JR 4.0</v>
      </c>
      <c r="AB71" s="198" t="str">
        <f>IFERROR(INDEX(Расходка[Наименование расходного материала],MATCH(Расходка[[#This Row],[№]],Поиск_расходки[Индекс11],0)),"")</f>
        <v>Launcher 6F JR 4.0</v>
      </c>
      <c r="AC71" s="198" t="str">
        <f>IFERROR(INDEX(Расходка[Наименование расходного материала],MATCH(Расходка[[#This Row],[№]],Поиск_расходки[Индекс12],0)),"")</f>
        <v>Launcher 6F JR 4.0</v>
      </c>
      <c r="AD71" s="198" t="str">
        <f>IFERROR(INDEX(Расходка[Наименование расходного материала],MATCH(Расходка[[#This Row],[№]],Поиск_расходки[Индекс13],0)),"")</f>
        <v>Launcher 6F JR 4.0</v>
      </c>
      <c r="AF71" s="4" t="s">
        <v>6</v>
      </c>
      <c r="AG71" s="4" t="s">
        <v>419</v>
      </c>
    </row>
    <row r="72" spans="1:33">
      <c r="A72">
        <v>71</v>
      </c>
      <c r="B72" t="s">
        <v>4</v>
      </c>
      <c r="C72" t="s">
        <v>341</v>
      </c>
      <c r="E72" s="197">
        <f>IF(ISNUMBER(SEARCH('Карта учёта'!$B$13,Расходка[[#This Row],[Наименование расходного материала]])),MAX($E$1:E71)+1,0)</f>
        <v>0</v>
      </c>
      <c r="F72" s="197">
        <f>IF(ISNUMBER(SEARCH('Карта учёта'!$B$14,Расходка[[#This Row],[Наименование расходного материала]])),MAX($F$1:F71)+1,0)</f>
        <v>0</v>
      </c>
      <c r="G72" s="197">
        <f>IF(ISNUMBER(SEARCH('Карта учёта'!$B$15,Расходка[[#This Row],[Наименование расходного материала]])),MAX($G$1:G71)+1,0)</f>
        <v>0</v>
      </c>
      <c r="H72" s="197">
        <f>IF(ISNUMBER(SEARCH('Карта учёта'!$B$16,Расходка[[#This Row],[Наименование расходного материала]])),MAX($H$1:H71)+1,0)</f>
        <v>0</v>
      </c>
      <c r="I72" s="197">
        <f>IF(ISNUMBER(SEARCH('Карта учёта'!$B$17,Расходка[[#This Row],[Наименование расходного материала]])),MAX($I$1:I71)+1,0)</f>
        <v>0</v>
      </c>
      <c r="J72" s="197">
        <f>IF(ISNUMBER(SEARCH('Карта учёта'!$B$18,Расходка[[#This Row],[Наименование расходного материала]])),MAX($J$1:J71)+1,0)</f>
        <v>0</v>
      </c>
      <c r="K72" s="197">
        <f>IF(ISNUMBER(SEARCH('Карта учёта'!$B$19,Расходка[[#This Row],[Наименование расходного материала]])),MAX($K$1:K71)+1,0)</f>
        <v>71</v>
      </c>
      <c r="L72" s="197">
        <f>IF(ISNUMBER(SEARCH('Карта учёта'!$B$20,Расходка[[#This Row],[Наименование расходного материала]])),MAX($L$1:L71)+1,0)</f>
        <v>71</v>
      </c>
      <c r="M72" s="197">
        <f>IF(ISNUMBER(SEARCH('Карта учёта'!$B$21,Расходка[[#This Row],[Наименование расходного материала]])),MAX($M$1:M71)+1,0)</f>
        <v>71</v>
      </c>
      <c r="N72" s="197">
        <f>IF(ISNUMBER(SEARCH('Карта учёта'!$B$22,Расходка[[#This Row],[Наименование расходного материала]])),MAX($N$1:N71)+1,0)</f>
        <v>71</v>
      </c>
      <c r="O72" s="197">
        <f>IF(ISNUMBER(SEARCH('Карта учёта'!$B$23,Расходка[[#This Row],[Наименование расходного материала]])),MAX($O$1:O71)+1,0)</f>
        <v>71</v>
      </c>
      <c r="P72" s="197">
        <f>IF(ISNUMBER(SEARCH('Карта учёта'!$B$24,Расходка[[#This Row],[Наименование расходного материала]])),MAX($P$1:P71)+1,0)</f>
        <v>71</v>
      </c>
      <c r="Q72" s="197">
        <f>IF(ISNUMBER(SEARCH('Карта учёта'!$B$25,Расходка[[#This Row],[Наименование расходного материала]])),MAX($Q$1:Q71)+1,0)</f>
        <v>71</v>
      </c>
      <c r="R72" s="198" t="str">
        <f>IFERROR(INDEX(Расходка[Наименование расходного материала],MATCH(Расходка[[#This Row],[№]],Поиск_расходки[Индекс1],0)),"")</f>
        <v/>
      </c>
      <c r="S72" s="198" t="str">
        <f>IFERROR(INDEX(Расходка[Наименование расходного материала],MATCH(Расходка[[#This Row],[№]],Поиск_расходки[Индекс2],0)),"")</f>
        <v/>
      </c>
      <c r="T72" s="198" t="str">
        <f>IFERROR(INDEX(Расходка[Наименование расходного материала],MATCH(Расходка[[#This Row],[№]],Поиск_расходки[Индекс3],0)),"")</f>
        <v/>
      </c>
      <c r="U72" s="198" t="str">
        <f>IFERROR(INDEX(Расходка[Наименование расходного материала],MATCH(Расходка[[#This Row],[№]],Поиск_расходки[Индекс4],0)),"")</f>
        <v/>
      </c>
      <c r="V72" s="198" t="str">
        <f>IFERROR(INDEX(Расходка[Наименование расходного материала],MATCH(Расходка[[#This Row],[№]],Поиск_расходки[Индекс5],0)),"")</f>
        <v/>
      </c>
      <c r="W72" s="198" t="str">
        <f>IFERROR(INDEX(Расходка[Наименование расходного материала],MATCH(Расходка[[#This Row],[№]],Поиск_расходки[Индекс6],0)),"")</f>
        <v/>
      </c>
      <c r="X72" s="198" t="str">
        <f>IFERROR(INDEX(Расходка[Наименование расходного материала],MATCH(Расходка[[#This Row],[№]],Поиск_расходки[Индекс7],0)),"")</f>
        <v>Launcher 7F JL 3.5</v>
      </c>
      <c r="Y72" s="198" t="str">
        <f>IFERROR(INDEX(Расходка[Наименование расходного материала],MATCH(Расходка[[#This Row],[№]],Поиск_расходки[Индекс8],0)),"")</f>
        <v>Launcher 7F JL 3.5</v>
      </c>
      <c r="Z72" s="198" t="str">
        <f>IFERROR(INDEX(Расходка[Наименование расходного материала],MATCH(Расходка[[#This Row],[№]],Поиск_расходки[Индекс9],0)),"")</f>
        <v>Launcher 7F JL 3.5</v>
      </c>
      <c r="AA72" s="198" t="str">
        <f>IFERROR(INDEX(Расходка[Наименование расходного материала],MATCH(Расходка[[#This Row],[№]],Поиск_расходки[Индекс10],0)),"")</f>
        <v>Launcher 7F JL 3.5</v>
      </c>
      <c r="AB72" s="198" t="str">
        <f>IFERROR(INDEX(Расходка[Наименование расходного материала],MATCH(Расходка[[#This Row],[№]],Поиск_расходки[Индекс11],0)),"")</f>
        <v>Launcher 7F JL 3.5</v>
      </c>
      <c r="AC72" s="198" t="str">
        <f>IFERROR(INDEX(Расходка[Наименование расходного материала],MATCH(Расходка[[#This Row],[№]],Поиск_расходки[Индекс12],0)),"")</f>
        <v>Launcher 7F JL 3.5</v>
      </c>
      <c r="AD72" s="198" t="str">
        <f>IFERROR(INDEX(Расходка[Наименование расходного материала],MATCH(Расходка[[#This Row],[№]],Поиск_расходки[Индекс13],0)),"")</f>
        <v>Launcher 7F JL 3.5</v>
      </c>
      <c r="AF72" s="4" t="s">
        <v>6</v>
      </c>
      <c r="AG72" s="4" t="s">
        <v>465</v>
      </c>
    </row>
    <row r="73" spans="1:33">
      <c r="A73">
        <v>72</v>
      </c>
      <c r="B73" t="s">
        <v>4</v>
      </c>
      <c r="C73" t="s">
        <v>340</v>
      </c>
      <c r="E73" s="197">
        <f>IF(ISNUMBER(SEARCH('Карта учёта'!$B$13,Расходка[[#This Row],[Наименование расходного материала]])),MAX($E$1:E72)+1,0)</f>
        <v>0</v>
      </c>
      <c r="F73" s="197">
        <f>IF(ISNUMBER(SEARCH('Карта учёта'!$B$14,Расходка[[#This Row],[Наименование расходного материала]])),MAX($F$1:F72)+1,0)</f>
        <v>0</v>
      </c>
      <c r="G73" s="197">
        <f>IF(ISNUMBER(SEARCH('Карта учёта'!$B$15,Расходка[[#This Row],[Наименование расходного материала]])),MAX($G$1:G72)+1,0)</f>
        <v>0</v>
      </c>
      <c r="H73" s="197">
        <f>IF(ISNUMBER(SEARCH('Карта учёта'!$B$16,Расходка[[#This Row],[Наименование расходного материала]])),MAX($H$1:H72)+1,0)</f>
        <v>0</v>
      </c>
      <c r="I73" s="197">
        <f>IF(ISNUMBER(SEARCH('Карта учёта'!$B$17,Расходка[[#This Row],[Наименование расходного материала]])),MAX($I$1:I72)+1,0)</f>
        <v>0</v>
      </c>
      <c r="J73" s="197">
        <f>IF(ISNUMBER(SEARCH('Карта учёта'!$B$18,Расходка[[#This Row],[Наименование расходного материала]])),MAX($J$1:J72)+1,0)</f>
        <v>0</v>
      </c>
      <c r="K73" s="197">
        <f>IF(ISNUMBER(SEARCH('Карта учёта'!$B$19,Расходка[[#This Row],[Наименование расходного материала]])),MAX($K$1:K72)+1,0)</f>
        <v>72</v>
      </c>
      <c r="L73" s="197">
        <f>IF(ISNUMBER(SEARCH('Карта учёта'!$B$20,Расходка[[#This Row],[Наименование расходного материала]])),MAX($L$1:L72)+1,0)</f>
        <v>72</v>
      </c>
      <c r="M73" s="197">
        <f>IF(ISNUMBER(SEARCH('Карта учёта'!$B$21,Расходка[[#This Row],[Наименование расходного материала]])),MAX($M$1:M72)+1,0)</f>
        <v>72</v>
      </c>
      <c r="N73" s="197">
        <f>IF(ISNUMBER(SEARCH('Карта учёта'!$B$22,Расходка[[#This Row],[Наименование расходного материала]])),MAX($N$1:N72)+1,0)</f>
        <v>72</v>
      </c>
      <c r="O73" s="197">
        <f>IF(ISNUMBER(SEARCH('Карта учёта'!$B$23,Расходка[[#This Row],[Наименование расходного материала]])),MAX($O$1:O72)+1,0)</f>
        <v>72</v>
      </c>
      <c r="P73" s="197">
        <f>IF(ISNUMBER(SEARCH('Карта учёта'!$B$24,Расходка[[#This Row],[Наименование расходного материала]])),MAX($P$1:P72)+1,0)</f>
        <v>72</v>
      </c>
      <c r="Q73" s="197">
        <f>IF(ISNUMBER(SEARCH('Карта учёта'!$B$25,Расходка[[#This Row],[Наименование расходного материала]])),MAX($Q$1:Q72)+1,0)</f>
        <v>72</v>
      </c>
      <c r="R73" s="198" t="str">
        <f>IFERROR(INDEX(Расходка[Наименование расходного материала],MATCH(Расходка[[#This Row],[№]],Поиск_расходки[Индекс1],0)),"")</f>
        <v/>
      </c>
      <c r="S73" s="198" t="str">
        <f>IFERROR(INDEX(Расходка[Наименование расходного материала],MATCH(Расходка[[#This Row],[№]],Поиск_расходки[Индекс2],0)),"")</f>
        <v/>
      </c>
      <c r="T73" s="198" t="str">
        <f>IFERROR(INDEX(Расходка[Наименование расходного материала],MATCH(Расходка[[#This Row],[№]],Поиск_расходки[Индекс3],0)),"")</f>
        <v/>
      </c>
      <c r="U73" s="198" t="str">
        <f>IFERROR(INDEX(Расходка[Наименование расходного материала],MATCH(Расходка[[#This Row],[№]],Поиск_расходки[Индекс4],0)),"")</f>
        <v/>
      </c>
      <c r="V73" s="198" t="str">
        <f>IFERROR(INDEX(Расходка[Наименование расходного материала],MATCH(Расходка[[#This Row],[№]],Поиск_расходки[Индекс5],0)),"")</f>
        <v/>
      </c>
      <c r="W73" s="198" t="str">
        <f>IFERROR(INDEX(Расходка[Наименование расходного материала],MATCH(Расходка[[#This Row],[№]],Поиск_расходки[Индекс6],0)),"")</f>
        <v/>
      </c>
      <c r="X73" s="198" t="str">
        <f>IFERROR(INDEX(Расходка[Наименование расходного материала],MATCH(Расходка[[#This Row],[№]],Поиск_расходки[Индекс7],0)),"")</f>
        <v>Launcher 7F JL 4.0</v>
      </c>
      <c r="Y73" s="198" t="str">
        <f>IFERROR(INDEX(Расходка[Наименование расходного материала],MATCH(Расходка[[#This Row],[№]],Поиск_расходки[Индекс8],0)),"")</f>
        <v>Launcher 7F JL 4.0</v>
      </c>
      <c r="Z73" s="198" t="str">
        <f>IFERROR(INDEX(Расходка[Наименование расходного материала],MATCH(Расходка[[#This Row],[№]],Поиск_расходки[Индекс9],0)),"")</f>
        <v>Launcher 7F JL 4.0</v>
      </c>
      <c r="AA73" s="198" t="str">
        <f>IFERROR(INDEX(Расходка[Наименование расходного материала],MATCH(Расходка[[#This Row],[№]],Поиск_расходки[Индекс10],0)),"")</f>
        <v>Launcher 7F JL 4.0</v>
      </c>
      <c r="AB73" s="198" t="str">
        <f>IFERROR(INDEX(Расходка[Наименование расходного материала],MATCH(Расходка[[#This Row],[№]],Поиск_расходки[Индекс11],0)),"")</f>
        <v>Launcher 7F JL 4.0</v>
      </c>
      <c r="AC73" s="198" t="str">
        <f>IFERROR(INDEX(Расходка[Наименование расходного материала],MATCH(Расходка[[#This Row],[№]],Поиск_расходки[Индекс12],0)),"")</f>
        <v>Launcher 7F JL 4.0</v>
      </c>
      <c r="AD73" s="198" t="str">
        <f>IFERROR(INDEX(Расходка[Наименование расходного материала],MATCH(Расходка[[#This Row],[№]],Поиск_расходки[Индекс13],0)),"")</f>
        <v>Launcher 7F JL 4.0</v>
      </c>
      <c r="AF73" s="4" t="s">
        <v>6</v>
      </c>
      <c r="AG73" s="4" t="s">
        <v>420</v>
      </c>
    </row>
    <row r="74" spans="1:33">
      <c r="A74">
        <v>73</v>
      </c>
      <c r="B74" t="s">
        <v>301</v>
      </c>
      <c r="C74" s="1" t="s">
        <v>332</v>
      </c>
      <c r="E74" s="197">
        <f>IF(ISNUMBER(SEARCH('Карта учёта'!$B$13,Расходка[[#This Row],[Наименование расходного материала]])),MAX($E$1:E73)+1,0)</f>
        <v>0</v>
      </c>
      <c r="F74" s="197">
        <f>IF(ISNUMBER(SEARCH('Карта учёта'!$B$14,Расходка[[#This Row],[Наименование расходного материала]])),MAX($F$1:F73)+1,0)</f>
        <v>0</v>
      </c>
      <c r="G74" s="197">
        <f>IF(ISNUMBER(SEARCH('Карта учёта'!$B$15,Расходка[[#This Row],[Наименование расходного материала]])),MAX($G$1:G73)+1,0)</f>
        <v>0</v>
      </c>
      <c r="H74" s="197">
        <f>IF(ISNUMBER(SEARCH('Карта учёта'!$B$16,Расходка[[#This Row],[Наименование расходного материала]])),MAX($H$1:H73)+1,0)</f>
        <v>0</v>
      </c>
      <c r="I74" s="197">
        <f>IF(ISNUMBER(SEARCH('Карта учёта'!$B$17,Расходка[[#This Row],[Наименование расходного материала]])),MAX($I$1:I73)+1,0)</f>
        <v>0</v>
      </c>
      <c r="J74" s="197">
        <f>IF(ISNUMBER(SEARCH('Карта учёта'!$B$18,Расходка[[#This Row],[Наименование расходного материала]])),MAX($J$1:J73)+1,0)</f>
        <v>0</v>
      </c>
      <c r="K74" s="197">
        <f>IF(ISNUMBER(SEARCH('Карта учёта'!$B$19,Расходка[[#This Row],[Наименование расходного материала]])),MAX($K$1:K73)+1,0)</f>
        <v>73</v>
      </c>
      <c r="L74" s="197">
        <f>IF(ISNUMBER(SEARCH('Карта учёта'!$B$20,Расходка[[#This Row],[Наименование расходного материала]])),MAX($L$1:L73)+1,0)</f>
        <v>73</v>
      </c>
      <c r="M74" s="197">
        <f>IF(ISNUMBER(SEARCH('Карта учёта'!$B$21,Расходка[[#This Row],[Наименование расходного материала]])),MAX($M$1:M73)+1,0)</f>
        <v>73</v>
      </c>
      <c r="N74" s="197">
        <f>IF(ISNUMBER(SEARCH('Карта учёта'!$B$22,Расходка[[#This Row],[Наименование расходного материала]])),MAX($N$1:N73)+1,0)</f>
        <v>73</v>
      </c>
      <c r="O74" s="197">
        <f>IF(ISNUMBER(SEARCH('Карта учёта'!$B$23,Расходка[[#This Row],[Наименование расходного материала]])),MAX($O$1:O73)+1,0)</f>
        <v>73</v>
      </c>
      <c r="P74" s="197">
        <f>IF(ISNUMBER(SEARCH('Карта учёта'!$B$24,Расходка[[#This Row],[Наименование расходного материала]])),MAX($P$1:P73)+1,0)</f>
        <v>73</v>
      </c>
      <c r="Q74" s="197">
        <f>IF(ISNUMBER(SEARCH('Карта учёта'!$B$25,Расходка[[#This Row],[Наименование расходного материала]])),MAX($Q$1:Q73)+1,0)</f>
        <v>73</v>
      </c>
      <c r="R74" s="198" t="str">
        <f>IFERROR(INDEX(Расходка[Наименование расходного материала],MATCH(Расходка[[#This Row],[№]],Поиск_расходки[Индекс1],0)),"")</f>
        <v/>
      </c>
      <c r="S74" s="198" t="str">
        <f>IFERROR(INDEX(Расходка[Наименование расходного материала],MATCH(Расходка[[#This Row],[№]],Поиск_расходки[Индекс2],0)),"")</f>
        <v/>
      </c>
      <c r="T74" s="198" t="str">
        <f>IFERROR(INDEX(Расходка[Наименование расходного материала],MATCH(Расходка[[#This Row],[№]],Поиск_расходки[Индекс3],0)),"")</f>
        <v/>
      </c>
      <c r="U74" s="198" t="str">
        <f>IFERROR(INDEX(Расходка[Наименование расходного материала],MATCH(Расходка[[#This Row],[№]],Поиск_расходки[Индекс4],0)),"")</f>
        <v/>
      </c>
      <c r="V74" s="198" t="str">
        <f>IFERROR(INDEX(Расходка[Наименование расходного материала],MATCH(Расходка[[#This Row],[№]],Поиск_расходки[Индекс5],0)),"")</f>
        <v/>
      </c>
      <c r="W74" s="198" t="str">
        <f>IFERROR(INDEX(Расходка[Наименование расходного материала],MATCH(Расходка[[#This Row],[№]],Поиск_расходки[Индекс6],0)),"")</f>
        <v/>
      </c>
      <c r="X74" s="198" t="str">
        <f>IFERROR(INDEX(Расходка[Наименование расходного материала],MATCH(Расходка[[#This Row],[№]],Поиск_расходки[Индекс7],0)),"")</f>
        <v>Angio-Seal™ VIP</v>
      </c>
      <c r="Y74" s="198" t="str">
        <f>IFERROR(INDEX(Расходка[Наименование расходного материала],MATCH(Расходка[[#This Row],[№]],Поиск_расходки[Индекс8],0)),"")</f>
        <v>Angio-Seal™ VIP</v>
      </c>
      <c r="Z74" s="198" t="str">
        <f>IFERROR(INDEX(Расходка[Наименование расходного материала],MATCH(Расходка[[#This Row],[№]],Поиск_расходки[Индекс9],0)),"")</f>
        <v>Angio-Seal™ VIP</v>
      </c>
      <c r="AA74" s="198" t="str">
        <f>IFERROR(INDEX(Расходка[Наименование расходного материала],MATCH(Расходка[[#This Row],[№]],Поиск_расходки[Индекс10],0)),"")</f>
        <v>Angio-Seal™ VIP</v>
      </c>
      <c r="AB74" s="198" t="str">
        <f>IFERROR(INDEX(Расходка[Наименование расходного материала],MATCH(Расходка[[#This Row],[№]],Поиск_расходки[Индекс11],0)),"")</f>
        <v>Angio-Seal™ VIP</v>
      </c>
      <c r="AC74" s="198" t="str">
        <f>IFERROR(INDEX(Расходка[Наименование расходного материала],MATCH(Расходка[[#This Row],[№]],Поиск_расходки[Индекс12],0)),"")</f>
        <v>Angio-Seal™ VIP</v>
      </c>
      <c r="AD74" s="198" t="str">
        <f>IFERROR(INDEX(Расходка[Наименование расходного материала],MATCH(Расходка[[#This Row],[№]],Поиск_расходки[Индекс13],0)),"")</f>
        <v>Angio-Seal™ VIP</v>
      </c>
      <c r="AF74" s="4" t="s">
        <v>6</v>
      </c>
      <c r="AG74" s="4" t="s">
        <v>466</v>
      </c>
    </row>
    <row r="75" spans="1:33">
      <c r="E75" s="197">
        <f>IF(ISNUMBER(SEARCH('Карта учёта'!$B$13,Расходка[[#This Row],[Наименование расходного материала]])),MAX($E$1:E74)+1,0)</f>
        <v>0</v>
      </c>
      <c r="F75" s="197">
        <f>IF(ISNUMBER(SEARCH('Карта учёта'!$B$14,Расходка[[#This Row],[Наименование расходного материала]])),MAX($F$1:F74)+1,0)</f>
        <v>0</v>
      </c>
      <c r="G75" s="197">
        <f>IF(ISNUMBER(SEARCH('Карта учёта'!$B$15,Расходка[[#This Row],[Наименование расходного материала]])),MAX($G$1:G74)+1,0)</f>
        <v>0</v>
      </c>
      <c r="H75" s="197">
        <f>IF(ISNUMBER(SEARCH('Карта учёта'!$B$16,Расходка[[#This Row],[Наименование расходного материала]])),MAX($H$1:H74)+1,0)</f>
        <v>0</v>
      </c>
      <c r="I75" s="197">
        <f>IF(ISNUMBER(SEARCH('Карта учёта'!$B$17,Расходка[[#This Row],[Наименование расходного материала]])),MAX($I$1:I74)+1,0)</f>
        <v>0</v>
      </c>
      <c r="J75" s="197">
        <f>IF(ISNUMBER(SEARCH('Карта учёта'!$B$18,Расходка[[#This Row],[Наименование расходного материала]])),MAX($J$1:J74)+1,0)</f>
        <v>0</v>
      </c>
      <c r="K75" s="197">
        <f>IF(ISNUMBER(SEARCH('Карта учёта'!$B$19,Расходка[[#This Row],[Наименование расходного материала]])),MAX($K$1:K74)+1,0)</f>
        <v>0</v>
      </c>
      <c r="L75" s="197">
        <f>IF(ISNUMBER(SEARCH('Карта учёта'!$B$20,Расходка[[#This Row],[Наименование расходного материала]])),MAX($L$1:L74)+1,0)</f>
        <v>0</v>
      </c>
      <c r="M75" s="197">
        <f>IF(ISNUMBER(SEARCH('Карта учёта'!$B$21,Расходка[[#This Row],[Наименование расходного материала]])),MAX($M$1:M74)+1,0)</f>
        <v>0</v>
      </c>
      <c r="N75" s="197">
        <f>IF(ISNUMBER(SEARCH('Карта учёта'!$B$22,Расходка[[#This Row],[Наименование расходного материала]])),MAX($N$1:N74)+1,0)</f>
        <v>0</v>
      </c>
      <c r="O75" s="197">
        <f>IF(ISNUMBER(SEARCH('Карта учёта'!$B$23,Расходка[[#This Row],[Наименование расходного материала]])),MAX($O$1:O74)+1,0)</f>
        <v>0</v>
      </c>
      <c r="P75" s="197">
        <f>IF(ISNUMBER(SEARCH('Карта учёта'!$B$24,Расходка[[#This Row],[Наименование расходного материала]])),MAX($P$1:P74)+1,0)</f>
        <v>0</v>
      </c>
      <c r="Q75" s="197">
        <f>IF(ISNUMBER(SEARCH('Карта учёта'!$B$25,Расходка[[#This Row],[Наименование расходного материала]])),MAX($Q$1:Q74)+1,0)</f>
        <v>0</v>
      </c>
      <c r="R75" s="198" t="str">
        <f>IFERROR(INDEX(Расходка[Наименование расходного материала],MATCH(Расходка[[#This Row],[№]],Поиск_расходки[Индекс1],0)),"")</f>
        <v/>
      </c>
      <c r="S75" s="198" t="str">
        <f>IFERROR(INDEX(Расходка[Наименование расходного материала],MATCH(Расходка[[#This Row],[№]],Поиск_расходки[Индекс2],0)),"")</f>
        <v/>
      </c>
      <c r="T75" s="198" t="str">
        <f>IFERROR(INDEX(Расходка[Наименование расходного материала],MATCH(Расходка[[#This Row],[№]],Поиск_расходки[Индекс3],0)),"")</f>
        <v/>
      </c>
      <c r="U75" s="198" t="str">
        <f>IFERROR(INDEX(Расходка[Наименование расходного материала],MATCH(Расходка[[#This Row],[№]],Поиск_расходки[Индекс4],0)),"")</f>
        <v/>
      </c>
      <c r="V75" s="198" t="str">
        <f>IFERROR(INDEX(Расходка[Наименование расходного материала],MATCH(Расходка[[#This Row],[№]],Поиск_расходки[Индекс5],0)),"")</f>
        <v/>
      </c>
      <c r="W75" s="198" t="str">
        <f>IFERROR(INDEX(Расходка[Наименование расходного материала],MATCH(Расходка[[#This Row],[№]],Поиск_расходки[Индекс6],0)),"")</f>
        <v/>
      </c>
      <c r="X75" s="198" t="str">
        <f>IFERROR(INDEX(Расходка[Наименование расходного материала],MATCH(Расходка[[#This Row],[№]],Поиск_расходки[Индекс7],0)),"")</f>
        <v/>
      </c>
      <c r="Y75" s="198" t="str">
        <f>IFERROR(INDEX(Расходка[Наименование расходного материала],MATCH(Расходка[[#This Row],[№]],Поиск_расходки[Индекс8],0)),"")</f>
        <v/>
      </c>
      <c r="Z75" s="198" t="str">
        <f>IFERROR(INDEX(Расходка[Наименование расходного материала],MATCH(Расходка[[#This Row],[№]],Поиск_расходки[Индекс9],0)),"")</f>
        <v/>
      </c>
      <c r="AA75" s="198" t="str">
        <f>IFERROR(INDEX(Расходка[Наименование расходного материала],MATCH(Расходка[[#This Row],[№]],Поиск_расходки[Индекс10],0)),"")</f>
        <v/>
      </c>
      <c r="AB75" s="198" t="str">
        <f>IFERROR(INDEX(Расходка[Наименование расходного материала],MATCH(Расходка[[#This Row],[№]],Поиск_расходки[Индекс11],0)),"")</f>
        <v/>
      </c>
      <c r="AC75" s="198" t="str">
        <f>IFERROR(INDEX(Расходка[Наименование расходного материала],MATCH(Расходка[[#This Row],[№]],Поиск_расходки[Индекс12],0)),"")</f>
        <v/>
      </c>
      <c r="AD75" s="198" t="str">
        <f>IFERROR(INDEX(Расходка[Наименование расходного материала],MATCH(Расходка[[#This Row],[№]],Поиск_расходки[Индекс13],0)),"")</f>
        <v/>
      </c>
      <c r="AF75" s="4" t="s">
        <v>6</v>
      </c>
      <c r="AG75" s="4" t="s">
        <v>467</v>
      </c>
    </row>
    <row r="76" spans="1:33">
      <c r="E76" s="197">
        <f>IF(ISNUMBER(SEARCH('Карта учёта'!$B$13,Расходка[[#This Row],[Наименование расходного материала]])),MAX($E$1:E75)+1,0)</f>
        <v>0</v>
      </c>
      <c r="F76" s="197">
        <f>IF(ISNUMBER(SEARCH('Карта учёта'!$B$14,Расходка[[#This Row],[Наименование расходного материала]])),MAX($F$1:F75)+1,0)</f>
        <v>0</v>
      </c>
      <c r="G76" s="197">
        <f>IF(ISNUMBER(SEARCH('Карта учёта'!$B$15,Расходка[[#This Row],[Наименование расходного материала]])),MAX($G$1:G75)+1,0)</f>
        <v>0</v>
      </c>
      <c r="H76" s="197">
        <f>IF(ISNUMBER(SEARCH('Карта учёта'!$B$16,Расходка[[#This Row],[Наименование расходного материала]])),MAX($H$1:H75)+1,0)</f>
        <v>0</v>
      </c>
      <c r="I76" s="197">
        <f>IF(ISNUMBER(SEARCH('Карта учёта'!$B$17,Расходка[[#This Row],[Наименование расходного материала]])),MAX($I$1:I75)+1,0)</f>
        <v>0</v>
      </c>
      <c r="J76" s="197">
        <f>IF(ISNUMBER(SEARCH('Карта учёта'!$B$18,Расходка[[#This Row],[Наименование расходного материала]])),MAX($J$1:J75)+1,0)</f>
        <v>0</v>
      </c>
      <c r="K76" s="197">
        <f>IF(ISNUMBER(SEARCH('Карта учёта'!$B$19,Расходка[[#This Row],[Наименование расходного материала]])),MAX($K$1:K75)+1,0)</f>
        <v>0</v>
      </c>
      <c r="L76" s="197">
        <f>IF(ISNUMBER(SEARCH('Карта учёта'!$B$20,Расходка[[#This Row],[Наименование расходного материала]])),MAX($L$1:L75)+1,0)</f>
        <v>0</v>
      </c>
      <c r="M76" s="197">
        <f>IF(ISNUMBER(SEARCH('Карта учёта'!$B$21,Расходка[[#This Row],[Наименование расходного материала]])),MAX($M$1:M75)+1,0)</f>
        <v>0</v>
      </c>
      <c r="N76" s="197">
        <f>IF(ISNUMBER(SEARCH('Карта учёта'!$B$22,Расходка[[#This Row],[Наименование расходного материала]])),MAX($N$1:N75)+1,0)</f>
        <v>0</v>
      </c>
      <c r="O76" s="197">
        <f>IF(ISNUMBER(SEARCH('Карта учёта'!$B$23,Расходка[[#This Row],[Наименование расходного материала]])),MAX($O$1:O75)+1,0)</f>
        <v>0</v>
      </c>
      <c r="P76" s="197">
        <f>IF(ISNUMBER(SEARCH('Карта учёта'!$B$24,Расходка[[#This Row],[Наименование расходного материала]])),MAX($P$1:P75)+1,0)</f>
        <v>0</v>
      </c>
      <c r="Q76" s="197">
        <f>IF(ISNUMBER(SEARCH('Карта учёта'!$B$25,Расходка[[#This Row],[Наименование расходного материала]])),MAX($Q$1:Q75)+1,0)</f>
        <v>0</v>
      </c>
      <c r="R76" s="198" t="str">
        <f>IFERROR(INDEX(Расходка[Наименование расходного материала],MATCH(Расходка[[#This Row],[№]],Поиск_расходки[Индекс1],0)),"")</f>
        <v/>
      </c>
      <c r="S76" s="198" t="str">
        <f>IFERROR(INDEX(Расходка[Наименование расходного материала],MATCH(Расходка[[#This Row],[№]],Поиск_расходки[Индекс2],0)),"")</f>
        <v/>
      </c>
      <c r="T76" s="198" t="str">
        <f>IFERROR(INDEX(Расходка[Наименование расходного материала],MATCH(Расходка[[#This Row],[№]],Поиск_расходки[Индекс3],0)),"")</f>
        <v/>
      </c>
      <c r="U76" s="198" t="str">
        <f>IFERROR(INDEX(Расходка[Наименование расходного материала],MATCH(Расходка[[#This Row],[№]],Поиск_расходки[Индекс4],0)),"")</f>
        <v/>
      </c>
      <c r="V76" s="198" t="str">
        <f>IFERROR(INDEX(Расходка[Наименование расходного материала],MATCH(Расходка[[#This Row],[№]],Поиск_расходки[Индекс5],0)),"")</f>
        <v/>
      </c>
      <c r="W76" s="198" t="str">
        <f>IFERROR(INDEX(Расходка[Наименование расходного материала],MATCH(Расходка[[#This Row],[№]],Поиск_расходки[Индекс6],0)),"")</f>
        <v/>
      </c>
      <c r="X76" s="198" t="str">
        <f>IFERROR(INDEX(Расходка[Наименование расходного материала],MATCH(Расходка[[#This Row],[№]],Поиск_расходки[Индекс7],0)),"")</f>
        <v/>
      </c>
      <c r="Y76" s="198" t="str">
        <f>IFERROR(INDEX(Расходка[Наименование расходного материала],MATCH(Расходка[[#This Row],[№]],Поиск_расходки[Индекс8],0)),"")</f>
        <v/>
      </c>
      <c r="Z76" s="198" t="str">
        <f>IFERROR(INDEX(Расходка[Наименование расходного материала],MATCH(Расходка[[#This Row],[№]],Поиск_расходки[Индекс9],0)),"")</f>
        <v/>
      </c>
      <c r="AA76" s="198" t="str">
        <f>IFERROR(INDEX(Расходка[Наименование расходного материала],MATCH(Расходка[[#This Row],[№]],Поиск_расходки[Индекс10],0)),"")</f>
        <v/>
      </c>
      <c r="AB76" s="198" t="str">
        <f>IFERROR(INDEX(Расходка[Наименование расходного материала],MATCH(Расходка[[#This Row],[№]],Поиск_расходки[Индекс11],0)),"")</f>
        <v/>
      </c>
      <c r="AC76" s="198" t="str">
        <f>IFERROR(INDEX(Расходка[Наименование расходного материала],MATCH(Расходка[[#This Row],[№]],Поиск_расходки[Индекс12],0)),"")</f>
        <v/>
      </c>
      <c r="AD76" s="198" t="str">
        <f>IFERROR(INDEX(Расходка[Наименование расходного материала],MATCH(Расходка[[#This Row],[№]],Поиск_расходки[Индекс13],0)),"")</f>
        <v/>
      </c>
      <c r="AF76" s="4" t="s">
        <v>6</v>
      </c>
      <c r="AG76" s="4" t="s">
        <v>468</v>
      </c>
    </row>
    <row r="77" spans="1:33">
      <c r="E77" s="197">
        <f>IF(ISNUMBER(SEARCH('Карта учёта'!$B$13,Расходка[[#This Row],[Наименование расходного материала]])),MAX($E$1:E76)+1,0)</f>
        <v>0</v>
      </c>
      <c r="F77" s="197">
        <f>IF(ISNUMBER(SEARCH('Карта учёта'!$B$14,Расходка[[#This Row],[Наименование расходного материала]])),MAX($F$1:F76)+1,0)</f>
        <v>0</v>
      </c>
      <c r="G77" s="197">
        <f>IF(ISNUMBER(SEARCH('Карта учёта'!$B$15,Расходка[[#This Row],[Наименование расходного материала]])),MAX($G$1:G76)+1,0)</f>
        <v>0</v>
      </c>
      <c r="H77" s="197">
        <f>IF(ISNUMBER(SEARCH('Карта учёта'!$B$16,Расходка[[#This Row],[Наименование расходного материала]])),MAX($H$1:H76)+1,0)</f>
        <v>0</v>
      </c>
      <c r="I77" s="197">
        <f>IF(ISNUMBER(SEARCH('Карта учёта'!$B$17,Расходка[[#This Row],[Наименование расходного материала]])),MAX($I$1:I76)+1,0)</f>
        <v>0</v>
      </c>
      <c r="J77" s="197">
        <f>IF(ISNUMBER(SEARCH('Карта учёта'!$B$18,Расходка[[#This Row],[Наименование расходного материала]])),MAX($J$1:J76)+1,0)</f>
        <v>0</v>
      </c>
      <c r="K77" s="197">
        <f>IF(ISNUMBER(SEARCH('Карта учёта'!$B$19,Расходка[[#This Row],[Наименование расходного материала]])),MAX($K$1:K76)+1,0)</f>
        <v>0</v>
      </c>
      <c r="L77" s="197">
        <f>IF(ISNUMBER(SEARCH('Карта учёта'!$B$20,Расходка[[#This Row],[Наименование расходного материала]])),MAX($L$1:L76)+1,0)</f>
        <v>0</v>
      </c>
      <c r="M77" s="197">
        <f>IF(ISNUMBER(SEARCH('Карта учёта'!$B$21,Расходка[[#This Row],[Наименование расходного материала]])),MAX($M$1:M76)+1,0)</f>
        <v>0</v>
      </c>
      <c r="N77" s="197">
        <f>IF(ISNUMBER(SEARCH('Карта учёта'!$B$22,Расходка[[#This Row],[Наименование расходного материала]])),MAX($N$1:N76)+1,0)</f>
        <v>0</v>
      </c>
      <c r="O77" s="197">
        <f>IF(ISNUMBER(SEARCH('Карта учёта'!$B$23,Расходка[[#This Row],[Наименование расходного материала]])),MAX($O$1:O76)+1,0)</f>
        <v>0</v>
      </c>
      <c r="P77" s="197">
        <f>IF(ISNUMBER(SEARCH('Карта учёта'!$B$24,Расходка[[#This Row],[Наименование расходного материала]])),MAX($P$1:P76)+1,0)</f>
        <v>0</v>
      </c>
      <c r="Q77" s="197">
        <f>IF(ISNUMBER(SEARCH('Карта учёта'!$B$25,Расходка[[#This Row],[Наименование расходного материала]])),MAX($Q$1:Q76)+1,0)</f>
        <v>0</v>
      </c>
      <c r="R77" s="198" t="str">
        <f>IFERROR(INDEX(Расходка[Наименование расходного материала],MATCH(Расходка[[#This Row],[№]],Поиск_расходки[Индекс1],0)),"")</f>
        <v/>
      </c>
      <c r="S77" s="198" t="str">
        <f>IFERROR(INDEX(Расходка[Наименование расходного материала],MATCH(Расходка[[#This Row],[№]],Поиск_расходки[Индекс2],0)),"")</f>
        <v/>
      </c>
      <c r="T77" s="198" t="str">
        <f>IFERROR(INDEX(Расходка[Наименование расходного материала],MATCH(Расходка[[#This Row],[№]],Поиск_расходки[Индекс3],0)),"")</f>
        <v/>
      </c>
      <c r="U77" s="198" t="str">
        <f>IFERROR(INDEX(Расходка[Наименование расходного материала],MATCH(Расходка[[#This Row],[№]],Поиск_расходки[Индекс4],0)),"")</f>
        <v/>
      </c>
      <c r="V77" s="198" t="str">
        <f>IFERROR(INDEX(Расходка[Наименование расходного материала],MATCH(Расходка[[#This Row],[№]],Поиск_расходки[Индекс5],0)),"")</f>
        <v/>
      </c>
      <c r="W77" s="198" t="str">
        <f>IFERROR(INDEX(Расходка[Наименование расходного материала],MATCH(Расходка[[#This Row],[№]],Поиск_расходки[Индекс6],0)),"")</f>
        <v/>
      </c>
      <c r="X77" s="198" t="str">
        <f>IFERROR(INDEX(Расходка[Наименование расходного материала],MATCH(Расходка[[#This Row],[№]],Поиск_расходки[Индекс7],0)),"")</f>
        <v/>
      </c>
      <c r="Y77" s="198" t="str">
        <f>IFERROR(INDEX(Расходка[Наименование расходного материала],MATCH(Расходка[[#This Row],[№]],Поиск_расходки[Индекс8],0)),"")</f>
        <v/>
      </c>
      <c r="Z77" s="198" t="str">
        <f>IFERROR(INDEX(Расходка[Наименование расходного материала],MATCH(Расходка[[#This Row],[№]],Поиск_расходки[Индекс9],0)),"")</f>
        <v/>
      </c>
      <c r="AA77" s="198" t="str">
        <f>IFERROR(INDEX(Расходка[Наименование расходного материала],MATCH(Расходка[[#This Row],[№]],Поиск_расходки[Индекс10],0)),"")</f>
        <v/>
      </c>
      <c r="AB77" s="198" t="str">
        <f>IFERROR(INDEX(Расходка[Наименование расходного материала],MATCH(Расходка[[#This Row],[№]],Поиск_расходки[Индекс11],0)),"")</f>
        <v/>
      </c>
      <c r="AC77" s="198" t="str">
        <f>IFERROR(INDEX(Расходка[Наименование расходного материала],MATCH(Расходка[[#This Row],[№]],Поиск_расходки[Индекс12],0)),"")</f>
        <v/>
      </c>
      <c r="AD77" s="198" t="str">
        <f>IFERROR(INDEX(Расходка[Наименование расходного материала],MATCH(Расходка[[#This Row],[№]],Поиск_расходки[Индекс13],0)),"")</f>
        <v/>
      </c>
      <c r="AF77" s="4" t="s">
        <v>6</v>
      </c>
      <c r="AG77" s="4" t="s">
        <v>469</v>
      </c>
    </row>
    <row r="78" spans="1:33">
      <c r="E78" s="197">
        <f>IF(ISNUMBER(SEARCH('Карта учёта'!$B$13,Расходка[[#This Row],[Наименование расходного материала]])),MAX($E$1:E77)+1,0)</f>
        <v>0</v>
      </c>
      <c r="F78" s="197">
        <f>IF(ISNUMBER(SEARCH('Карта учёта'!$B$14,Расходка[[#This Row],[Наименование расходного материала]])),MAX($F$1:F77)+1,0)</f>
        <v>0</v>
      </c>
      <c r="G78" s="197">
        <f>IF(ISNUMBER(SEARCH('Карта учёта'!$B$15,Расходка[[#This Row],[Наименование расходного материала]])),MAX($G$1:G77)+1,0)</f>
        <v>0</v>
      </c>
      <c r="H78" s="197">
        <f>IF(ISNUMBER(SEARCH('Карта учёта'!$B$16,Расходка[[#This Row],[Наименование расходного материала]])),MAX($H$1:H77)+1,0)</f>
        <v>0</v>
      </c>
      <c r="I78" s="197">
        <f>IF(ISNUMBER(SEARCH('Карта учёта'!$B$17,Расходка[[#This Row],[Наименование расходного материала]])),MAX($I$1:I77)+1,0)</f>
        <v>0</v>
      </c>
      <c r="J78" s="197">
        <f>IF(ISNUMBER(SEARCH('Карта учёта'!$B$18,Расходка[[#This Row],[Наименование расходного материала]])),MAX($J$1:J77)+1,0)</f>
        <v>0</v>
      </c>
      <c r="K78" s="197">
        <f>IF(ISNUMBER(SEARCH('Карта учёта'!$B$19,Расходка[[#This Row],[Наименование расходного материала]])),MAX($K$1:K77)+1,0)</f>
        <v>0</v>
      </c>
      <c r="L78" s="197">
        <f>IF(ISNUMBER(SEARCH('Карта учёта'!$B$20,Расходка[[#This Row],[Наименование расходного материала]])),MAX($L$1:L77)+1,0)</f>
        <v>0</v>
      </c>
      <c r="M78" s="197">
        <f>IF(ISNUMBER(SEARCH('Карта учёта'!$B$21,Расходка[[#This Row],[Наименование расходного материала]])),MAX($M$1:M77)+1,0)</f>
        <v>0</v>
      </c>
      <c r="N78" s="197">
        <f>IF(ISNUMBER(SEARCH('Карта учёта'!$B$22,Расходка[[#This Row],[Наименование расходного материала]])),MAX($N$1:N77)+1,0)</f>
        <v>0</v>
      </c>
      <c r="O78" s="197">
        <f>IF(ISNUMBER(SEARCH('Карта учёта'!$B$23,Расходка[[#This Row],[Наименование расходного материала]])),MAX($O$1:O77)+1,0)</f>
        <v>0</v>
      </c>
      <c r="P78" s="197">
        <f>IF(ISNUMBER(SEARCH('Карта учёта'!$B$24,Расходка[[#This Row],[Наименование расходного материала]])),MAX($P$1:P77)+1,0)</f>
        <v>0</v>
      </c>
      <c r="Q78" s="197">
        <f>IF(ISNUMBER(SEARCH('Карта учёта'!$B$25,Расходка[[#This Row],[Наименование расходного материала]])),MAX($Q$1:Q77)+1,0)</f>
        <v>0</v>
      </c>
      <c r="R78" s="198" t="str">
        <f>IFERROR(INDEX(Расходка[Наименование расходного материала],MATCH(Расходка[[#This Row],[№]],Поиск_расходки[Индекс1],0)),"")</f>
        <v/>
      </c>
      <c r="S78" s="198" t="str">
        <f>IFERROR(INDEX(Расходка[Наименование расходного материала],MATCH(Расходка[[#This Row],[№]],Поиск_расходки[Индекс2],0)),"")</f>
        <v/>
      </c>
      <c r="T78" s="198" t="str">
        <f>IFERROR(INDEX(Расходка[Наименование расходного материала],MATCH(Расходка[[#This Row],[№]],Поиск_расходки[Индекс3],0)),"")</f>
        <v/>
      </c>
      <c r="U78" s="198" t="str">
        <f>IFERROR(INDEX(Расходка[Наименование расходного материала],MATCH(Расходка[[#This Row],[№]],Поиск_расходки[Индекс4],0)),"")</f>
        <v/>
      </c>
      <c r="V78" s="198" t="str">
        <f>IFERROR(INDEX(Расходка[Наименование расходного материала],MATCH(Расходка[[#This Row],[№]],Поиск_расходки[Индекс5],0)),"")</f>
        <v/>
      </c>
      <c r="W78" s="198" t="str">
        <f>IFERROR(INDEX(Расходка[Наименование расходного материала],MATCH(Расходка[[#This Row],[№]],Поиск_расходки[Индекс6],0)),"")</f>
        <v/>
      </c>
      <c r="X78" s="198" t="str">
        <f>IFERROR(INDEX(Расходка[Наименование расходного материала],MATCH(Расходка[[#This Row],[№]],Поиск_расходки[Индекс7],0)),"")</f>
        <v/>
      </c>
      <c r="Y78" s="198" t="str">
        <f>IFERROR(INDEX(Расходка[Наименование расходного материала],MATCH(Расходка[[#This Row],[№]],Поиск_расходки[Индекс8],0)),"")</f>
        <v/>
      </c>
      <c r="Z78" s="198" t="str">
        <f>IFERROR(INDEX(Расходка[Наименование расходного материала],MATCH(Расходка[[#This Row],[№]],Поиск_расходки[Индекс9],0)),"")</f>
        <v/>
      </c>
      <c r="AA78" s="198" t="str">
        <f>IFERROR(INDEX(Расходка[Наименование расходного материала],MATCH(Расходка[[#This Row],[№]],Поиск_расходки[Индекс10],0)),"")</f>
        <v/>
      </c>
      <c r="AB78" s="198" t="str">
        <f>IFERROR(INDEX(Расходка[Наименование расходного материала],MATCH(Расходка[[#This Row],[№]],Поиск_расходки[Индекс11],0)),"")</f>
        <v/>
      </c>
      <c r="AC78" s="198" t="str">
        <f>IFERROR(INDEX(Расходка[Наименование расходного материала],MATCH(Расходка[[#This Row],[№]],Поиск_расходки[Индекс12],0)),"")</f>
        <v/>
      </c>
      <c r="AD78" s="198" t="str">
        <f>IFERROR(INDEX(Расходка[Наименование расходного материала],MATCH(Расходка[[#This Row],[№]],Поиск_расходки[Индекс13],0)),"")</f>
        <v/>
      </c>
      <c r="AF78" s="4" t="s">
        <v>6</v>
      </c>
      <c r="AG78" s="4" t="s">
        <v>470</v>
      </c>
    </row>
    <row r="79" spans="1:33">
      <c r="AF79" s="4" t="s">
        <v>6</v>
      </c>
      <c r="AG79" s="4" t="s">
        <v>471</v>
      </c>
    </row>
    <row r="80" spans="1:33">
      <c r="AF80" s="4" t="s">
        <v>6</v>
      </c>
      <c r="AG80" s="4" t="s">
        <v>472</v>
      </c>
    </row>
    <row r="81" spans="32:33">
      <c r="AF81" s="4" t="s">
        <v>6</v>
      </c>
      <c r="AG81" s="4" t="s">
        <v>473</v>
      </c>
    </row>
    <row r="82" spans="32:33">
      <c r="AF82" s="4" t="s">
        <v>6</v>
      </c>
      <c r="AG82" s="4" t="s">
        <v>474</v>
      </c>
    </row>
    <row r="83" spans="32:33">
      <c r="AF83" s="4" t="s">
        <v>6</v>
      </c>
      <c r="AG83" s="4" t="s">
        <v>475</v>
      </c>
    </row>
    <row r="84" spans="32:33">
      <c r="AF84" s="4" t="s">
        <v>6</v>
      </c>
      <c r="AG84" s="4" t="s">
        <v>426</v>
      </c>
    </row>
    <row r="85" spans="32:33">
      <c r="AF85" s="4" t="s">
        <v>6</v>
      </c>
      <c r="AG85" s="4" t="s">
        <v>427</v>
      </c>
    </row>
    <row r="86" spans="32:33">
      <c r="AF86" s="4" t="s">
        <v>6</v>
      </c>
      <c r="AG86" s="4" t="s">
        <v>476</v>
      </c>
    </row>
    <row r="87" spans="32:33">
      <c r="AF87" s="4" t="s">
        <v>6</v>
      </c>
      <c r="AG87" s="4" t="s">
        <v>477</v>
      </c>
    </row>
    <row r="88" spans="32:33">
      <c r="AF88" s="4" t="s">
        <v>6</v>
      </c>
      <c r="AG88" s="4" t="s">
        <v>478</v>
      </c>
    </row>
    <row r="89" spans="32:33">
      <c r="AF89" s="4" t="s">
        <v>6</v>
      </c>
      <c r="AG89" s="4" t="s">
        <v>479</v>
      </c>
    </row>
    <row r="90" spans="32:33">
      <c r="AF90" s="4" t="s">
        <v>6</v>
      </c>
      <c r="AG90" s="4" t="s">
        <v>480</v>
      </c>
    </row>
    <row r="91" spans="32:33">
      <c r="AF91" s="4" t="s">
        <v>6</v>
      </c>
      <c r="AG91" s="4" t="s">
        <v>481</v>
      </c>
    </row>
    <row r="92" spans="32:33">
      <c r="AF92" s="4" t="s">
        <v>6</v>
      </c>
      <c r="AG92" s="4" t="s">
        <v>482</v>
      </c>
    </row>
    <row r="93" spans="32:33">
      <c r="AF93" s="4" t="s">
        <v>6</v>
      </c>
      <c r="AG93" s="4" t="s">
        <v>483</v>
      </c>
    </row>
    <row r="94" spans="32:33">
      <c r="AF94" s="4" t="s">
        <v>6</v>
      </c>
      <c r="AG94" s="4" t="s">
        <v>430</v>
      </c>
    </row>
    <row r="95" spans="32:33">
      <c r="AF95" s="4" t="s">
        <v>6</v>
      </c>
      <c r="AG95" s="4" t="s">
        <v>431</v>
      </c>
    </row>
    <row r="96" spans="32:33">
      <c r="AF96" s="4" t="s">
        <v>6</v>
      </c>
      <c r="AG96" s="4" t="s">
        <v>484</v>
      </c>
    </row>
    <row r="97" spans="32:33">
      <c r="AF97" s="4" t="s">
        <v>6</v>
      </c>
      <c r="AG97" s="4" t="s">
        <v>485</v>
      </c>
    </row>
  </sheetData>
  <sheetProtection sheet="1" objects="1" scenarios="1" formatCells="0" formatColumns="0"/>
  <phoneticPr fontId="14" type="noConversion"/>
  <dataValidations count="1">
    <dataValidation type="list" allowBlank="1" showInputMessage="1" showErrorMessage="1" sqref="B2:B74">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zoomScale="90" zoomScaleNormal="90" workbookViewId="0">
      <selection activeCell="C48" sqref="C48"/>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517</v>
      </c>
      <c r="C15" s="202" t="str">
        <f>CONCATENATE(A15,B15)</f>
        <v>Старшая мед.сетра: Н.Б. Шишкина</v>
      </c>
    </row>
    <row r="16" spans="1:5">
      <c r="A16" t="s">
        <v>120</v>
      </c>
      <c r="B16" t="s">
        <v>122</v>
      </c>
      <c r="C16" t="str">
        <f>CONCATENATE(A16,B16)</f>
        <v>Старшая мед.сетра: О.Н. Черткова</v>
      </c>
    </row>
    <row r="17" spans="1:3">
      <c r="A17" t="s">
        <v>123</v>
      </c>
      <c r="B17" t="s">
        <v>350</v>
      </c>
      <c r="C17" t="str">
        <f t="shared" si="0"/>
        <v xml:space="preserve">И/О старшей мед.сетры: А.А. Нефёдова </v>
      </c>
    </row>
    <row r="18" spans="1:3">
      <c r="A18" t="s">
        <v>123</v>
      </c>
      <c r="B18" t="s">
        <v>349</v>
      </c>
      <c r="C18" t="str">
        <f>CONCATENATE(A18,B18)</f>
        <v>И/О старшей мед.сетры: А.М. Казанцева</v>
      </c>
    </row>
    <row r="19" spans="1:3">
      <c r="C19" s="202"/>
    </row>
    <row r="20" spans="1:3">
      <c r="C20" s="202"/>
    </row>
    <row r="21" spans="1:3">
      <c r="A21" t="s">
        <v>175</v>
      </c>
      <c r="B21" t="s">
        <v>174</v>
      </c>
    </row>
    <row r="22" spans="1:3">
      <c r="A22" t="s">
        <v>170</v>
      </c>
      <c r="B22" t="s">
        <v>267</v>
      </c>
    </row>
    <row r="23" spans="1:3">
      <c r="A23" t="s">
        <v>170</v>
      </c>
      <c r="B23" t="s">
        <v>176</v>
      </c>
    </row>
    <row r="24" spans="1:3">
      <c r="A24" t="s">
        <v>170</v>
      </c>
      <c r="B24" t="s">
        <v>304</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302</v>
      </c>
    </row>
    <row r="31" spans="1:3">
      <c r="A31" t="s">
        <v>170</v>
      </c>
      <c r="B31" t="s">
        <v>254</v>
      </c>
    </row>
    <row r="32" spans="1:3">
      <c r="A32" t="s">
        <v>170</v>
      </c>
      <c r="B32" t="s">
        <v>270</v>
      </c>
    </row>
    <row r="33" spans="1:2">
      <c r="A33" t="s">
        <v>170</v>
      </c>
      <c r="B33" t="s">
        <v>353</v>
      </c>
    </row>
    <row r="34" spans="1:2">
      <c r="A34" t="s">
        <v>170</v>
      </c>
      <c r="B34" t="s">
        <v>263</v>
      </c>
    </row>
    <row r="35" spans="1:2">
      <c r="A35" t="s">
        <v>170</v>
      </c>
      <c r="B35" t="s">
        <v>249</v>
      </c>
    </row>
    <row r="36" spans="1:2">
      <c r="A36" t="s">
        <v>170</v>
      </c>
      <c r="B36" t="s">
        <v>253</v>
      </c>
    </row>
    <row r="37" spans="1:2">
      <c r="A37" t="s">
        <v>170</v>
      </c>
      <c r="B37" t="s">
        <v>248</v>
      </c>
    </row>
    <row r="38" spans="1:2">
      <c r="A38" t="s">
        <v>170</v>
      </c>
      <c r="B38" t="s">
        <v>365</v>
      </c>
    </row>
    <row r="39" spans="1:2">
      <c r="A39" t="s">
        <v>170</v>
      </c>
      <c r="B39" t="s">
        <v>508</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303</v>
      </c>
      <c r="B45" t="s">
        <v>260</v>
      </c>
    </row>
    <row r="46" spans="1:2">
      <c r="A46" t="s">
        <v>303</v>
      </c>
      <c r="B46" t="s">
        <v>261</v>
      </c>
    </row>
    <row r="47" spans="1:2">
      <c r="A47" t="s">
        <v>303</v>
      </c>
      <c r="B47" t="s">
        <v>262</v>
      </c>
    </row>
    <row r="48" spans="1:2">
      <c r="A48" t="s">
        <v>303</v>
      </c>
      <c r="B48" t="s">
        <v>178</v>
      </c>
    </row>
    <row r="49" spans="1:2">
      <c r="A49" t="s">
        <v>303</v>
      </c>
      <c r="B49" t="s">
        <v>258</v>
      </c>
    </row>
    <row r="50" spans="1:2">
      <c r="A50" t="s">
        <v>303</v>
      </c>
      <c r="B50" t="s">
        <v>269</v>
      </c>
    </row>
    <row r="51" spans="1:2">
      <c r="A51" t="s">
        <v>303</v>
      </c>
      <c r="B51" t="s">
        <v>177</v>
      </c>
    </row>
    <row r="52" spans="1:2">
      <c r="A52" t="s">
        <v>303</v>
      </c>
      <c r="B52" t="s">
        <v>505</v>
      </c>
    </row>
    <row r="53" spans="1:2">
      <c r="A53" t="s">
        <v>303</v>
      </c>
      <c r="B53" t="s">
        <v>259</v>
      </c>
    </row>
    <row r="54" spans="1:2">
      <c r="A54" t="s">
        <v>303</v>
      </c>
      <c r="B54" t="s">
        <v>370</v>
      </c>
    </row>
    <row r="55" spans="1:2">
      <c r="A55" t="s">
        <v>303</v>
      </c>
      <c r="B55" t="s">
        <v>366</v>
      </c>
    </row>
    <row r="56" spans="1:2">
      <c r="A56" t="s">
        <v>171</v>
      </c>
      <c r="B56" t="s">
        <v>144</v>
      </c>
    </row>
    <row r="57" spans="1:2">
      <c r="A57" t="s">
        <v>171</v>
      </c>
      <c r="B57" t="s">
        <v>147</v>
      </c>
    </row>
    <row r="58" spans="1:2">
      <c r="A58" t="s">
        <v>171</v>
      </c>
      <c r="B58" t="s">
        <v>150</v>
      </c>
    </row>
    <row r="59" spans="1:2">
      <c r="A59" t="s">
        <v>171</v>
      </c>
      <c r="B59" t="s">
        <v>153</v>
      </c>
    </row>
    <row r="60" spans="1:2">
      <c r="A60" t="s">
        <v>171</v>
      </c>
      <c r="B60" t="s">
        <v>156</v>
      </c>
    </row>
    <row r="61" spans="1:2">
      <c r="A61" t="s">
        <v>171</v>
      </c>
      <c r="B61" t="s">
        <v>159</v>
      </c>
    </row>
    <row r="62" spans="1:2">
      <c r="A62" t="s">
        <v>171</v>
      </c>
      <c r="B62" t="s">
        <v>164</v>
      </c>
    </row>
    <row r="63" spans="1:2">
      <c r="A63" t="s">
        <v>171</v>
      </c>
      <c r="B63" t="s">
        <v>275</v>
      </c>
    </row>
    <row r="64" spans="1:2">
      <c r="A64" t="s">
        <v>171</v>
      </c>
      <c r="B64" t="s">
        <v>166</v>
      </c>
    </row>
    <row r="65" spans="1:2">
      <c r="A65" t="s">
        <v>171</v>
      </c>
      <c r="B65" t="s">
        <v>167</v>
      </c>
    </row>
    <row r="66" spans="1:2">
      <c r="A66" t="s">
        <v>171</v>
      </c>
      <c r="B66" t="s">
        <v>168</v>
      </c>
    </row>
    <row r="67" spans="1:2">
      <c r="A67" t="s">
        <v>171</v>
      </c>
      <c r="B67" t="s">
        <v>169</v>
      </c>
    </row>
    <row r="68" spans="1:2">
      <c r="A68" t="s">
        <v>171</v>
      </c>
      <c r="B68" t="s">
        <v>141</v>
      </c>
    </row>
    <row r="69" spans="1:2">
      <c r="A69" t="s">
        <v>171</v>
      </c>
      <c r="B69" t="s">
        <v>185</v>
      </c>
    </row>
    <row r="70" spans="1:2">
      <c r="A70" t="s">
        <v>172</v>
      </c>
      <c r="B70" t="s">
        <v>342</v>
      </c>
    </row>
    <row r="71" spans="1:2">
      <c r="A71" t="s">
        <v>172</v>
      </c>
      <c r="B71" t="s">
        <v>143</v>
      </c>
    </row>
    <row r="72" spans="1:2">
      <c r="A72" t="s">
        <v>172</v>
      </c>
      <c r="B72" t="s">
        <v>368</v>
      </c>
    </row>
    <row r="73" spans="1:2">
      <c r="A73" t="s">
        <v>172</v>
      </c>
      <c r="B73" t="s">
        <v>146</v>
      </c>
    </row>
    <row r="74" spans="1:2">
      <c r="A74" t="s">
        <v>172</v>
      </c>
      <c r="B74" t="s">
        <v>140</v>
      </c>
    </row>
    <row r="75" spans="1:2">
      <c r="A75" t="s">
        <v>172</v>
      </c>
      <c r="B75" t="s">
        <v>149</v>
      </c>
    </row>
    <row r="76" spans="1:2">
      <c r="A76" t="s">
        <v>172</v>
      </c>
      <c r="B76" t="s">
        <v>152</v>
      </c>
    </row>
    <row r="77" spans="1:2">
      <c r="A77" t="s">
        <v>172</v>
      </c>
      <c r="B77" t="s">
        <v>155</v>
      </c>
    </row>
    <row r="78" spans="1:2">
      <c r="A78" t="s">
        <v>172</v>
      </c>
      <c r="B78" t="s">
        <v>158</v>
      </c>
    </row>
    <row r="79" spans="1:2">
      <c r="A79" t="s">
        <v>172</v>
      </c>
      <c r="B79" t="s">
        <v>161</v>
      </c>
    </row>
    <row r="80" spans="1:2">
      <c r="A80" t="s">
        <v>172</v>
      </c>
      <c r="B80" t="s">
        <v>163</v>
      </c>
    </row>
    <row r="81" spans="1:2">
      <c r="A81" t="s">
        <v>184</v>
      </c>
      <c r="B81" t="s">
        <v>142</v>
      </c>
    </row>
    <row r="82" spans="1:2">
      <c r="A82" t="s">
        <v>184</v>
      </c>
      <c r="B82" t="s">
        <v>274</v>
      </c>
    </row>
    <row r="83" spans="1:2">
      <c r="A83" t="s">
        <v>184</v>
      </c>
      <c r="B83" t="s">
        <v>145</v>
      </c>
    </row>
    <row r="84" spans="1:2">
      <c r="A84" t="s">
        <v>184</v>
      </c>
      <c r="B84" t="s">
        <v>148</v>
      </c>
    </row>
    <row r="85" spans="1:2">
      <c r="A85" t="s">
        <v>184</v>
      </c>
      <c r="B85" t="s">
        <v>151</v>
      </c>
    </row>
    <row r="86" spans="1:2">
      <c r="A86" t="s">
        <v>184</v>
      </c>
      <c r="B86" t="s">
        <v>154</v>
      </c>
    </row>
    <row r="87" spans="1:2">
      <c r="A87" t="s">
        <v>184</v>
      </c>
      <c r="B87" t="s">
        <v>160</v>
      </c>
    </row>
    <row r="88" spans="1:2">
      <c r="A88" t="s">
        <v>184</v>
      </c>
      <c r="B88" t="s">
        <v>157</v>
      </c>
    </row>
    <row r="89" spans="1:2">
      <c r="A89" t="s">
        <v>184</v>
      </c>
      <c r="B89" t="s">
        <v>162</v>
      </c>
    </row>
    <row r="90" spans="1:2">
      <c r="A90" t="s">
        <v>184</v>
      </c>
      <c r="B90" t="s">
        <v>165</v>
      </c>
    </row>
  </sheetData>
  <sheetProtection sheet="1" objects="1" scenarios="1"/>
  <phoneticPr fontId="14" type="noConversion"/>
  <dataValidations count="1">
    <dataValidation type="list" allowBlank="1" showInputMessage="1" showErrorMessage="1" sqref="A22:A9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1" t="s">
        <v>383</v>
      </c>
    </row>
    <row r="2" spans="1:1">
      <c r="A2" t="s">
        <v>380</v>
      </c>
    </row>
    <row r="3" spans="1:1">
      <c r="A3" t="s">
        <v>384</v>
      </c>
    </row>
    <row r="4" spans="1:1">
      <c r="A4" t="s">
        <v>385</v>
      </c>
    </row>
    <row r="5" spans="1:1">
      <c r="A5" t="s">
        <v>381</v>
      </c>
    </row>
    <row r="6" spans="1:1">
      <c r="A6" t="s">
        <v>382</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2024-06-12T00:32:37Z</cp:lastPrinted>
  <dcterms:created xsi:type="dcterms:W3CDTF">2015-06-05T18:19:34Z</dcterms:created>
  <dcterms:modified xsi:type="dcterms:W3CDTF">2024-06-12T00:40:13Z</dcterms:modified>
</cp:coreProperties>
</file>