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4\06\"/>
    </mc:Choice>
  </mc:AlternateContent>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3" l="1"/>
  <c r="C15" i="5" l="1"/>
  <c r="B15" i="9" l="1"/>
  <c r="E71" i="1" l="1"/>
  <c r="E72" i="1"/>
  <c r="E73" i="1"/>
  <c r="E74" i="1"/>
  <c r="E75" i="1"/>
  <c r="E76" i="1"/>
  <c r="E77" i="1"/>
  <c r="E78" i="1"/>
  <c r="F75" i="1"/>
  <c r="F76" i="1"/>
  <c r="F77" i="1"/>
  <c r="F78" i="1"/>
  <c r="G77" i="1"/>
  <c r="G78" i="1"/>
  <c r="H77" i="1"/>
  <c r="H78" i="1"/>
  <c r="I77" i="1"/>
  <c r="I78" i="1"/>
  <c r="J77" i="1"/>
  <c r="J78" i="1"/>
  <c r="K77" i="1"/>
  <c r="K78" i="1"/>
  <c r="L77" i="1"/>
  <c r="L78" i="1"/>
  <c r="M77" i="1"/>
  <c r="M78" i="1"/>
  <c r="N77" i="1"/>
  <c r="N78" i="1"/>
  <c r="O77" i="1"/>
  <c r="O78" i="1"/>
  <c r="P77" i="1"/>
  <c r="P78" i="1"/>
  <c r="Q77" i="1"/>
  <c r="Q78" i="1"/>
  <c r="R77" i="1"/>
  <c r="R78" i="1"/>
  <c r="S77" i="1"/>
  <c r="S78" i="1"/>
  <c r="T77" i="1"/>
  <c r="T78" i="1"/>
  <c r="U77" i="1"/>
  <c r="U78" i="1"/>
  <c r="V77" i="1"/>
  <c r="V78" i="1"/>
  <c r="W77" i="1"/>
  <c r="W78" i="1"/>
  <c r="X77" i="1"/>
  <c r="X78" i="1"/>
  <c r="Y77" i="1"/>
  <c r="Y78" i="1"/>
  <c r="Z77" i="1"/>
  <c r="Z78" i="1"/>
  <c r="AA77" i="1"/>
  <c r="AA78" i="1"/>
  <c r="AB77" i="1"/>
  <c r="AB78" i="1"/>
  <c r="AC77" i="1"/>
  <c r="AC78" i="1"/>
  <c r="AD77" i="1"/>
  <c r="AD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H22" i="9" s="1"/>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O11" i="1"/>
  <c r="O12" i="1" s="1"/>
  <c r="O13" i="1" s="1"/>
  <c r="Q8" i="1"/>
  <c r="Q9" i="1" s="1"/>
  <c r="J8" i="1"/>
  <c r="E11" i="1"/>
  <c r="E12" i="1" s="1"/>
  <c r="E13" i="1" s="1"/>
  <c r="E14" i="1" s="1"/>
  <c r="E15" i="1" s="1"/>
  <c r="M8" i="1"/>
  <c r="N10" i="1"/>
  <c r="I8" i="1"/>
  <c r="G9" i="1"/>
  <c r="H9" i="1"/>
  <c r="F8" i="1"/>
  <c r="K9" i="1"/>
  <c r="L10" i="1"/>
  <c r="P10" i="1" l="1"/>
  <c r="O14" i="1"/>
  <c r="O15"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P12" i="1" s="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O19" i="1" l="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P13" i="1"/>
  <c r="P14"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61" i="1" s="1"/>
  <c r="AD60" i="1"/>
  <c r="AD57" i="1"/>
  <c r="AD59" i="1"/>
  <c r="H23" i="1"/>
  <c r="K18" i="1"/>
  <c r="K19" i="1" s="1"/>
  <c r="K20" i="1" s="1"/>
  <c r="K21" i="1" s="1"/>
  <c r="K22" i="1" s="1"/>
  <c r="K23" i="1" s="1"/>
  <c r="K24" i="1" s="1"/>
  <c r="I25" i="1"/>
  <c r="I26" i="1" s="1"/>
  <c r="AD4" i="1"/>
  <c r="AD6" i="1"/>
  <c r="AD5" i="1"/>
  <c r="AD7" i="1"/>
  <c r="AD15" i="1"/>
  <c r="AD13" i="1"/>
  <c r="M21" i="1"/>
  <c r="L18" i="1"/>
  <c r="G16" i="1"/>
  <c r="G17" i="1" s="1"/>
  <c r="F20" i="1"/>
  <c r="O56" i="1" l="1"/>
  <c r="O57" i="1" s="1"/>
  <c r="P17" i="1"/>
  <c r="E66" i="1"/>
  <c r="Q62" i="1"/>
  <c r="J22" i="1"/>
  <c r="J23" i="1" s="1"/>
  <c r="J24" i="1" s="1"/>
  <c r="N20" i="1"/>
  <c r="N21" i="1" s="1"/>
  <c r="N22" i="1" s="1"/>
  <c r="K25" i="1"/>
  <c r="K26" i="1" s="1"/>
  <c r="K27" i="1" s="1"/>
  <c r="H24" i="1"/>
  <c r="AD18" i="1"/>
  <c r="G18" i="1"/>
  <c r="G19" i="1" s="1"/>
  <c r="G20" i="1" s="1"/>
  <c r="I27" i="1"/>
  <c r="M22" i="1"/>
  <c r="L19" i="1"/>
  <c r="L20" i="1" s="1"/>
  <c r="F21" i="1"/>
  <c r="O58" i="1" l="1"/>
  <c r="O59" i="1" s="1"/>
  <c r="P18" i="1"/>
  <c r="E67" i="1"/>
  <c r="AD62" i="1"/>
  <c r="Q63" i="1"/>
  <c r="Q64" i="1" s="1"/>
  <c r="Q65" i="1" s="1"/>
  <c r="Q66" i="1" s="1"/>
  <c r="K28" i="1"/>
  <c r="K29" i="1" s="1"/>
  <c r="AD26" i="1"/>
  <c r="G21" i="1"/>
  <c r="G22" i="1" s="1"/>
  <c r="G23" i="1" s="1"/>
  <c r="H25" i="1"/>
  <c r="I28" i="1"/>
  <c r="M23" i="1"/>
  <c r="J25" i="1"/>
  <c r="N23" i="1"/>
  <c r="L21" i="1"/>
  <c r="F22" i="1"/>
  <c r="O60" i="1" l="1"/>
  <c r="O61" i="1" s="1"/>
  <c r="O62" i="1" s="1"/>
  <c r="P19" i="1"/>
  <c r="E68" i="1"/>
  <c r="Q67" i="1"/>
  <c r="AD66" i="1"/>
  <c r="AD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5" i="1" l="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AC18" i="1"/>
  <c r="AC4" i="1"/>
  <c r="AC13" i="1"/>
  <c r="AC5" i="1"/>
  <c r="AC6" i="1"/>
  <c r="AC7" i="1"/>
  <c r="AC19" i="1"/>
  <c r="AC15" i="1"/>
  <c r="F25" i="1"/>
  <c r="O64" i="1" l="1"/>
  <c r="P21" i="1"/>
  <c r="Q69" i="1"/>
  <c r="AD69" i="1" s="1"/>
  <c r="AD68"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AB2" i="1"/>
  <c r="O65" i="1" l="1"/>
  <c r="P22" i="1"/>
  <c r="AC21" i="1"/>
  <c r="Q70" i="1"/>
  <c r="Q71" i="1" s="1"/>
  <c r="Q72" i="1" s="1"/>
  <c r="J50" i="1"/>
  <c r="J51" i="1" s="1"/>
  <c r="H47" i="1"/>
  <c r="H48" i="1" s="1"/>
  <c r="I47" i="1"/>
  <c r="I48" i="1" s="1"/>
  <c r="I49" i="1" s="1"/>
  <c r="I50" i="1" s="1"/>
  <c r="K43" i="1"/>
  <c r="N27" i="1"/>
  <c r="M28" i="1"/>
  <c r="M29" i="1" s="1"/>
  <c r="L30" i="1"/>
  <c r="G29" i="1"/>
  <c r="F28" i="1"/>
  <c r="O66" i="1" l="1"/>
  <c r="O67" i="1" s="1"/>
  <c r="O68" i="1" s="1"/>
  <c r="P23" i="1"/>
  <c r="AD58" i="1"/>
  <c r="Q73" i="1"/>
  <c r="AD71" i="1"/>
  <c r="AD72"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AB13" i="1"/>
  <c r="AB19" i="1"/>
  <c r="AB5" i="1"/>
  <c r="AB15" i="1"/>
  <c r="AB4" i="1"/>
  <c r="AB18" i="1"/>
  <c r="AB26" i="1"/>
  <c r="AB66" i="1"/>
  <c r="AB59" i="1"/>
  <c r="AB67" i="1"/>
  <c r="AB58" i="1"/>
  <c r="AB71" i="1"/>
  <c r="AB68" i="1"/>
  <c r="AB62" i="1"/>
  <c r="AB57" i="1"/>
  <c r="AB61" i="1"/>
  <c r="AB21" i="1"/>
  <c r="AB6" i="1"/>
  <c r="AB56" i="1"/>
  <c r="AB7" i="1"/>
  <c r="AB60" i="1"/>
  <c r="AB63" i="1"/>
  <c r="AB65" i="1"/>
  <c r="AB64" i="1"/>
  <c r="AD73" i="1"/>
  <c r="Q74" i="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B25" i="1"/>
  <c r="AD74" i="1" l="1"/>
  <c r="Q75" i="1"/>
  <c r="AB70" i="1"/>
  <c r="AB69" i="1"/>
  <c r="AB72" i="1"/>
  <c r="O73" i="1"/>
  <c r="O74" i="1" s="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B30" i="1"/>
  <c r="N31" i="1"/>
  <c r="AD75" i="1" l="1"/>
  <c r="Q76" i="1"/>
  <c r="AD76" i="1" s="1"/>
  <c r="AB74" i="1"/>
  <c r="O75" i="1"/>
  <c r="AB73" i="1"/>
  <c r="P26" i="1"/>
  <c r="AC25" i="1"/>
  <c r="H65" i="1"/>
  <c r="J67" i="1"/>
  <c r="W2" i="1"/>
  <c r="I54" i="1"/>
  <c r="I55" i="1" s="1"/>
  <c r="I56" i="1" s="1"/>
  <c r="I57" i="1" s="1"/>
  <c r="I58" i="1" s="1"/>
  <c r="I59" i="1" s="1"/>
  <c r="I60" i="1" s="1"/>
  <c r="I61" i="1" s="1"/>
  <c r="I62" i="1" s="1"/>
  <c r="F51" i="1"/>
  <c r="G47" i="1"/>
  <c r="K47" i="1"/>
  <c r="L35" i="1"/>
  <c r="M34" i="1"/>
  <c r="AB31" i="1"/>
  <c r="N32" i="1"/>
  <c r="N33" i="1" s="1"/>
  <c r="AB29" i="1"/>
  <c r="AB75" i="1" l="1"/>
  <c r="O76" i="1"/>
  <c r="AB76" i="1" s="1"/>
  <c r="P27" i="1"/>
  <c r="AC26" i="1"/>
  <c r="H66" i="1"/>
  <c r="J68" i="1"/>
  <c r="I63" i="1"/>
  <c r="I64" i="1" s="1"/>
  <c r="I65" i="1" s="1"/>
  <c r="I66" i="1" s="1"/>
  <c r="F52" i="1"/>
  <c r="AD36" i="1"/>
  <c r="G48" i="1"/>
  <c r="K48" i="1"/>
  <c r="L36" i="1"/>
  <c r="M35" i="1"/>
  <c r="AC17" i="1"/>
  <c r="N34" i="1"/>
  <c r="N35" i="1" s="1"/>
  <c r="N36" i="1" s="1"/>
  <c r="N37" i="1" s="1"/>
  <c r="N38" i="1" s="1"/>
  <c r="N39" i="1" s="1"/>
  <c r="N40" i="1" s="1"/>
  <c r="N41" i="1" s="1"/>
  <c r="N42" i="1" s="1"/>
  <c r="AB17" i="1"/>
  <c r="P28" i="1" l="1"/>
  <c r="I67" i="1"/>
  <c r="I68" i="1" s="1"/>
  <c r="I69" i="1" s="1"/>
  <c r="H67" i="1"/>
  <c r="J69" i="1"/>
  <c r="AD37" i="1"/>
  <c r="F53" i="1"/>
  <c r="F54" i="1" s="1"/>
  <c r="F55" i="1" s="1"/>
  <c r="F56" i="1" s="1"/>
  <c r="F57" i="1" s="1"/>
  <c r="F58" i="1" s="1"/>
  <c r="F59" i="1" s="1"/>
  <c r="F60" i="1" s="1"/>
  <c r="F61" i="1" s="1"/>
  <c r="F62" i="1" s="1"/>
  <c r="K49" i="1"/>
  <c r="K50" i="1" s="1"/>
  <c r="G49" i="1"/>
  <c r="N43" i="1"/>
  <c r="AB40" i="1"/>
  <c r="AB32" i="1"/>
  <c r="L37" i="1"/>
  <c r="AC16" i="1"/>
  <c r="AB37" i="1"/>
  <c r="AB16" i="1"/>
  <c r="M36" i="1"/>
  <c r="AB36" i="1"/>
  <c r="AB34" i="1"/>
  <c r="AB22" i="1"/>
  <c r="AC22" i="1"/>
  <c r="P29" i="1" l="1"/>
  <c r="J70" i="1"/>
  <c r="I70" i="1"/>
  <c r="H68" i="1"/>
  <c r="H69" i="1" s="1"/>
  <c r="H70" i="1" s="1"/>
  <c r="H71" i="1" s="1"/>
  <c r="H72" i="1" s="1"/>
  <c r="F63" i="1"/>
  <c r="F64" i="1" s="1"/>
  <c r="F65" i="1" s="1"/>
  <c r="F66" i="1" s="1"/>
  <c r="F67" i="1" s="1"/>
  <c r="F68" i="1" s="1"/>
  <c r="F69" i="1" s="1"/>
  <c r="AB38" i="1"/>
  <c r="AB41" i="1"/>
  <c r="AB39" i="1"/>
  <c r="AB42" i="1"/>
  <c r="K51" i="1"/>
  <c r="G50" i="1"/>
  <c r="AD38" i="1"/>
  <c r="N44" i="1"/>
  <c r="AB43" i="1"/>
  <c r="L38" i="1"/>
  <c r="L39" i="1" s="1"/>
  <c r="AB33" i="1"/>
  <c r="M37" i="1"/>
  <c r="V2" i="1" l="1"/>
  <c r="P30" i="1"/>
  <c r="AC29" i="1"/>
  <c r="H73" i="1"/>
  <c r="J71" i="1"/>
  <c r="I71" i="1"/>
  <c r="F70" i="1"/>
  <c r="F71" i="1" s="1"/>
  <c r="F72" i="1" s="1"/>
  <c r="F73" i="1" s="1"/>
  <c r="U2" i="1"/>
  <c r="S2" i="1"/>
  <c r="K52" i="1"/>
  <c r="K53" i="1" s="1"/>
  <c r="G51" i="1"/>
  <c r="AD39" i="1"/>
  <c r="AC23" i="1"/>
  <c r="AB46" i="1"/>
  <c r="N45" i="1"/>
  <c r="L40" i="1"/>
  <c r="M38" i="1"/>
  <c r="M39" i="1" s="1"/>
  <c r="M40" i="1" s="1"/>
  <c r="H74" i="1" l="1"/>
  <c r="F74" i="1"/>
  <c r="S56" i="1" s="1"/>
  <c r="P31" i="1"/>
  <c r="AC31" i="1" s="1"/>
  <c r="AC30" i="1"/>
  <c r="I72" i="1"/>
  <c r="J72" i="1"/>
  <c r="S67" i="1"/>
  <c r="N46" i="1"/>
  <c r="N47" i="1" s="1"/>
  <c r="N48" i="1" s="1"/>
  <c r="G52" i="1"/>
  <c r="K54" i="1"/>
  <c r="K55" i="1" s="1"/>
  <c r="K56" i="1" s="1"/>
  <c r="K57" i="1" s="1"/>
  <c r="K58" i="1" s="1"/>
  <c r="K59" i="1" s="1"/>
  <c r="K60" i="1" s="1"/>
  <c r="K61" i="1" s="1"/>
  <c r="K62" i="1" s="1"/>
  <c r="K63" i="1" s="1"/>
  <c r="K64" i="1" s="1"/>
  <c r="K65" i="1" s="1"/>
  <c r="K66" i="1" s="1"/>
  <c r="AB23" i="1"/>
  <c r="AB47" i="1"/>
  <c r="M41" i="1"/>
  <c r="L41" i="1"/>
  <c r="S66" i="1" l="1"/>
  <c r="S76"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AC32" i="1" s="1"/>
  <c r="J73" i="1"/>
  <c r="I73" i="1"/>
  <c r="K67" i="1"/>
  <c r="G53" i="1"/>
  <c r="N49" i="1"/>
  <c r="N50" i="1" s="1"/>
  <c r="AB35" i="1"/>
  <c r="AC28"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H76" i="1" l="1"/>
  <c r="U49" i="1"/>
  <c r="U74" i="1"/>
  <c r="U75" i="1"/>
  <c r="U58" i="1"/>
  <c r="U39" i="1"/>
  <c r="U54" i="1"/>
  <c r="U45" i="1"/>
  <c r="U69" i="1"/>
  <c r="U70" i="1"/>
  <c r="U59" i="1"/>
  <c r="U51" i="1"/>
  <c r="U56" i="1"/>
  <c r="U46" i="1"/>
  <c r="U64" i="1"/>
  <c r="U66" i="1"/>
  <c r="J74" i="1"/>
  <c r="I74" i="1"/>
  <c r="P33" i="1"/>
  <c r="AC33" i="1" s="1"/>
  <c r="K68" i="1"/>
  <c r="G54" i="1"/>
  <c r="R2" i="1"/>
  <c r="N51" i="1"/>
  <c r="N52" i="1" s="1"/>
  <c r="N53" i="1" s="1"/>
  <c r="N54" i="1" s="1"/>
  <c r="N55" i="1" s="1"/>
  <c r="AB45" i="1"/>
  <c r="AC11" i="1"/>
  <c r="AC27" i="1"/>
  <c r="AC10" i="1"/>
  <c r="AC8" i="1"/>
  <c r="AC24" i="1"/>
  <c r="AC9" i="1"/>
  <c r="AC12" i="1"/>
  <c r="M43" i="1"/>
  <c r="L43" i="1"/>
  <c r="U76" i="1" l="1"/>
  <c r="U71" i="1"/>
  <c r="U67" i="1"/>
  <c r="U50" i="1"/>
  <c r="U72" i="1"/>
  <c r="U57" i="1"/>
  <c r="U55" i="1"/>
  <c r="U47" i="1"/>
  <c r="U40" i="1"/>
  <c r="U44" i="1"/>
  <c r="U73" i="1"/>
  <c r="U52" i="1"/>
  <c r="U42" i="1"/>
  <c r="U61" i="1"/>
  <c r="U60" i="1"/>
  <c r="U41" i="1"/>
  <c r="U68" i="1"/>
  <c r="U65" i="1"/>
  <c r="U62" i="1"/>
  <c r="U48" i="1"/>
  <c r="U43" i="1"/>
  <c r="U63" i="1"/>
  <c r="U53" i="1"/>
  <c r="J75" i="1"/>
  <c r="I75" i="1"/>
  <c r="I76" i="1" s="1"/>
  <c r="V76" i="1" s="1"/>
  <c r="V63" i="1"/>
  <c r="V42" i="1"/>
  <c r="V74" i="1"/>
  <c r="V69" i="1"/>
  <c r="V64" i="1"/>
  <c r="V48" i="1"/>
  <c r="V67" i="1"/>
  <c r="V59" i="1"/>
  <c r="V52" i="1"/>
  <c r="V65" i="1"/>
  <c r="V55" i="1"/>
  <c r="V44" i="1"/>
  <c r="V61" i="1"/>
  <c r="V72" i="1"/>
  <c r="P34" i="1"/>
  <c r="AC34" i="1" s="1"/>
  <c r="K69" i="1"/>
  <c r="N56" i="1"/>
  <c r="N57" i="1" s="1"/>
  <c r="N58" i="1" s="1"/>
  <c r="G55" i="1"/>
  <c r="AC3" i="1"/>
  <c r="AC20" i="1"/>
  <c r="AC14"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V73" i="1" l="1"/>
  <c r="V40" i="1"/>
  <c r="V57" i="1"/>
  <c r="V58" i="1"/>
  <c r="V47" i="1"/>
  <c r="V50" i="1"/>
  <c r="V49" i="1"/>
  <c r="V68" i="1"/>
  <c r="V54" i="1"/>
  <c r="V71" i="1"/>
  <c r="V43" i="1"/>
  <c r="V51" i="1"/>
  <c r="V70" i="1"/>
  <c r="V62" i="1"/>
  <c r="V45" i="1"/>
  <c r="V46" i="1"/>
  <c r="V66" i="1"/>
  <c r="W75" i="1"/>
  <c r="J76" i="1"/>
  <c r="V75" i="1"/>
  <c r="V53" i="1"/>
  <c r="V60" i="1"/>
  <c r="V39" i="1"/>
  <c r="V41" i="1"/>
  <c r="V5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W76" i="1" l="1"/>
  <c r="W50" i="1"/>
  <c r="W62" i="1"/>
  <c r="W39" i="1"/>
  <c r="W47" i="1"/>
  <c r="W55" i="1"/>
  <c r="W66" i="1"/>
  <c r="W65" i="1"/>
  <c r="W52" i="1"/>
  <c r="W70" i="1"/>
  <c r="W45" i="1"/>
  <c r="W41" i="1"/>
  <c r="W40" i="1"/>
  <c r="W44" i="1"/>
  <c r="W58" i="1"/>
  <c r="W56" i="1"/>
  <c r="W61" i="1"/>
  <c r="W59" i="1"/>
  <c r="W48" i="1"/>
  <c r="W42" i="1"/>
  <c r="W71" i="1"/>
  <c r="W54" i="1"/>
  <c r="W69" i="1"/>
  <c r="W57" i="1"/>
  <c r="W46" i="1"/>
  <c r="W64" i="1"/>
  <c r="W68" i="1"/>
  <c r="W49" i="1"/>
  <c r="W74" i="1"/>
  <c r="W67" i="1"/>
  <c r="W73" i="1"/>
  <c r="W63" i="1"/>
  <c r="W51" i="1"/>
  <c r="W60" i="1"/>
  <c r="W72" i="1"/>
  <c r="W43" i="1"/>
  <c r="W53" i="1"/>
  <c r="P36" i="1"/>
  <c r="AC35" i="1"/>
  <c r="AC36" i="1"/>
  <c r="K72" i="1"/>
  <c r="N60" i="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N61" i="1" l="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N67" i="1" l="1"/>
  <c r="N68" i="1" s="1"/>
  <c r="K74" i="1"/>
  <c r="P38" i="1"/>
  <c r="AC38" i="1" s="1"/>
  <c r="G62" i="1"/>
  <c r="M51" i="1"/>
  <c r="M52" i="1" s="1"/>
  <c r="M53" i="1" s="1"/>
  <c r="L50" i="1"/>
  <c r="G63" i="1" l="1"/>
  <c r="G64" i="1" s="1"/>
  <c r="K75" i="1"/>
  <c r="P39" i="1"/>
  <c r="N69" i="1"/>
  <c r="M54" i="1"/>
  <c r="M55" i="1" s="1"/>
  <c r="L51" i="1"/>
  <c r="L52" i="1" s="1"/>
  <c r="L53" i="1" s="1"/>
  <c r="K76" i="1" l="1"/>
  <c r="X4" i="1" s="1"/>
  <c r="P40" i="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N70" i="1"/>
  <c r="G65" i="1"/>
  <c r="G66" i="1" s="1"/>
  <c r="G67" i="1" s="1"/>
  <c r="G68" i="1" s="1"/>
  <c r="G69" i="1" s="1"/>
  <c r="G70" i="1" s="1"/>
  <c r="G71" i="1" s="1"/>
  <c r="G72" i="1" s="1"/>
  <c r="M56" i="1"/>
  <c r="M57" i="1" s="1"/>
  <c r="L54" i="1"/>
  <c r="X29" i="1" l="1"/>
  <c r="X13" i="1"/>
  <c r="X5" i="1"/>
  <c r="X68" i="1"/>
  <c r="X19" i="1"/>
  <c r="X64" i="1"/>
  <c r="X3" i="1"/>
  <c r="X75" i="1"/>
  <c r="X6" i="1"/>
  <c r="X11" i="1"/>
  <c r="X46" i="1"/>
  <c r="X40" i="1"/>
  <c r="X49" i="1"/>
  <c r="X36" i="1"/>
  <c r="X35" i="1"/>
  <c r="X9" i="1"/>
  <c r="X48" i="1"/>
  <c r="X65" i="1"/>
  <c r="X23" i="1"/>
  <c r="X28" i="1"/>
  <c r="X20" i="1"/>
  <c r="X12" i="1"/>
  <c r="X63" i="1"/>
  <c r="X60" i="1"/>
  <c r="X15" i="1"/>
  <c r="X31" i="1"/>
  <c r="X14" i="1"/>
  <c r="X2" i="1"/>
  <c r="X76" i="1"/>
  <c r="X25" i="1"/>
  <c r="X33" i="1"/>
  <c r="X41" i="1"/>
  <c r="X32" i="1"/>
  <c r="X67" i="1"/>
  <c r="X56" i="1"/>
  <c r="X42" i="1"/>
  <c r="X43" i="1"/>
  <c r="X66" i="1"/>
  <c r="X38" i="1"/>
  <c r="X74" i="1"/>
  <c r="X47" i="1"/>
  <c r="X16" i="1"/>
  <c r="X50" i="1"/>
  <c r="X26" i="1"/>
  <c r="X34" i="1"/>
  <c r="X44" i="1"/>
  <c r="X45" i="1"/>
  <c r="X10" i="1"/>
  <c r="X30" i="1"/>
  <c r="X18" i="1"/>
  <c r="X39" i="1"/>
  <c r="X73" i="1"/>
  <c r="X59" i="1"/>
  <c r="X71" i="1"/>
  <c r="X54" i="1"/>
  <c r="X24" i="1"/>
  <c r="X37" i="1"/>
  <c r="X72" i="1"/>
  <c r="X61" i="1"/>
  <c r="X51" i="1"/>
  <c r="X7" i="1"/>
  <c r="X21" i="1"/>
  <c r="X55" i="1"/>
  <c r="X27" i="1"/>
  <c r="X57" i="1"/>
  <c r="X69" i="1"/>
  <c r="X52" i="1"/>
  <c r="X70" i="1"/>
  <c r="X17" i="1"/>
  <c r="X62" i="1"/>
  <c r="X58" i="1"/>
  <c r="X22" i="1"/>
  <c r="X8" i="1"/>
  <c r="X53" i="1"/>
  <c r="AC45" i="1"/>
  <c r="AC44" i="1"/>
  <c r="AA2" i="1"/>
  <c r="AC54" i="1"/>
  <c r="AC52" i="1"/>
  <c r="AC68" i="1"/>
  <c r="P69" i="1"/>
  <c r="P70" i="1" s="1"/>
  <c r="P71" i="1" s="1"/>
  <c r="P72" i="1" s="1"/>
  <c r="P73" i="1" s="1"/>
  <c r="AC50" i="1"/>
  <c r="AC49" i="1"/>
  <c r="AC48" i="1"/>
  <c r="G73" i="1"/>
  <c r="N71" i="1"/>
  <c r="M58" i="1"/>
  <c r="M59" i="1" s="1"/>
  <c r="M60" i="1" s="1"/>
  <c r="L55" i="1"/>
  <c r="L56" i="1" s="1"/>
  <c r="L57" i="1" s="1"/>
  <c r="L58" i="1" s="1"/>
  <c r="L59" i="1" s="1"/>
  <c r="L60" i="1" s="1"/>
  <c r="L61" i="1" s="1"/>
  <c r="L62" i="1" s="1"/>
  <c r="L63" i="1" s="1"/>
  <c r="L64" i="1" s="1"/>
  <c r="L65" i="1" s="1"/>
  <c r="L66" i="1" s="1"/>
  <c r="G74" i="1" l="1"/>
  <c r="G75" i="1" s="1"/>
  <c r="AC73" i="1"/>
  <c r="P74" i="1"/>
  <c r="N72" i="1"/>
  <c r="N73" i="1" s="1"/>
  <c r="L67" i="1"/>
  <c r="M61" i="1"/>
  <c r="G76" i="1" l="1"/>
  <c r="T76" i="1" s="1"/>
  <c r="T2" i="1"/>
  <c r="AC51" i="1"/>
  <c r="P75" i="1"/>
  <c r="T6" i="1"/>
  <c r="T5" i="1"/>
  <c r="T74" i="1"/>
  <c r="T71" i="1"/>
  <c r="T40" i="1"/>
  <c r="T64" i="1"/>
  <c r="T66" i="1"/>
  <c r="T50" i="1"/>
  <c r="T33" i="1"/>
  <c r="T68" i="1"/>
  <c r="T9" i="1"/>
  <c r="T15" i="1"/>
  <c r="T67" i="1"/>
  <c r="T57" i="1"/>
  <c r="T43" i="1"/>
  <c r="T20" i="1"/>
  <c r="T39" i="1"/>
  <c r="T72" i="1"/>
  <c r="T10" i="1"/>
  <c r="T11" i="1"/>
  <c r="T35" i="1"/>
  <c r="T28" i="1"/>
  <c r="T27" i="1"/>
  <c r="T52" i="1"/>
  <c r="T14" i="1"/>
  <c r="T29" i="1"/>
  <c r="T56" i="1"/>
  <c r="T12" i="1"/>
  <c r="T30" i="1"/>
  <c r="T26" i="1"/>
  <c r="T63" i="1"/>
  <c r="T54" i="1"/>
  <c r="T45" i="1"/>
  <c r="T19" i="1"/>
  <c r="T18" i="1"/>
  <c r="T38" i="1"/>
  <c r="N74" i="1"/>
  <c r="AC74" i="1"/>
  <c r="AC57" i="1"/>
  <c r="AC56" i="1"/>
  <c r="AC66" i="1"/>
  <c r="AC67" i="1"/>
  <c r="AC62" i="1"/>
  <c r="AC59" i="1"/>
  <c r="AC65" i="1"/>
  <c r="AC64" i="1"/>
  <c r="AC63" i="1"/>
  <c r="AC61" i="1"/>
  <c r="AC60" i="1"/>
  <c r="AC69" i="1"/>
  <c r="AC70" i="1"/>
  <c r="AC58" i="1"/>
  <c r="AC71" i="1"/>
  <c r="AC72" i="1"/>
  <c r="AC42" i="1"/>
  <c r="AC37" i="1"/>
  <c r="AC43" i="1"/>
  <c r="AC41" i="1"/>
  <c r="AC47" i="1"/>
  <c r="AC40" i="1"/>
  <c r="AC39" i="1"/>
  <c r="AC55" i="1"/>
  <c r="AC46" i="1"/>
  <c r="L68" i="1"/>
  <c r="M62" i="1"/>
  <c r="Y2" i="1"/>
  <c r="T41" i="1" l="1"/>
  <c r="T62" i="1"/>
  <c r="T21" i="1"/>
  <c r="T42" i="1"/>
  <c r="T69" i="1"/>
  <c r="T32" i="1"/>
  <c r="T25" i="1"/>
  <c r="T16" i="1"/>
  <c r="T61" i="1"/>
  <c r="T55" i="1"/>
  <c r="T31" i="1"/>
  <c r="T22" i="1"/>
  <c r="T70" i="1"/>
  <c r="T59" i="1"/>
  <c r="T23" i="1"/>
  <c r="T37" i="1"/>
  <c r="T7" i="1"/>
  <c r="T13" i="1"/>
  <c r="T8" i="1"/>
  <c r="T60" i="1"/>
  <c r="T51" i="1"/>
  <c r="T36" i="1"/>
  <c r="T24" i="1"/>
  <c r="T65" i="1"/>
  <c r="T46" i="1"/>
  <c r="T48" i="1"/>
  <c r="T44" i="1"/>
  <c r="T17" i="1"/>
  <c r="T49" i="1"/>
  <c r="T47" i="1"/>
  <c r="T58" i="1"/>
  <c r="T34" i="1"/>
  <c r="T73" i="1"/>
  <c r="T4" i="1"/>
  <c r="T3" i="1"/>
  <c r="T75" i="1"/>
  <c r="T53" i="1"/>
  <c r="AC75" i="1"/>
  <c r="P76" i="1"/>
  <c r="AA44" i="1"/>
  <c r="N75" i="1"/>
  <c r="AA3" i="1"/>
  <c r="AA58" i="1"/>
  <c r="AA72" i="1"/>
  <c r="AA73" i="1"/>
  <c r="AA21" i="1"/>
  <c r="AA27" i="1"/>
  <c r="AA10" i="1"/>
  <c r="AA22" i="1"/>
  <c r="AA13" i="1"/>
  <c r="AA6" i="1"/>
  <c r="AA43" i="1"/>
  <c r="AA31" i="1"/>
  <c r="AA30" i="1"/>
  <c r="AA59" i="1"/>
  <c r="AA14" i="1"/>
  <c r="AA23" i="1"/>
  <c r="AA54" i="1"/>
  <c r="AA65" i="1"/>
  <c r="AA47" i="1"/>
  <c r="AA17" i="1"/>
  <c r="AA8" i="1"/>
  <c r="AA39" i="1"/>
  <c r="AA61" i="1"/>
  <c r="AA18" i="1"/>
  <c r="AA15" i="1"/>
  <c r="AA70" i="1"/>
  <c r="AA25" i="1"/>
  <c r="AA37" i="1"/>
  <c r="AA28" i="1"/>
  <c r="AA68" i="1"/>
  <c r="AA19" i="1"/>
  <c r="AA38" i="1"/>
  <c r="AA62" i="1"/>
  <c r="AA63" i="1"/>
  <c r="AA60" i="1"/>
  <c r="AA66" i="1"/>
  <c r="AA64" i="1"/>
  <c r="AA71" i="1"/>
  <c r="AA45" i="1"/>
  <c r="AA50" i="1"/>
  <c r="AA55" i="1"/>
  <c r="AA46" i="1"/>
  <c r="AA29" i="1"/>
  <c r="AA16" i="1"/>
  <c r="AA67" i="1"/>
  <c r="AA7" i="1"/>
  <c r="AA20" i="1"/>
  <c r="AA48" i="1"/>
  <c r="AA49" i="1"/>
  <c r="AA33" i="1"/>
  <c r="AA40" i="1"/>
  <c r="AA35" i="1"/>
  <c r="AA42" i="1"/>
  <c r="AA12" i="1"/>
  <c r="AA34" i="1"/>
  <c r="AA9" i="1"/>
  <c r="AA36" i="1"/>
  <c r="AA41" i="1"/>
  <c r="AA5" i="1"/>
  <c r="AA32" i="1"/>
  <c r="AA69" i="1"/>
  <c r="AA56" i="1"/>
  <c r="AA24" i="1"/>
  <c r="AA11" i="1"/>
  <c r="AA52" i="1"/>
  <c r="AA26" i="1"/>
  <c r="AA4" i="1"/>
  <c r="AA57" i="1"/>
  <c r="AA74" i="1"/>
  <c r="AA51" i="1"/>
  <c r="L69" i="1"/>
  <c r="M63" i="1"/>
  <c r="M64" i="1" s="1"/>
  <c r="M65" i="1" s="1"/>
  <c r="M66" i="1" s="1"/>
  <c r="AC76" i="1" l="1"/>
  <c r="AC53" i="1"/>
  <c r="AA75" i="1"/>
  <c r="N76" i="1"/>
  <c r="AA76" i="1" s="1"/>
  <c r="L70" i="1"/>
  <c r="M67" i="1"/>
  <c r="AA53" i="1" l="1"/>
  <c r="L71" i="1"/>
  <c r="L72" i="1" s="1"/>
  <c r="L73" i="1" s="1"/>
  <c r="M68" i="1"/>
  <c r="L74" i="1" l="1"/>
  <c r="L75" i="1" s="1"/>
  <c r="M69" i="1"/>
  <c r="Y75" i="1" l="1"/>
  <c r="L76" i="1"/>
  <c r="Y76" i="1" s="1"/>
  <c r="Y69" i="1"/>
  <c r="Y63" i="1"/>
  <c r="Y20" i="1"/>
  <c r="Y64" i="1"/>
  <c r="Y16" i="1"/>
  <c r="Y27" i="1"/>
  <c r="Y48" i="1"/>
  <c r="Y38" i="1"/>
  <c r="Y19" i="1"/>
  <c r="Y43" i="1"/>
  <c r="Y36" i="1"/>
  <c r="Y39" i="1"/>
  <c r="Y37" i="1"/>
  <c r="Y14" i="1"/>
  <c r="Y10" i="1"/>
  <c r="Y53" i="1"/>
  <c r="Y61" i="1"/>
  <c r="Y59" i="1"/>
  <c r="Y60" i="1"/>
  <c r="Y12" i="1"/>
  <c r="Y44" i="1"/>
  <c r="Y40" i="1"/>
  <c r="Y8" i="1"/>
  <c r="Y26" i="1"/>
  <c r="Y21" i="1"/>
  <c r="Y52" i="1"/>
  <c r="Y35" i="1"/>
  <c r="Y54" i="1"/>
  <c r="Y28" i="1"/>
  <c r="Y49" i="1"/>
  <c r="Y34" i="1"/>
  <c r="Y22" i="1"/>
  <c r="Y72" i="1"/>
  <c r="Y68" i="1"/>
  <c r="Y67" i="1"/>
  <c r="Y58" i="1"/>
  <c r="Y57" i="1"/>
  <c r="Y62" i="1"/>
  <c r="Y25" i="1"/>
  <c r="Y18" i="1"/>
  <c r="Y7" i="1"/>
  <c r="Y55" i="1"/>
  <c r="Y11" i="1"/>
  <c r="Y5" i="1"/>
  <c r="Y29" i="1"/>
  <c r="Y46" i="1"/>
  <c r="Y41" i="1"/>
  <c r="Y6" i="1"/>
  <c r="Y32" i="1"/>
  <c r="Y47" i="1"/>
  <c r="Y66" i="1"/>
  <c r="Y65" i="1"/>
  <c r="Y56" i="1"/>
  <c r="Y17" i="1"/>
  <c r="Y23" i="1"/>
  <c r="Y42" i="1"/>
  <c r="Y45" i="1"/>
  <c r="Y15" i="1"/>
  <c r="Y33" i="1"/>
  <c r="Y50" i="1"/>
  <c r="Y24" i="1"/>
  <c r="Y9" i="1"/>
  <c r="Y30" i="1"/>
  <c r="Y13" i="1"/>
  <c r="Y4" i="1"/>
  <c r="Y71" i="1"/>
  <c r="Y70" i="1"/>
  <c r="Y3" i="1"/>
  <c r="Y73" i="1"/>
  <c r="Y31" i="1"/>
  <c r="Y74" i="1"/>
  <c r="Y51" i="1"/>
  <c r="M70" i="1"/>
  <c r="M71" i="1" l="1"/>
  <c r="M72" i="1" l="1"/>
  <c r="M73" i="1" l="1"/>
  <c r="M74" i="1" l="1"/>
  <c r="M75" i="1" s="1"/>
  <c r="Z75" i="1" l="1"/>
  <c r="M76" i="1"/>
  <c r="Z76" i="1" s="1"/>
  <c r="Z2" i="1"/>
  <c r="Z27" i="1"/>
  <c r="Z48" i="1"/>
  <c r="Z64" i="1"/>
  <c r="Z21" i="1"/>
  <c r="Z13" i="1"/>
  <c r="Z6" i="1"/>
  <c r="Z24" i="1"/>
  <c r="Z4" i="1"/>
  <c r="Z46" i="1"/>
  <c r="Z26" i="1"/>
  <c r="Z17" i="1"/>
  <c r="Z32" i="1"/>
  <c r="Z41" i="1"/>
  <c r="Z36" i="1"/>
  <c r="Z56" i="1"/>
  <c r="Z29" i="1"/>
  <c r="Z53" i="1"/>
  <c r="Z66" i="1"/>
  <c r="Z49" i="1"/>
  <c r="Z38" i="1"/>
  <c r="Z25" i="1"/>
  <c r="Z33" i="1"/>
  <c r="Z14" i="1"/>
  <c r="Z57" i="1"/>
  <c r="Z61" i="1"/>
  <c r="Z50" i="1"/>
  <c r="Z52" i="1"/>
  <c r="Z23" i="1"/>
  <c r="Z54" i="1"/>
  <c r="Z59" i="1"/>
  <c r="Z37" i="1"/>
  <c r="Z42" i="1"/>
  <c r="Z62" i="1"/>
  <c r="Z28" i="1"/>
  <c r="Z16" i="1"/>
  <c r="Z60" i="1"/>
  <c r="Z43" i="1"/>
  <c r="Z30" i="1"/>
  <c r="Z19" i="1"/>
  <c r="Z11" i="1"/>
  <c r="Z68" i="1"/>
  <c r="Z39" i="1"/>
  <c r="Z34" i="1"/>
  <c r="Z9" i="1"/>
  <c r="Z55" i="1"/>
  <c r="Z67" i="1"/>
  <c r="Z44" i="1"/>
  <c r="Z20" i="1"/>
  <c r="Z63" i="1"/>
  <c r="Z5" i="1"/>
  <c r="Z10" i="1"/>
  <c r="Z35" i="1"/>
  <c r="Z65" i="1"/>
  <c r="Z15" i="1"/>
  <c r="Z7" i="1"/>
  <c r="Z45" i="1"/>
  <c r="Z22" i="1"/>
  <c r="Z8" i="1"/>
  <c r="Z3" i="1"/>
  <c r="Z18" i="1"/>
  <c r="Z40" i="1"/>
  <c r="Z47" i="1"/>
  <c r="Z69" i="1"/>
  <c r="Z70" i="1"/>
  <c r="Z58" i="1"/>
  <c r="Z73" i="1"/>
  <c r="Z31" i="1"/>
  <c r="Z12" i="1"/>
  <c r="Z72" i="1"/>
  <c r="Z71" i="1"/>
  <c r="Z74" i="1"/>
  <c r="Z51"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<sst xmlns="http://schemas.openxmlformats.org/spreadsheetml/2006/main" count="891" uniqueCount="541">
  <si>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</si>
  <si>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</si>
  <si>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</si>
  <si>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</si>
  <si>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</si>
  <si>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</si>
  <si>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</si>
  <si>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</si>
  <si>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</si>
  <si>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</si>
  <si>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</si>
  <si>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</si>
  <si>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</si>
  <si>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</si>
  <si>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</si>
  <si>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</si>
  <si>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</si>
  <si>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</si>
  <si>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</si>
  <si>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</si>
  <si>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</si>
  <si>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</si>
  <si>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</si>
  <si>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</si>
  <si>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</si>
  <si>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</si>
  <si>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</si>
  <si>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</si>
  <si>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</si>
  <si>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</si>
  <si>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</si>
  <si>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</si>
  <si>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</si>
  <si>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</si>
  <si>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</si>
  <si>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</si>
  <si>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</si>
  <si>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</si>
  <si>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</si>
  <si>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</si>
  <si>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</si>
  <si>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</si>
  <si>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</si>
  <si>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</si>
  <si>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</si>
  <si>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</si>
  <si>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</si>
  <si>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</si>
  <si>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</si>
  <si>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</si>
  <si>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</si>
  <si>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</si>
  <si>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</si>
  <si>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</si>
  <si>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</si>
  <si>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</si>
  <si>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</si>
  <si>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</si>
  <si>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</si>
  <si>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</si>
  <si>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</si>
  <si>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</si>
  <si>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</si>
  <si>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</si>
  <si>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</si>
  <si>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</si>
  <si>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</si>
  <si>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</si>
  <si>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</si>
  <si>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</si>
  <si>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</si>
  <si>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</si>
  <si>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</si>
  <si>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</si>
  <si>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</si>
  <si>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</si>
  <si>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</si>
  <si>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</si>
  <si>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</si>
  <si>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</si>
  <si>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</si>
  <si>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</si>
  <si>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</si>
  <si>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</si>
  <si>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</si>
  <si>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</si>
  <si>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</si>
  <si>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</si>
  <si>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</si>
  <si>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</si>
  <si>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</si>
  <si>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</si>
  <si>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</si>
  <si>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</si>
  <si>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</si>
  <si>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</si>
  <si>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</si>
  <si>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</si>
  <si>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</si>
  <si>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</si>
  <si>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</si>
  <si>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</si>
  <si>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</si>
  <si>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</si>
  <si>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</si>
  <si>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</si>
  <si>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</si>
  <si>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</si>
  <si>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</si>
  <si>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</si>
  <si>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</si>
  <si>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</si>
  <si>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</si>
  <si>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</si>
  <si>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</si>
  <si>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</si>
  <si>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</si>
  <si>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</si>
  <si>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</si>
  <si>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</si>
  <si>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</si>
  <si>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</si>
  <si>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</si>
  <si>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</si>
  <si>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</si>
  <si>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</si>
  <si>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</si>
  <si>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</si>
  <si>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</si>
  <si>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</si>
  <si>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</si>
  <si>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</si>
  <si>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</si>
  <si>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</si>
  <si>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</si>
  <si>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</si>
  <si>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</si>
  <si>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</si>
  <si>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</si>
  <si>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</si>
  <si>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</si>
  <si>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</si>
  <si>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</si>
  <si>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</si>
  <si>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</si>
  <si>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</si>
  <si>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</si>
  <si>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</si>
  <si>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</si>
  <si>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</si>
  <si>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</si>
  <si>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</si>
  <si>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</si>
  <si>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</si>
  <si>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</si>
  <si>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</si>
  <si>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</si>
  <si>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</si>
  <si>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</si>
  <si>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</si>
  <si>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</si>
  <si>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</si>
  <si>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</si>
  <si>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</si>
  <si>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</si>
  <si>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</si>
  <si>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</si>
  <si>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</si>
  <si>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</si>
  <si>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</si>
  <si>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</si>
  <si>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</si>
  <si>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</si>
  <si>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</si>
  <si>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</si>
  <si>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</si>
  <si>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</si>
  <si>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</si>
  <si>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</si>
  <si>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</si>
  <si>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</si>
  <si>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</si>
  <si>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</si>
  <si>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</si>
  <si>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</si>
  <si>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</si>
  <si>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</si>
  <si>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</si>
  <si>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</si>
  <si>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</si>
  <si>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</si>
  <si>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</si>
  <si>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</si>
  <si>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</si>
  <si>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</si>
  <si>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</si>
  <si>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</si>
  <si>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</si>
  <si>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</si>
  <si>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</si>
  <si>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</si>
  <si>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</si>
  <si>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</si>
  <si>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</si>
  <si>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</si>
  <si>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</si>
  <si>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</si>
  <si>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</si>
  <si>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</si>
  <si>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</si>
  <si>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</si>
  <si>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</si>
  <si>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</si>
  <si>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</si>
  <si>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</si>
  <si>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</si>
  <si>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</si>
  <si>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</si>
  <si>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</si>
  <si>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</si>
  <si>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</si>
  <si>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</si>
  <si>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</si>
  <si>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</si>
  <si>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</si>
  <si>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</si>
  <si>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</si>
  <si>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</si>
  <si>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</si>
  <si>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</si>
  <si>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</si>
  <si>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</si>
  <si>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</si>
  <si>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</si>
  <si>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</si>
  <si>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</si>
  <si>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</si>
  <si>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</si>
  <si>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</si>
  <si>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</si>
  <si>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</si>
  <si>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</si>
  <si>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</si>
  <si>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</si>
  <si>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</si>
  <si>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</si>
  <si>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</si>
  <si>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</si>
  <si>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</si>
  <si>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</si>
  <si>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</si>
  <si>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</si>
  <si>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</si>
  <si>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</si>
  <si>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</si>
  <si>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</si>
  <si>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</si>
  <si>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</si>
  <si>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</si>
  <si>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</si>
  <si>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</si>
  <si>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</si>
  <si>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</si>
  <si>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</si>
  <si>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</si>
  <si>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</si>
  <si>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</si>
  <si>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</si>
  <si>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</si>
  <si>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</si>
  <si>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</si>
  <si>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</si>
  <si>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</si>
  <si>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</si>
  <si>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</si>
  <si>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</si>
  <si>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</si>
  <si>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</si>
  <si>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</si>
  <si>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</si>
  <si>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</si>
  <si>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</si>
  <si>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</si>
  <si>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</si>
  <si>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</si>
  <si>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</si>
  <si>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</si>
  <si>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</si>
  <si>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</si>
  <si>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</si>
  <si>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</si>
  <si>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</si>
  <si>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</si>
  <si>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</si>
  <si>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</si>
  <si>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</si>
  <si>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</si>
  <si>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</si>
  <si>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</si>
  <si>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</si>
  <si>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</si>
  <si>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</si>
  <si>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</si>
  <si>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</si>
  <si>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</si>
  <si>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</si>
  <si>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</si>
  <si>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</si>
  <si>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</si>
  <si>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</si>
  <si>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</si>
  <si>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</si>
  <si>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</si>
  <si>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</si>
  <si>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</si>
  <si>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</si>
  <si>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</si>
  <si>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</si>
  <si>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</si>
  <si>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</si>
  <si>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</si>
  <si>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</si>
  <si>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</si>
  <si>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</si>
  <si>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</si>
  <si>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</si>
  <si>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</si>
  <si>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</si>
  <si>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</si>
  <si>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</si>
  <si>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</si>
  <si>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</si>
  <si>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</si>
  <si>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</si>
  <si>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</si>
  <si>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</si>
  <si>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</si>
  <si>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</si>
  <si>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</si>
  <si>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</si>
  <si>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</si>
  <si>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</si>
  <si>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</si>
  <si>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</si>
  <si>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</si>
  <si>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</si>
  <si>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</si>
  <si>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</si>
  <si>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</si>
  <si>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</si>
  <si>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</si>
  <si>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</si>
  <si>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</si>
  <si>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</si>
  <si>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</si>
  <si>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</si>
  <si>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</si>
  <si>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</si>
  <si>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</si>
  <si>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</si>
  <si>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</si>
  <si>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</si>
  <si>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</si>
  <si>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</si>
  <si>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</si>
  <si>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</si>
  <si>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</si>
  <si>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</si>
  <si>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</si>
  <si>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</si>
  <si>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</si>
  <si>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</si>
  <si>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</si>
  <si>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</si>
  <si>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</si>
  <si>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</si>
  <si>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</si>
  <si>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</si>
  <si>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</si>
  <si>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</si>
  <si>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</si>
  <si>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</si>
  <si>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</si>
  <si>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</si>
  <si>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</si>
  <si>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</si>
  <si>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</si>
  <si>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</si>
  <si>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</si>
  <si>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</si>
  <si>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</si>
  <si>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</si>
  <si>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</si>
  <si>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</si>
  <si>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</si>
  <si>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</si>
  <si>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</si>
  <si>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</si>
  <si>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</si>
  <si>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</si>
  <si>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</si>
  <si>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</si>
  <si>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</si>
  <si>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</si>
  <si>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</si>
  <si>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</si>
  <si>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</si>
  <si>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</si>
  <si>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</si>
  <si>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</si>
  <si>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</si>
  <si>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</si>
  <si>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</si>
  <si>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</si>
  <si>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</si>
  <si>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</si>
  <si>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</si>
  <si>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</si>
  <si>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</si>
  <si>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</si>
  <si>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</si>
  <si>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</si>
  <si>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</si>
  <si>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</si>
  <si>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</si>
  <si>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</si>
  <si>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</si>
  <si>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</si>
  <si>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</si>
  <si>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</si>
  <si>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</si>
  <si>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</si>
  <si>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</si>
  <si>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</si>
  <si>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</si>
  <si>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</si>
  <si>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</si>
  <si>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</si>
  <si>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</si>
  <si>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</si>
  <si>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</si>
  <si>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</si>
  <si>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</si>
  <si>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</si>
  <si>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</si>
  <si>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</si>
  <si>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</si>
  <si>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</si>
  <si>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</si>
  <si>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</si>
  <si>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</si>
  <si>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</si>
  <si>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</si>
  <si>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</si>
  <si>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</si>
  <si>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</si>
  <si>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</si>
  <si>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</si>
  <si>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</si>
  <si>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</si>
  <si>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</si>
  <si>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</si>
  <si>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</si>
  <si>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</si>
  <si>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</si>
  <si>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</si>
  <si>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</si>
  <si>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</si>
  <si>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</si>
  <si>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</si>
  <si>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</si>
  <si>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</si>
  <si>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</si>
  <si>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</si>
  <si>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</si>
  <si>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</si>
  <si>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</si>
  <si>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</si>
  <si>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</si>
  <si>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</si>
  <si>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</si>
  <si>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</si>
  <si>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</si>
  <si>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</si>
  <si>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</si>
  <si>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</si>
  <si>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</si>
  <si>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</si>
  <si>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</si>
  <si>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</si>
  <si>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</si>
  <si>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</si>
  <si>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</si>
  <si>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</si>
  <si>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</si>
  <si>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</si>
  <si>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</si>
  <si>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</si>
  <si>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</si>
  <si>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</si>
  <si>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</si>
  <si>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</si>
  <si>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</si>
  <si>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</si>
  <si>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</si>
  <si>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</si>
  <si>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</si>
  <si>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</si>
  <si>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</si>
  <si>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</si>
  <si>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</si>
  <si>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</si>
  <si>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</si>
  <si>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</si>
  <si>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</si>
  <si>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</si>
  <si>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</si>
  <si>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</si>
  <si>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Shunmei</t>
  </si>
  <si>
    <t>100 ml</t>
  </si>
  <si>
    <t>Правый</t>
  </si>
  <si>
    <t>Abbot Whisper MS</t>
  </si>
  <si>
    <t>Abbot Whisper LS</t>
  </si>
  <si>
    <t xml:space="preserve">проходим, контуры ровные. Антеградный  кровоток TIMI III. </t>
  </si>
  <si>
    <t>Совместно с д/кардиологом: с учетом клинических данных, ЭКГ и КАГ рекомендована реканализация ПНА</t>
  </si>
  <si>
    <t>Мельникова А.Н.</t>
  </si>
  <si>
    <t>21:42</t>
  </si>
  <si>
    <r>
      <t>29</t>
    </r>
    <r>
      <rPr>
        <sz val="12"/>
        <color theme="1"/>
        <rFont val="Calibri"/>
        <family val="2"/>
        <charset val="204"/>
      </rPr>
      <t>→</t>
    </r>
    <r>
      <rPr>
        <sz val="12"/>
        <color theme="1"/>
        <rFont val="Times New Roman"/>
        <family val="1"/>
        <charset val="204"/>
      </rPr>
      <t>35</t>
    </r>
  </si>
  <si>
    <t xml:space="preserve">выраженный кальциноз пркосимального сегмента, окклюзия на уровне устья ПНА, окклюзия на уровне устья ДВ с кальцинированным стенозом не менее 95%I, стенозы среднего сегмента ПНА 30%.  Антеградный  кровоток TIMI 0. Rentrip - 1 из системы ПКА.  </t>
  </si>
  <si>
    <t xml:space="preserve">стенозы средней трети ОА 30%, стеноз устья с переходом на прокс/3 ВТК 30%. Антеградный  кровоток TIMI III. </t>
  </si>
  <si>
    <t xml:space="preserve">стеноз проксимальнго сегмента 40%, стеноз среднего сегмента 70%, стенозы дистального сегмента до 50%. Антеградный  кровоток TIMI III. </t>
  </si>
  <si>
    <t>бедренный</t>
  </si>
  <si>
    <t>М/О ушито Angio-Seal™</t>
  </si>
  <si>
    <t>200 ml</t>
  </si>
  <si>
    <t>20 ml</t>
  </si>
  <si>
    <r>
      <rPr>
        <sz val="11"/>
        <color theme="1"/>
        <rFont val="Calibri"/>
        <family val="2"/>
        <charset val="204"/>
        <scheme val="minor"/>
      </rPr>
      <t>1)Контроль места пункции, повязка  на руке до 6 ч.</t>
    </r>
    <r>
      <rPr>
        <u/>
        <sz val="11"/>
        <color theme="1"/>
        <rFont val="Calibri"/>
        <family val="2"/>
        <charset val="204"/>
        <scheme val="minor"/>
      </rPr>
      <t xml:space="preserve"> 2) Контроль креатинина,  диурез </t>
    </r>
  </si>
  <si>
    <t>Устье ствола ЛКА катетеризировано проводниковым катетером Launcher EBU  3.5 6Fr. Коронарный проводник Whisper LS проведен в ОА, проводник Pilot 150 из-за характера анатомии с техническими сложностями удалось провести за зону окклюзии в дистальный сегмент ПНА. Выполнена реканализация артерии БК Колибри 2.75 - 12.  Далее в проксимальный сегмент  с полным покрытием устья и значимых стенозов ПНА   последовательно с оверлаппингом  имплантированы DES Evermine 3.0 - 32 и  DES Evermine 3.0 - 16, давлением до  18 атм. На контрольных съемках стенты раскрыты удовлетворительно, признаков краевых диссекций, тромбоза, экстравазации контрастного вещества не выявлено, ДВ не контрастируется.   Ангиографический результат удовлетворительный, кровоток по ПНА восстановлен до TIMI III. Пациентка в тяжёлом состоянии транспортируется в ПРИТ для дальнейшего наблюдения и лечения.состоянии транспортируется в ПРИТ для дальнейшего наблюдения и лечения.</t>
  </si>
  <si>
    <t>Pilot 150</t>
  </si>
  <si>
    <t>2,75 - 12</t>
  </si>
  <si>
    <t>3,0 - 16</t>
  </si>
  <si>
    <t>Angio-Seal™ VIP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</si>
</sst>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
      <sz val="12"/>
      <color theme="1"/>
      <name val="Calibri"/>
      <family val="2"/>
      <charset val="204"/>
    </font>
  </fonts>
  <fills count="11">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5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5"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4"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3"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7" fillId="8" borderId="18" xfId="6" applyFont="1" applyBorder="1" applyAlignment="1" applyProtection="1">
      <alignment horizontal="left" vertical="center"/>
    </xf>
    <xf numFmtId="0" fontId="0" fillId="0" borderId="0" xfId="0" applyNumberFormat="1"/>
    <xf numFmtId="0" fontId="27" fillId="8" borderId="18" xfId="6" applyFont="1" applyBorder="1" applyAlignment="1" applyProtection="1">
      <alignment horizontal="left" vertical="center"/>
      <protection locked="0"/>
    </xf>
    <xf numFmtId="0" fontId="22" fillId="8" borderId="16" xfId="6" applyFont="1" applyBorder="1" applyAlignment="1" applyProtection="1">
      <alignment horizontal="left" vertical="center"/>
      <protection locked="0"/>
    </xf>
    <xf numFmtId="0" fontId="0" fillId="0" borderId="0" xfId="0" applyBorder="1"/>
    <xf numFmtId="0" fontId="50"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70" fillId="0" borderId="0" xfId="0" applyFont="1" applyAlignment="1" applyProtection="1">
      <alignment horizontal="justify" vertical="top" wrapText="1"/>
      <protection locked="0"/>
    </xf>
    <xf numFmtId="0" fontId="2" fillId="0" borderId="0" xfId="0" applyFont="1" applyAlignment="1" applyProtection="1">
      <alignment horizontal="justify" vertical="top" wrapText="1"/>
      <protection locked="0"/>
    </xf>
    <xf numFmtId="0" fontId="2"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2" fillId="0" borderId="0" xfId="0" applyFont="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69" fillId="0" borderId="12" xfId="0" applyFont="1" applyBorder="1" applyAlignment="1" applyProtection="1">
      <alignment horizontal="justify" vertical="top" wrapText="1"/>
      <protection locked="0"/>
    </xf>
    <xf numFmtId="0" fontId="69" fillId="0" borderId="0" xfId="0" applyFont="1" applyAlignment="1">
      <alignment horizontal="justify" vertical="top" wrapText="1"/>
    </xf>
    <xf numFmtId="0" fontId="69" fillId="0" borderId="13" xfId="0" applyFont="1" applyBorder="1" applyAlignment="1">
      <alignment horizontal="justify" vertical="top" wrapText="1"/>
    </xf>
    <xf numFmtId="0" fontId="69"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28575</xdr:rowOff>
    </xdr:from>
    <xdr:to>
      <xdr:col>1</xdr:col>
      <xdr:colOff>1428750</xdr:colOff>
      <xdr:row>49</xdr:row>
      <xdr:rowOff>45285</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5"/>
          <a:ext cx="2619375" cy="1645485"/>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76" totalsRowShown="0">
  <sortState ref="A2:C68">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0" totalsRowShown="0">
  <autoFilter ref="A21:B90"/>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tabSelected="1" showWhiteSpace="0" view="pageBreakPreview" zoomScaleNormal="100" zoomScaleSheetLayoutView="100" zoomScalePageLayoutView="90" workbookViewId="0">
      <selection activeCell="K22" sqref="K22"/>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7" t="s">
        <v>213</v>
      </c>
      <c r="B6" s="218"/>
      <c r="C6" s="218"/>
      <c r="D6" s="218"/>
      <c r="E6" s="218"/>
      <c r="F6" s="218"/>
      <c r="G6" s="218"/>
      <c r="H6" s="219"/>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45450</v>
      </c>
      <c r="C8" s="54"/>
      <c r="D8" s="16" t="s">
        <v>186</v>
      </c>
      <c r="E8" s="29"/>
      <c r="F8" s="29"/>
      <c r="G8" s="17"/>
      <c r="H8" s="18"/>
    </row>
    <row r="9" spans="1:8" ht="15.6" customHeight="1">
      <c r="A9" s="21" t="s">
        <v>193</v>
      </c>
      <c r="B9" s="22">
        <v>0.92013888888888884</v>
      </c>
      <c r="C9" s="54"/>
      <c r="D9" s="94" t="s">
        <v>172</v>
      </c>
      <c r="E9" s="92"/>
      <c r="F9" s="92"/>
      <c r="G9" s="23" t="s">
        <v>163</v>
      </c>
      <c r="H9" s="25"/>
    </row>
    <row r="10" spans="1:8" ht="15.6" customHeight="1" thickBot="1">
      <c r="A10" s="83" t="s">
        <v>194</v>
      </c>
      <c r="B10" s="84">
        <v>0.92499999999999993</v>
      </c>
      <c r="C10" s="55"/>
      <c r="D10" s="95" t="s">
        <v>173</v>
      </c>
      <c r="E10" s="93"/>
      <c r="F10" s="93"/>
      <c r="G10" s="24" t="s">
        <v>159</v>
      </c>
      <c r="H10" s="26"/>
    </row>
    <row r="11" spans="1:8" ht="17.25" thickTop="1" thickBot="1">
      <c r="A11" s="89" t="s">
        <v>192</v>
      </c>
      <c r="B11" s="203" t="s">
        <v>525</v>
      </c>
      <c r="C11" s="8"/>
      <c r="D11" s="95" t="s">
        <v>170</v>
      </c>
      <c r="E11" s="93"/>
      <c r="F11" s="93"/>
      <c r="G11" s="24" t="s">
        <v>254</v>
      </c>
      <c r="H11" s="26"/>
    </row>
    <row r="12" spans="1:8" ht="16.5" thickTop="1">
      <c r="A12" s="81" t="s">
        <v>8</v>
      </c>
      <c r="B12" s="82">
        <v>18405</v>
      </c>
      <c r="C12" s="12"/>
      <c r="D12" s="95" t="s">
        <v>303</v>
      </c>
      <c r="E12" s="93"/>
      <c r="F12" s="93"/>
      <c r="G12" s="24" t="s">
        <v>178</v>
      </c>
      <c r="H12" s="26"/>
    </row>
    <row r="13" spans="1:8" ht="15.75">
      <c r="A13" s="15" t="s">
        <v>10</v>
      </c>
      <c r="B13" s="30">
        <f>DATEDIF(B12,B8,"y")</f>
        <v>74</v>
      </c>
      <c r="C13" s="12"/>
      <c r="D13" s="95"/>
      <c r="E13" s="93"/>
      <c r="F13" s="93"/>
      <c r="G13" s="24"/>
      <c r="H13" s="26"/>
    </row>
    <row r="14" spans="1:8" ht="15.75">
      <c r="A14" s="15" t="s">
        <v>12</v>
      </c>
      <c r="B14" s="19">
        <v>16385</v>
      </c>
      <c r="C14" s="12"/>
      <c r="D14" s="36"/>
      <c r="E14" s="36"/>
      <c r="F14" s="36"/>
      <c r="G14" s="37"/>
      <c r="H14" s="56"/>
    </row>
    <row r="15" spans="1:8" ht="15.75">
      <c r="A15" s="15" t="s">
        <v>133</v>
      </c>
      <c r="B15" s="19" t="s">
        <v>527</v>
      </c>
      <c r="D15" s="36"/>
      <c r="E15" s="36"/>
      <c r="F15" s="36"/>
      <c r="G15" s="165" t="s">
        <v>398</v>
      </c>
      <c r="H15" s="169" t="s">
        <v>526</v>
      </c>
    </row>
    <row r="16" spans="1:8" ht="15.6" customHeight="1">
      <c r="A16" s="15" t="s">
        <v>106</v>
      </c>
      <c r="B16" s="19" t="s">
        <v>484</v>
      </c>
      <c r="D16" s="36"/>
      <c r="E16" s="36"/>
      <c r="F16" s="36"/>
      <c r="G16" s="166" t="s">
        <v>400</v>
      </c>
      <c r="H16" s="164">
        <v>6900</v>
      </c>
    </row>
    <row r="17" spans="1:8" ht="14.45" customHeight="1">
      <c r="A17" s="40"/>
      <c r="B17" s="31"/>
      <c r="C17" s="31"/>
      <c r="D17" s="88"/>
      <c r="E17" s="88"/>
      <c r="F17" s="88"/>
      <c r="G17" s="167" t="s">
        <v>387</v>
      </c>
      <c r="H17" s="168">
        <f>H16*0.0019</f>
        <v>13.11</v>
      </c>
    </row>
    <row r="18" spans="1:8" ht="14.45" customHeight="1">
      <c r="A18" s="57" t="s">
        <v>188</v>
      </c>
      <c r="B18" s="87" t="s">
        <v>520</v>
      </c>
      <c r="D18" s="28" t="s">
        <v>210</v>
      </c>
      <c r="E18" s="28"/>
      <c r="F18" s="28"/>
      <c r="G18" s="85" t="s">
        <v>189</v>
      </c>
      <c r="H18" s="86" t="s">
        <v>531</v>
      </c>
    </row>
    <row r="19" spans="1:8" ht="14.45" customHeight="1">
      <c r="A19" s="40"/>
      <c r="B19" s="31"/>
      <c r="C19" s="31"/>
      <c r="D19" s="34"/>
      <c r="E19" s="34"/>
      <c r="F19" s="34"/>
      <c r="G19" s="31"/>
      <c r="H19" s="41"/>
    </row>
    <row r="20" spans="1:8" ht="14.45" customHeight="1">
      <c r="A20" s="57" t="s">
        <v>212</v>
      </c>
      <c r="B20" s="220" t="s">
        <v>523</v>
      </c>
      <c r="C20" s="221"/>
      <c r="D20" s="221"/>
      <c r="E20" s="221"/>
      <c r="F20" s="221"/>
      <c r="G20" s="221"/>
      <c r="H20" s="222"/>
    </row>
    <row r="21" spans="1:8">
      <c r="A21" s="58"/>
      <c r="B21" s="223"/>
      <c r="C21" s="223"/>
      <c r="D21" s="223"/>
      <c r="E21" s="223"/>
      <c r="F21" s="223"/>
      <c r="G21" s="223"/>
      <c r="H21" s="224"/>
    </row>
    <row r="22" spans="1:8" ht="15.6" customHeight="1">
      <c r="A22" s="59" t="s">
        <v>271</v>
      </c>
      <c r="B22" s="225" t="s">
        <v>528</v>
      </c>
      <c r="C22" s="225"/>
      <c r="D22" s="225"/>
      <c r="E22" s="225"/>
      <c r="F22" s="225"/>
      <c r="G22" s="225"/>
      <c r="H22" s="226"/>
    </row>
    <row r="23" spans="1:8" ht="14.45" customHeight="1">
      <c r="A23" s="38"/>
      <c r="B23" s="227"/>
      <c r="C23" s="227"/>
      <c r="D23" s="227"/>
      <c r="E23" s="227"/>
      <c r="F23" s="227"/>
      <c r="G23" s="227"/>
      <c r="H23" s="228"/>
    </row>
    <row r="24" spans="1:8" ht="14.45" customHeight="1">
      <c r="A24" s="60"/>
      <c r="B24" s="227"/>
      <c r="C24" s="227"/>
      <c r="D24" s="227"/>
      <c r="E24" s="227"/>
      <c r="F24" s="227"/>
      <c r="G24" s="227"/>
      <c r="H24" s="228"/>
    </row>
    <row r="25" spans="1:8" ht="14.45" customHeight="1">
      <c r="A25" s="38"/>
      <c r="B25" s="227"/>
      <c r="C25" s="227"/>
      <c r="D25" s="227"/>
      <c r="E25" s="227"/>
      <c r="F25" s="227"/>
      <c r="G25" s="227"/>
      <c r="H25" s="228"/>
    </row>
    <row r="26" spans="1:8" ht="14.45" customHeight="1">
      <c r="A26" s="40"/>
      <c r="B26" s="229"/>
      <c r="C26" s="229"/>
      <c r="D26" s="229"/>
      <c r="E26" s="229"/>
      <c r="F26" s="229"/>
      <c r="G26" s="229"/>
      <c r="H26" s="230"/>
    </row>
    <row r="27" spans="1:8" ht="14.45" customHeight="1">
      <c r="A27" s="59" t="s">
        <v>272</v>
      </c>
      <c r="B27" s="225" t="s">
        <v>529</v>
      </c>
      <c r="C27" s="225"/>
      <c r="D27" s="225"/>
      <c r="E27" s="225"/>
      <c r="F27" s="225"/>
      <c r="G27" s="225"/>
      <c r="H27" s="226"/>
    </row>
    <row r="28" spans="1:8" ht="15.6" customHeight="1">
      <c r="A28" s="38"/>
      <c r="B28" s="227"/>
      <c r="C28" s="227"/>
      <c r="D28" s="227"/>
      <c r="E28" s="227"/>
      <c r="F28" s="227"/>
      <c r="G28" s="227"/>
      <c r="H28" s="228"/>
    </row>
    <row r="29" spans="1:8" ht="14.45" customHeight="1">
      <c r="A29" s="38"/>
      <c r="B29" s="227"/>
      <c r="C29" s="227"/>
      <c r="D29" s="227"/>
      <c r="E29" s="227"/>
      <c r="F29" s="227"/>
      <c r="G29" s="227"/>
      <c r="H29" s="228"/>
    </row>
    <row r="30" spans="1:8" ht="14.45" customHeight="1">
      <c r="A30" s="32"/>
      <c r="B30" s="227"/>
      <c r="C30" s="227"/>
      <c r="D30" s="227"/>
      <c r="E30" s="227"/>
      <c r="F30" s="227"/>
      <c r="G30" s="227"/>
      <c r="H30" s="228"/>
    </row>
    <row r="31" spans="1:8" ht="14.45" customHeight="1">
      <c r="A31" s="33"/>
      <c r="B31" s="229"/>
      <c r="C31" s="229"/>
      <c r="D31" s="229"/>
      <c r="E31" s="229"/>
      <c r="F31" s="229"/>
      <c r="G31" s="229"/>
      <c r="H31" s="230"/>
    </row>
    <row r="32" spans="1:8" ht="14.45" customHeight="1">
      <c r="A32" s="59" t="s">
        <v>273</v>
      </c>
      <c r="B32" s="225" t="s">
        <v>530</v>
      </c>
      <c r="C32" s="225"/>
      <c r="D32" s="225"/>
      <c r="E32" s="225"/>
      <c r="F32" s="225"/>
      <c r="G32" s="225"/>
      <c r="H32" s="226"/>
    </row>
    <row r="33" spans="1:8" ht="14.45" customHeight="1">
      <c r="A33" s="38"/>
      <c r="B33" s="227"/>
      <c r="C33" s="227"/>
      <c r="D33" s="227"/>
      <c r="E33" s="227"/>
      <c r="F33" s="227"/>
      <c r="G33" s="227"/>
      <c r="H33" s="228"/>
    </row>
    <row r="34" spans="1:8" ht="15.6" customHeight="1">
      <c r="A34" s="38"/>
      <c r="B34" s="227"/>
      <c r="C34" s="227"/>
      <c r="D34" s="227"/>
      <c r="E34" s="227"/>
      <c r="F34" s="227"/>
      <c r="G34" s="227"/>
      <c r="H34" s="228"/>
    </row>
    <row r="35" spans="1:8" ht="14.45" customHeight="1">
      <c r="A35" s="38"/>
      <c r="B35" s="227"/>
      <c r="C35" s="227"/>
      <c r="D35" s="227"/>
      <c r="E35" s="227"/>
      <c r="F35" s="227"/>
      <c r="G35" s="227"/>
      <c r="H35" s="228"/>
    </row>
    <row r="36" spans="1:8" ht="15.6" customHeight="1">
      <c r="A36" s="38"/>
      <c r="B36" s="227"/>
      <c r="C36" s="227"/>
      <c r="D36" s="227"/>
      <c r="E36" s="227"/>
      <c r="F36" s="227"/>
      <c r="G36" s="227"/>
      <c r="H36" s="228"/>
    </row>
    <row r="37" spans="1:8" ht="14.45" customHeight="1">
      <c r="A37" s="38"/>
      <c r="D37" s="213" t="str">
        <f>IF($A$6=Вмешательства!$D$3,Вмешательства!$F$18,"")</f>
        <v/>
      </c>
      <c r="E37" s="213"/>
      <c r="F37" s="119"/>
      <c r="G37" s="119"/>
      <c r="H37" s="123"/>
    </row>
    <row r="38" spans="1:8" ht="14.45" customHeight="1">
      <c r="A38" s="38"/>
      <c r="C38" s="124"/>
      <c r="D38" s="214"/>
      <c r="E38" s="215"/>
      <c r="F38" s="215"/>
      <c r="G38" s="215"/>
      <c r="H38" s="216"/>
    </row>
    <row r="39" spans="1:8" ht="14.45" customHeight="1">
      <c r="A39" s="35"/>
      <c r="B39" s="119"/>
      <c r="C39" s="124"/>
      <c r="D39" s="215"/>
      <c r="E39" s="215"/>
      <c r="F39" s="215"/>
      <c r="G39" s="215"/>
      <c r="H39" s="216"/>
    </row>
    <row r="40" spans="1:8" ht="14.45" customHeight="1">
      <c r="A40" s="35"/>
      <c r="B40" s="119"/>
      <c r="C40" s="124"/>
      <c r="D40" s="215"/>
      <c r="E40" s="215"/>
      <c r="F40" s="215"/>
      <c r="G40" s="215"/>
      <c r="H40" s="216"/>
    </row>
    <row r="41" spans="1:8" ht="14.45" customHeight="1">
      <c r="A41" s="35"/>
      <c r="B41" s="119"/>
      <c r="C41" s="124"/>
      <c r="D41" s="215"/>
      <c r="E41" s="215"/>
      <c r="F41" s="215"/>
      <c r="G41" s="215"/>
      <c r="H41" s="216"/>
    </row>
    <row r="42" spans="1:8" ht="14.45" customHeight="1">
      <c r="A42" s="35"/>
      <c r="B42" s="119"/>
      <c r="C42" s="125"/>
      <c r="D42" s="127"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19"/>
      <c r="C43" s="126"/>
      <c r="D43" s="210" t="s">
        <v>524</v>
      </c>
      <c r="E43" s="211"/>
      <c r="F43" s="211"/>
      <c r="G43" s="211"/>
      <c r="H43" s="212"/>
    </row>
    <row r="44" spans="1:8" ht="14.45" customHeight="1">
      <c r="A44" s="35"/>
      <c r="B44" s="119"/>
      <c r="C44" s="126"/>
      <c r="D44" s="211"/>
      <c r="E44" s="211"/>
      <c r="F44" s="211"/>
      <c r="G44" s="211"/>
      <c r="H44" s="212"/>
    </row>
    <row r="45" spans="1:8" ht="14.45" customHeight="1">
      <c r="A45" s="35"/>
      <c r="B45" s="119"/>
      <c r="C45" s="126"/>
      <c r="D45" s="211"/>
      <c r="E45" s="211"/>
      <c r="F45" s="211"/>
      <c r="G45" s="211"/>
      <c r="H45" s="212"/>
    </row>
    <row r="46" spans="1:8">
      <c r="A46" s="35"/>
      <c r="B46" s="119"/>
      <c r="C46" s="126"/>
      <c r="D46" s="211"/>
      <c r="E46" s="211"/>
      <c r="F46" s="211"/>
      <c r="G46" s="211"/>
      <c r="H46" s="212"/>
    </row>
    <row r="47" spans="1:8">
      <c r="A47" s="38"/>
      <c r="C47" s="126"/>
      <c r="D47" s="211"/>
      <c r="E47" s="211"/>
      <c r="F47" s="211"/>
      <c r="G47" s="211"/>
      <c r="H47" s="212"/>
    </row>
    <row r="48" spans="1:8">
      <c r="A48" s="38"/>
      <c r="C48" s="126"/>
      <c r="D48" s="211"/>
      <c r="E48" s="211"/>
      <c r="F48" s="211"/>
      <c r="G48" s="211"/>
      <c r="H48" s="212"/>
    </row>
    <row r="49" spans="1:13">
      <c r="A49" s="38"/>
      <c r="B49" s="205"/>
      <c r="C49" s="206"/>
      <c r="D49" s="211"/>
      <c r="E49" s="211"/>
      <c r="F49" s="211"/>
      <c r="G49" s="211"/>
      <c r="H49" s="212"/>
    </row>
    <row r="50" spans="1:13">
      <c r="A50" s="38"/>
      <c r="D50" s="211"/>
      <c r="E50" s="211"/>
      <c r="F50" s="211"/>
      <c r="G50" s="211"/>
      <c r="H50" s="212"/>
      <c r="M50" t="s">
        <v>211</v>
      </c>
    </row>
    <row r="51" spans="1:13">
      <c r="A51" s="62" t="s">
        <v>199</v>
      </c>
      <c r="B51" s="63" t="s">
        <v>519</v>
      </c>
      <c r="G51" s="74" t="str">
        <f>$G$9</f>
        <v>Щербаков А.С.</v>
      </c>
      <c r="H51" s="64"/>
    </row>
    <row r="52" spans="1:13">
      <c r="A52" s="38"/>
      <c r="H52" s="39"/>
    </row>
    <row r="53" spans="1:13">
      <c r="A53" s="65" t="s">
        <v>206</v>
      </c>
      <c r="B53" s="66" t="s">
        <v>532</v>
      </c>
      <c r="G53" s="74" t="str">
        <f>IF(ISBLANK(H9),"",H9)</f>
        <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showWhiteSpace="0" view="pageBreakPreview" topLeftCell="A7" zoomScaleNormal="100" zoomScaleSheetLayoutView="100" zoomScalePageLayoutView="90" workbookViewId="0">
      <selection activeCell="L30" sqref="L30"/>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41" t="s">
        <v>208</v>
      </c>
      <c r="B6" s="242"/>
      <c r="C6" s="242"/>
      <c r="D6" s="242"/>
      <c r="E6" s="242"/>
      <c r="F6" s="242"/>
      <c r="G6" s="242"/>
      <c r="H6" s="243"/>
    </row>
    <row r="7" spans="1:8" ht="21.6" customHeight="1">
      <c r="A7" s="241"/>
      <c r="B7" s="242"/>
      <c r="C7" s="242"/>
      <c r="D7" s="242"/>
      <c r="E7" s="242"/>
      <c r="F7" s="242"/>
      <c r="G7" s="242"/>
      <c r="H7" s="243"/>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40" t="s">
        <v>221</v>
      </c>
      <c r="D8" s="240"/>
      <c r="E8" s="240"/>
      <c r="F8" s="190">
        <v>2</v>
      </c>
      <c r="G8" s="118" t="s">
        <v>309</v>
      </c>
      <c r="H8" s="158"/>
    </row>
    <row r="9" spans="1:8" ht="15.75" thickTop="1">
      <c r="A9" s="52" t="str">
        <f>"Код модели:"&amp;" "&amp;IFERROR(IF(ISBLANK(H8),IF(A6=Вмешательства!D4,INDEX(Код.Модели[#All],MATCH(ЧКВ!B21,Код.Модели[[#All],[Диагноз]],0),MATCH(ЧКВ!C11,Вмешательства!F2:T2,0))," ")," "),"")</f>
        <v>Код модели: 21166</v>
      </c>
      <c r="C9" s="240"/>
      <c r="D9" s="240"/>
      <c r="E9" s="240"/>
      <c r="F9" s="190"/>
      <c r="G9" s="118"/>
      <c r="H9" s="39"/>
    </row>
    <row r="10" spans="1:8">
      <c r="A10" s="52" t="str">
        <f>"Код метода:"&amp;" "&amp;IFERROR(IF(ISBLANK(ЧКВ!H8),IF(A6=Вмешательства!D4,INDEX(Код.Метода[#All],MATCH(ЧКВ!B21,Код.Метода[[#All],[Диагноз]],0),MATCH(ЧКВ!C11,Вмешательства!F12:T12,0))," ")," "),"")</f>
        <v>Код метода: 46</v>
      </c>
      <c r="B10" s="189"/>
      <c r="C10" s="244"/>
      <c r="D10" s="244"/>
      <c r="E10" s="244"/>
      <c r="F10" s="193"/>
      <c r="G10" s="118"/>
      <c r="H10" s="39"/>
    </row>
    <row r="11" spans="1:8">
      <c r="A11" s="192"/>
      <c r="B11" s="196"/>
      <c r="C11" s="199">
        <f>SUM(F8:F10)</f>
        <v>2</v>
      </c>
      <c r="H11" s="39"/>
    </row>
    <row r="12" spans="1:8" ht="18.75">
      <c r="A12" s="75" t="s">
        <v>191</v>
      </c>
      <c r="B12" s="20">
        <f>КАГ!B8</f>
        <v>45450</v>
      </c>
      <c r="C12" s="12"/>
      <c r="D12" s="16" t="s">
        <v>186</v>
      </c>
      <c r="E12" s="29"/>
      <c r="F12" s="29"/>
      <c r="G12" s="17"/>
      <c r="H12" s="18"/>
    </row>
    <row r="13" spans="1:8" ht="15.75">
      <c r="A13" s="76" t="s">
        <v>193</v>
      </c>
      <c r="B13" s="22">
        <v>0.92499999999999993</v>
      </c>
      <c r="C13" s="12"/>
      <c r="D13" s="94" t="s">
        <v>172</v>
      </c>
      <c r="E13" s="92"/>
      <c r="F13" s="92"/>
      <c r="G13" s="79" t="str">
        <f>КАГ!G9</f>
        <v>Щербаков А.С.</v>
      </c>
      <c r="H13" s="90" t="str">
        <f>IF(ISBLANK(КАГ!H9),"",КАГ!H9)</f>
        <v/>
      </c>
    </row>
    <row r="14" spans="1:8" ht="15.75">
      <c r="A14" s="76" t="s">
        <v>194</v>
      </c>
      <c r="B14" s="22">
        <v>0.97916666666666663</v>
      </c>
      <c r="C14" s="12"/>
      <c r="D14" s="95" t="s">
        <v>173</v>
      </c>
      <c r="E14" s="93"/>
      <c r="F14" s="93"/>
      <c r="G14" s="80" t="str">
        <f>КАГ!G10</f>
        <v>Нефёдова А.А.</v>
      </c>
      <c r="H14" s="91" t="str">
        <f>IF(ISBLANK(КАГ!H10),"",КАГ!H10)</f>
        <v/>
      </c>
    </row>
    <row r="15" spans="1:8" ht="16.5" thickBot="1">
      <c r="A15" s="163" t="s">
        <v>386</v>
      </c>
      <c r="B15" s="188">
        <f>IF(B14&lt;B13,B14+1,B14)-B13</f>
        <v>5.4166666666666696E-2</v>
      </c>
      <c r="D15" s="95" t="s">
        <v>170</v>
      </c>
      <c r="E15" s="93"/>
      <c r="F15" s="93"/>
      <c r="G15" s="80" t="str">
        <f>КАГ!G11</f>
        <v>Молотков А.В.</v>
      </c>
      <c r="H15" s="91" t="str">
        <f>IF(ISBLANK(КАГ!H11),"",КАГ!H11)</f>
        <v/>
      </c>
    </row>
    <row r="16" spans="1:8" ht="17.25" thickTop="1" thickBot="1">
      <c r="A16" s="89" t="s">
        <v>192</v>
      </c>
      <c r="B16" s="201" t="str">
        <f>КАГ!B11</f>
        <v>Мельникова А.Н.</v>
      </c>
      <c r="C16" s="200">
        <f>LEN(КАГ!B11)</f>
        <v>15</v>
      </c>
      <c r="D16" s="95" t="s">
        <v>303</v>
      </c>
      <c r="E16" s="93"/>
      <c r="F16" s="93"/>
      <c r="G16" s="80" t="str">
        <f>КАГ!G12</f>
        <v>Галамага Н.Е.</v>
      </c>
      <c r="H16" s="91" t="str">
        <f>IF(ISBLANK(КАГ!H12),"",КАГ!H12)</f>
        <v/>
      </c>
    </row>
    <row r="17" spans="1:8" ht="16.5" thickTop="1">
      <c r="A17" s="15" t="s">
        <v>8</v>
      </c>
      <c r="B17" s="67">
        <f>КАГ!B12</f>
        <v>18405</v>
      </c>
      <c r="D17" s="95" t="s">
        <v>184</v>
      </c>
      <c r="E17" s="93"/>
      <c r="F17" s="93"/>
      <c r="G17" s="80" t="str">
        <f>IF(ISBLANK(КАГ!G13),"",КАГ!G13)</f>
        <v/>
      </c>
      <c r="H17" s="91" t="str">
        <f>IF(ISBLANK(КАГ!H13),"",КАГ!H13)</f>
        <v/>
      </c>
    </row>
    <row r="18" spans="1:8" ht="15.75">
      <c r="A18" s="15" t="s">
        <v>10</v>
      </c>
      <c r="B18" s="30">
        <f>КАГ!B13</f>
        <v>74</v>
      </c>
      <c r="H18" s="39"/>
    </row>
    <row r="19" spans="1:8" ht="14.45" customHeight="1">
      <c r="A19" s="15" t="s">
        <v>12</v>
      </c>
      <c r="B19" s="68">
        <f>КАГ!B14</f>
        <v>16385</v>
      </c>
      <c r="C19" s="69"/>
      <c r="D19" s="69"/>
      <c r="E19" s="69"/>
      <c r="F19" s="69"/>
      <c r="G19" s="165" t="s">
        <v>398</v>
      </c>
      <c r="H19" s="180" t="str">
        <f>КАГ!H15</f>
        <v>21:42</v>
      </c>
    </row>
    <row r="20" spans="1:8" ht="14.45" customHeight="1">
      <c r="A20" s="15" t="s">
        <v>133</v>
      </c>
      <c r="B20" s="68" t="str">
        <f>КАГ!B15</f>
        <v>29→35</v>
      </c>
      <c r="C20" s="70"/>
      <c r="D20" s="70"/>
      <c r="E20" s="70"/>
      <c r="F20" s="70"/>
      <c r="G20" s="166" t="s">
        <v>400</v>
      </c>
      <c r="H20" s="181">
        <f>КАГ!H16</f>
        <v>6900</v>
      </c>
    </row>
    <row r="21" spans="1:8" ht="14.45" customHeight="1">
      <c r="A21" s="15" t="s">
        <v>106</v>
      </c>
      <c r="B21" s="67" t="str">
        <f>КАГ!B16</f>
        <v>ОКС с ↑ ST</v>
      </c>
      <c r="C21" s="70"/>
      <c r="E21" s="71"/>
      <c r="F21" s="71"/>
      <c r="G21" s="167" t="s">
        <v>387</v>
      </c>
      <c r="H21" s="168">
        <f>КАГ!H17</f>
        <v>13.11</v>
      </c>
    </row>
    <row r="22" spans="1:8" ht="14.45" customHeight="1">
      <c r="A22" s="57" t="str">
        <f>КАГ!G18</f>
        <v>Доступ:</v>
      </c>
      <c r="B22" s="77" t="str">
        <f>КАГ!H18</f>
        <v>бедренный</v>
      </c>
      <c r="C22" s="70"/>
      <c r="D22" s="70"/>
      <c r="E22" s="70"/>
      <c r="F22" s="70"/>
      <c r="G22" s="184" t="str">
        <f>IF(B21=Вмешательства!F3,Вмешательства!F19,"")</f>
        <v>Реканализация:</v>
      </c>
      <c r="H22" s="185">
        <f>IF($B$21=Вмешательства!F3,SUM(КАГ!B9+IF($C$16&lt;=10,0.00555555555555556,IF($C$16=11,0.00694444444444444,IF($C$16=12,0.00833333333333333,IF($C$16=13,0.00972222222222222,IF($C$16=14,0.0111111111111111,IF($C$16=15,0.0111111111111111,IF($C$16=16,0.0118055555555556,IF($C$16&gt;=17,0.0138888888888889))))))))),"")</f>
        <v>0.93124999999999991</v>
      </c>
    </row>
    <row r="23" spans="1:8" ht="14.45" customHeight="1">
      <c r="A23" s="65" t="s">
        <v>390</v>
      </c>
      <c r="B23" s="172" t="s">
        <v>389</v>
      </c>
      <c r="C23" s="162"/>
      <c r="D23" s="162"/>
      <c r="E23" s="162"/>
      <c r="F23" s="162"/>
      <c r="H23" s="39"/>
    </row>
    <row r="24" spans="1:8" ht="14.45" customHeight="1">
      <c r="A24" s="183" t="s">
        <v>388</v>
      </c>
      <c r="B24" s="170"/>
      <c r="C24" s="170"/>
      <c r="D24" s="170"/>
      <c r="E24" s="170"/>
      <c r="F24" s="170"/>
      <c r="G24" s="170"/>
      <c r="H24" s="171"/>
    </row>
    <row r="25" spans="1:8" ht="14.45" customHeight="1">
      <c r="A25" s="248" t="s">
        <v>536</v>
      </c>
      <c r="B25" s="249"/>
      <c r="C25" s="249"/>
      <c r="D25" s="249"/>
      <c r="E25" s="249"/>
      <c r="F25" s="249"/>
      <c r="G25" s="249"/>
      <c r="H25" s="250"/>
    </row>
    <row r="26" spans="1:8" ht="14.45" customHeight="1">
      <c r="A26" s="251"/>
      <c r="B26" s="249"/>
      <c r="C26" s="249"/>
      <c r="D26" s="249"/>
      <c r="E26" s="249"/>
      <c r="F26" s="249"/>
      <c r="G26" s="249"/>
      <c r="H26" s="250"/>
    </row>
    <row r="27" spans="1:8" ht="14.45" customHeight="1">
      <c r="A27" s="251"/>
      <c r="B27" s="249"/>
      <c r="C27" s="249"/>
      <c r="D27" s="249"/>
      <c r="E27" s="249"/>
      <c r="F27" s="249"/>
      <c r="G27" s="249"/>
      <c r="H27" s="250"/>
    </row>
    <row r="28" spans="1:8" ht="14.45" customHeight="1">
      <c r="A28" s="251"/>
      <c r="B28" s="249"/>
      <c r="C28" s="249"/>
      <c r="D28" s="249"/>
      <c r="E28" s="249"/>
      <c r="F28" s="249"/>
      <c r="G28" s="249"/>
      <c r="H28" s="250"/>
    </row>
    <row r="29" spans="1:8" ht="14.45" customHeight="1">
      <c r="A29" s="251"/>
      <c r="B29" s="249"/>
      <c r="C29" s="249"/>
      <c r="D29" s="249"/>
      <c r="E29" s="249"/>
      <c r="F29" s="249"/>
      <c r="G29" s="249"/>
      <c r="H29" s="250"/>
    </row>
    <row r="30" spans="1:8" ht="14.45" customHeight="1">
      <c r="A30" s="251"/>
      <c r="B30" s="249"/>
      <c r="C30" s="249"/>
      <c r="D30" s="249"/>
      <c r="E30" s="249"/>
      <c r="F30" s="249"/>
      <c r="G30" s="249"/>
      <c r="H30" s="250"/>
    </row>
    <row r="31" spans="1:8" ht="14.45" customHeight="1">
      <c r="A31" s="251"/>
      <c r="B31" s="249"/>
      <c r="C31" s="249"/>
      <c r="D31" s="249"/>
      <c r="E31" s="249"/>
      <c r="F31" s="249"/>
      <c r="G31" s="249"/>
      <c r="H31" s="250"/>
    </row>
    <row r="32" spans="1:8" ht="14.45" customHeight="1">
      <c r="A32" s="251"/>
      <c r="B32" s="249"/>
      <c r="C32" s="249"/>
      <c r="D32" s="249"/>
      <c r="E32" s="249"/>
      <c r="F32" s="249"/>
      <c r="G32" s="249"/>
      <c r="H32" s="250"/>
    </row>
    <row r="33" spans="1:12" ht="14.45" customHeight="1">
      <c r="A33" s="251"/>
      <c r="B33" s="249"/>
      <c r="C33" s="249"/>
      <c r="D33" s="249"/>
      <c r="E33" s="249"/>
      <c r="F33" s="249"/>
      <c r="G33" s="249"/>
      <c r="H33" s="250"/>
    </row>
    <row r="34" spans="1:12" ht="14.45" customHeight="1">
      <c r="A34" s="251"/>
      <c r="B34" s="249"/>
      <c r="C34" s="249"/>
      <c r="D34" s="249"/>
      <c r="E34" s="249"/>
      <c r="F34" s="249"/>
      <c r="G34" s="249"/>
      <c r="H34" s="250"/>
    </row>
    <row r="35" spans="1:12" ht="14.45" customHeight="1">
      <c r="A35" s="251"/>
      <c r="B35" s="249"/>
      <c r="C35" s="249"/>
      <c r="D35" s="249"/>
      <c r="E35" s="249"/>
      <c r="F35" s="249"/>
      <c r="G35" s="249"/>
      <c r="H35" s="250"/>
    </row>
    <row r="36" spans="1:12" ht="14.45" customHeight="1">
      <c r="A36" s="251"/>
      <c r="B36" s="249"/>
      <c r="C36" s="249"/>
      <c r="D36" s="249"/>
      <c r="E36" s="249"/>
      <c r="F36" s="249"/>
      <c r="G36" s="249"/>
      <c r="H36" s="250"/>
    </row>
    <row r="37" spans="1:12" ht="14.45" customHeight="1">
      <c r="A37" s="251"/>
      <c r="B37" s="249"/>
      <c r="C37" s="249"/>
      <c r="D37" s="249"/>
      <c r="E37" s="249"/>
      <c r="F37" s="249"/>
      <c r="G37" s="249"/>
      <c r="H37" s="250"/>
    </row>
    <row r="38" spans="1:12" ht="14.45" customHeight="1">
      <c r="A38" s="177" t="s">
        <v>394</v>
      </c>
      <c r="B38" s="175"/>
      <c r="C38" s="176"/>
      <c r="D38" s="176"/>
      <c r="E38" s="186" t="str">
        <f>IF(A6=Вмешательства!D4,Вмешательства!V16,IF(ЧКВ!A6=Вмешательства!D36,Вмешательства!V16,"-----"))</f>
        <v>СТЕНТ/Ы</v>
      </c>
      <c r="F38" s="176"/>
      <c r="G38" s="179"/>
    </row>
    <row r="39" spans="1:12" ht="15.75">
      <c r="A39" s="173" t="s">
        <v>391</v>
      </c>
      <c r="B39" s="70" t="s">
        <v>393</v>
      </c>
      <c r="C39" s="121"/>
      <c r="D39" s="122" t="s">
        <v>187</v>
      </c>
      <c r="E39" s="72"/>
      <c r="F39" s="72"/>
      <c r="G39" s="72"/>
      <c r="H39" s="73"/>
    </row>
    <row r="40" spans="1:12" ht="14.45" customHeight="1">
      <c r="A40" s="174" t="s">
        <v>392</v>
      </c>
      <c r="B40" s="178" t="s">
        <v>534</v>
      </c>
      <c r="C40" s="120"/>
      <c r="D40" s="245" t="s">
        <v>535</v>
      </c>
      <c r="E40" s="246"/>
      <c r="F40" s="246"/>
      <c r="G40" s="246"/>
      <c r="H40" s="247"/>
    </row>
    <row r="41" spans="1:12" ht="14.45" customHeight="1">
      <c r="A41" s="32"/>
      <c r="B41" s="28"/>
      <c r="C41" s="120"/>
      <c r="D41" s="246"/>
      <c r="E41" s="246"/>
      <c r="F41" s="246"/>
      <c r="G41" s="246"/>
      <c r="H41" s="247"/>
    </row>
    <row r="42" spans="1:12" ht="14.45" customHeight="1">
      <c r="A42" s="32"/>
      <c r="B42" s="28"/>
      <c r="C42" s="120"/>
      <c r="D42" s="246"/>
      <c r="E42" s="246"/>
      <c r="F42" s="246"/>
      <c r="G42" s="246"/>
      <c r="H42" s="247"/>
    </row>
    <row r="43" spans="1:12" ht="14.45" customHeight="1">
      <c r="A43" s="32"/>
      <c r="B43" s="28"/>
      <c r="C43" s="120"/>
      <c r="D43" s="246"/>
      <c r="E43" s="246"/>
      <c r="F43" s="246"/>
      <c r="G43" s="246"/>
      <c r="H43" s="247"/>
    </row>
    <row r="44" spans="1:12" ht="14.45" customHeight="1">
      <c r="A44" s="32"/>
      <c r="B44" s="28"/>
      <c r="C44" s="120"/>
      <c r="D44" s="246"/>
      <c r="E44" s="246"/>
      <c r="F44" s="246"/>
      <c r="G44" s="246"/>
      <c r="H44" s="247"/>
      <c r="L44" s="160"/>
    </row>
    <row r="45" spans="1:12" ht="14.45" customHeight="1">
      <c r="A45" s="32"/>
      <c r="B45" s="28"/>
      <c r="C45" s="120"/>
      <c r="D45" s="246"/>
      <c r="E45" s="246"/>
      <c r="F45" s="246"/>
      <c r="G45" s="246"/>
      <c r="H45" s="247"/>
    </row>
    <row r="46" spans="1:12" ht="14.45" customHeight="1">
      <c r="A46" s="32"/>
      <c r="B46" s="28"/>
      <c r="C46" s="120"/>
      <c r="D46" s="246"/>
      <c r="E46" s="246"/>
      <c r="F46" s="246"/>
      <c r="G46" s="246"/>
      <c r="H46" s="247"/>
    </row>
    <row r="47" spans="1:12" ht="14.45" customHeight="1">
      <c r="A47" s="38"/>
      <c r="C47" s="120"/>
      <c r="D47" s="246"/>
      <c r="E47" s="246"/>
      <c r="F47" s="246"/>
      <c r="G47" s="246"/>
      <c r="H47" s="247"/>
    </row>
    <row r="48" spans="1:12" ht="14.45" customHeight="1">
      <c r="A48" s="38"/>
      <c r="C48" s="120"/>
      <c r="D48" s="246"/>
      <c r="E48" s="246"/>
      <c r="F48" s="246"/>
      <c r="G48" s="246"/>
      <c r="H48" s="247"/>
    </row>
    <row r="49" spans="1:8" ht="14.45" customHeight="1">
      <c r="A49" s="38"/>
      <c r="C49" s="120"/>
      <c r="D49" s="246"/>
      <c r="E49" s="246"/>
      <c r="F49" s="246"/>
      <c r="G49" s="246"/>
      <c r="H49" s="247"/>
    </row>
    <row r="50" spans="1:8">
      <c r="A50" s="62" t="s">
        <v>199</v>
      </c>
      <c r="B50" s="63" t="s">
        <v>533</v>
      </c>
      <c r="H50" s="39"/>
    </row>
    <row r="51" spans="1:8">
      <c r="A51" s="65" t="s">
        <v>206</v>
      </c>
      <c r="B51" s="66" t="s">
        <v>532</v>
      </c>
      <c r="G51" s="74" t="str">
        <f>$G$13</f>
        <v>Щербаков А.С.</v>
      </c>
      <c r="H51" s="64"/>
    </row>
    <row r="52" spans="1:8">
      <c r="A52" s="231" t="s">
        <v>370</v>
      </c>
      <c r="B52" s="232"/>
      <c r="C52" s="232"/>
      <c r="D52" s="232"/>
      <c r="E52" s="232"/>
      <c r="F52" s="233"/>
      <c r="H52" s="39"/>
    </row>
    <row r="53" spans="1:8" ht="15" customHeight="1">
      <c r="A53" s="234"/>
      <c r="B53" s="235"/>
      <c r="C53" s="235"/>
      <c r="D53" s="235"/>
      <c r="E53" s="235"/>
      <c r="F53" s="236"/>
      <c r="G53" s="74" t="str">
        <f>IF(ISBLANK(H13),"",H13)</f>
        <v/>
      </c>
      <c r="H53" s="64"/>
    </row>
    <row r="54" spans="1:8">
      <c r="A54" s="237"/>
      <c r="B54" s="238"/>
      <c r="C54" s="238"/>
      <c r="D54" s="238"/>
      <c r="E54" s="238"/>
      <c r="F54" s="239"/>
      <c r="G54" s="31"/>
      <c r="H54" s="41"/>
    </row>
  </sheetData>
  <sheetProtection sheet="1" objects="1" scenarios="1" formatCells="0" formatColumns="0"/>
  <mergeCells count="7">
    <mergeCell ref="A52:F54"/>
    <mergeCell ref="C8:E8"/>
    <mergeCell ref="A6:H7"/>
    <mergeCell ref="C9:E9"/>
    <mergeCell ref="C10:E10"/>
    <mergeCell ref="D40:H49"/>
    <mergeCell ref="A25:H37"/>
  </mergeCells>
  <phoneticPr fontId="14"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H21" sqref="H21"/>
    </sheetView>
  </sheetViews>
  <sheetFormatPr defaultRowHeight="15"/>
  <cols>
    <col min="1" max="1" width="18.7109375" customWidth="1"/>
    <col min="2" max="2" width="45.7109375" customWidth="1"/>
    <col min="3" max="3" width="15.7109375" customWidth="1"/>
    <col min="4" max="4" width="20.7109375" customWidth="1"/>
    <col min="5" max="5" width="7.7109375" bestFit="1" customWidth="1"/>
    <col min="6" max="8" width="10.7109375" bestFit="1" customWidth="1"/>
    <col min="9" max="13" width="11.7109375" bestFit="1" customWidth="1"/>
  </cols>
  <sheetData>
    <row r="1" spans="1:4">
      <c r="A1" s="27"/>
      <c r="B1" s="112"/>
      <c r="C1" s="112"/>
      <c r="D1" s="113"/>
    </row>
    <row r="2" spans="1:4" ht="19.899999999999999" customHeight="1">
      <c r="A2" s="96" t="s">
        <v>98</v>
      </c>
      <c r="B2" s="97">
        <f>$D$10</f>
        <v>45450</v>
      </c>
      <c r="C2" s="152" t="str">
        <f>IF(ЧКВ!A6=Вмешательства!D4,Вмешательства!F20,IF(ЧКВ!A6=Вмешательства!D36,Вмешательства!F20,Вмешательства!F22))</f>
        <v>ВМП 1</v>
      </c>
      <c r="D2" s="98" t="s">
        <v>99</v>
      </c>
    </row>
    <row r="3" spans="1:4" ht="20.45" customHeight="1">
      <c r="A3" s="99" t="s">
        <v>97</v>
      </c>
      <c r="B3" s="100"/>
      <c r="D3" s="39"/>
    </row>
    <row r="4" spans="1:4" ht="16.5" thickBot="1">
      <c r="A4" s="147" t="s">
        <v>195</v>
      </c>
      <c r="B4" s="148" t="s">
        <v>105</v>
      </c>
      <c r="C4" s="149" t="s">
        <v>15</v>
      </c>
      <c r="D4" s="204" t="str">
        <f>КАГ!$B$11</f>
        <v>Мельникова А.Н.</v>
      </c>
    </row>
    <row r="5" spans="1:4" ht="15.75" thickTop="1">
      <c r="A5"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3" t="str">
        <f>IF(ISBLANK(КАГ!A6),"",КАГ!A6)</f>
        <v>КОРОНАРОГРАФИЯ</v>
      </c>
      <c r="C5" s="131" t="s">
        <v>8</v>
      </c>
      <c r="D5" s="102">
        <f>КАГ!$B$12</f>
        <v>18405</v>
      </c>
    </row>
    <row r="6" spans="1:4" ht="30">
      <c r="A6" s="132"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4" t="str">
        <f>ЧКВ!A6</f>
        <v xml:space="preserve">Транслюминальная баллонная ангиопластика и стентирование коронарных артерий. </v>
      </c>
      <c r="C6" s="131" t="s">
        <v>10</v>
      </c>
      <c r="D6" s="103">
        <f>DATEDIF(D5,D10,"y")</f>
        <v>74</v>
      </c>
    </row>
    <row r="7" spans="1:4">
      <c r="A7" s="38"/>
      <c r="C7" s="101" t="s">
        <v>12</v>
      </c>
      <c r="D7" s="103">
        <f>КАГ!$B$14</f>
        <v>16385</v>
      </c>
    </row>
    <row r="8" spans="1:4">
      <c r="A8" s="194" t="str">
        <f>ЧКВ!$A$9</f>
        <v>Код модели: 21166</v>
      </c>
      <c r="B8" s="104"/>
      <c r="C8" s="101" t="s">
        <v>133</v>
      </c>
      <c r="D8" s="103" t="str">
        <f>КАГ!$B$15</f>
        <v>29→35</v>
      </c>
    </row>
    <row r="9" spans="1:4">
      <c r="A9" s="194" t="str">
        <f>ЧКВ!$A$10</f>
        <v>Код метода: 46</v>
      </c>
      <c r="C9" s="105" t="s">
        <v>106</v>
      </c>
      <c r="D9" s="103" t="str">
        <f>КАГ!$B$16</f>
        <v>ОКС с ↑ ST</v>
      </c>
    </row>
    <row r="10" spans="1:4">
      <c r="A10" s="195"/>
      <c r="B10" s="31"/>
      <c r="C10" s="150" t="s">
        <v>13</v>
      </c>
      <c r="D10" s="151">
        <f>КАГ!$B$8</f>
        <v>45450</v>
      </c>
    </row>
    <row r="11" spans="1:4">
      <c r="A11" s="27"/>
      <c r="B11" s="112"/>
      <c r="C11" s="112"/>
      <c r="D11" s="113"/>
    </row>
    <row r="12" spans="1:4" ht="18.75" customHeight="1">
      <c r="A12" s="136" t="s">
        <v>335</v>
      </c>
      <c r="B12" s="137" t="s">
        <v>0</v>
      </c>
      <c r="C12" s="137" t="s">
        <v>14</v>
      </c>
      <c r="D12" s="138" t="s">
        <v>100</v>
      </c>
    </row>
    <row r="13" spans="1:4" ht="27.75" customHeight="1">
      <c r="A13" s="139"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3" t="s">
        <v>306</v>
      </c>
      <c r="C13" s="187"/>
      <c r="D13" s="140">
        <v>1</v>
      </c>
    </row>
    <row r="14" spans="1:4" ht="27.75" customHeight="1">
      <c r="A14"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4" s="154" t="s">
        <v>522</v>
      </c>
      <c r="C14" s="135"/>
      <c r="D14" s="140">
        <v>1</v>
      </c>
    </row>
    <row r="15" spans="1:4" ht="27.75" customHeight="1">
      <c r="A15"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4" t="s">
        <v>537</v>
      </c>
      <c r="C15" s="135"/>
      <c r="D15" s="140">
        <v>1</v>
      </c>
    </row>
    <row r="16" spans="1:4" ht="27.75" customHeight="1">
      <c r="A16" s="141"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54" t="s">
        <v>374</v>
      </c>
      <c r="C16" s="135" t="s">
        <v>538</v>
      </c>
      <c r="D16" s="140">
        <v>1</v>
      </c>
    </row>
    <row r="17" spans="1:4" ht="27.75" customHeight="1">
      <c r="A17"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54" t="s">
        <v>517</v>
      </c>
      <c r="C17" s="135" t="s">
        <v>459</v>
      </c>
      <c r="D17" s="140">
        <v>1</v>
      </c>
    </row>
    <row r="18" spans="1:4" ht="27.75" customHeight="1">
      <c r="A18"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54" t="s">
        <v>517</v>
      </c>
      <c r="C18" s="135" t="s">
        <v>539</v>
      </c>
      <c r="D18" s="140">
        <v>1</v>
      </c>
    </row>
    <row r="19" spans="1:4" ht="27.75" customHeight="1">
      <c r="A19" s="141"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Система для закрытия м/пункции </v>
      </c>
      <c r="B19" s="154" t="s">
        <v>540</v>
      </c>
      <c r="C19" s="182"/>
      <c r="D19" s="140">
        <v>1</v>
      </c>
    </row>
    <row r="20" spans="1:4" ht="27.75" customHeight="1">
      <c r="A20" s="141"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20" s="155" t="s">
        <v>325</v>
      </c>
      <c r="C20" s="135"/>
      <c r="D20" s="140">
        <v>1</v>
      </c>
    </row>
    <row r="21" spans="1:4" ht="27.75" customHeight="1">
      <c r="A21" s="141" t="str">
        <f>IFERROR(INDEX(Расходка[[Тип расходного материала ]],MATCH(Карта_Учёта[[#This Row],[Наименование расходного материала]],Расходка[Наименование расходного материала],0)),"")</f>
        <v/>
      </c>
      <c r="B21" s="154"/>
      <c r="C21" s="135"/>
      <c r="D21" s="140"/>
    </row>
    <row r="22" spans="1:4" ht="27.75" customHeight="1">
      <c r="A22" s="141" t="str">
        <f>IFERROR(INDEX(Расходка[[Тип расходного материала ]],MATCH(Карта_Учёта[[#This Row],[Наименование расходного материала]],Расходка[Наименование расходного материала],0)),"")</f>
        <v/>
      </c>
      <c r="B22" s="154"/>
      <c r="C22" s="135"/>
      <c r="D22" s="142"/>
    </row>
    <row r="23" spans="1:4" ht="27.75" customHeight="1">
      <c r="A23" s="141" t="str">
        <f>IFERROR(INDEX(Расходка[[Тип расходного материала ]],MATCH(Карта_Учёта[[#This Row],[Наименование расходного материала]],Расходка[Наименование расходного материала],0)),"")</f>
        <v/>
      </c>
      <c r="B23" s="154"/>
      <c r="C23" s="135"/>
      <c r="D23" s="142"/>
    </row>
    <row r="24" spans="1:4" ht="27.75" customHeight="1">
      <c r="A24" s="143" t="str">
        <f>IFERROR(INDEX(Расходка[[Тип расходного материала ]],MATCH(Карта_Учёта[[#This Row],[Наименование расходного материала]],Расходка[Наименование расходного материала],0)),"")</f>
        <v/>
      </c>
      <c r="B24" s="154"/>
      <c r="C24" s="135"/>
      <c r="D24" s="142"/>
    </row>
    <row r="25" spans="1:4" ht="27.75" customHeight="1">
      <c r="A25" s="144" t="str">
        <f>IFERROR(INDEX(Расходка[[Тип расходного материала ]],MATCH(Карта_Учёта[[#This Row],[Наименование расходного материала]],Расходка[Наименование расходного материала],0)),"")</f>
        <v/>
      </c>
      <c r="B25" s="156"/>
      <c r="C25" s="145"/>
      <c r="D25" s="146"/>
    </row>
    <row r="26" spans="1:4" ht="14.45" customHeight="1">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0" t="s">
        <v>376</v>
      </c>
      <c r="C35" s="13"/>
      <c r="D35" s="39"/>
    </row>
    <row r="36" spans="1:4" ht="19.899999999999999" customHeight="1">
      <c r="A36" s="38"/>
      <c r="D36" s="39"/>
    </row>
    <row r="37" spans="1:4" ht="19.899999999999999" customHeight="1">
      <c r="A37" s="38"/>
      <c r="B37" s="117" t="str">
        <f>"Оператор:"&amp;" "&amp;ЧКВ!$G$13</f>
        <v>Оператор: Щербаков А.С.</v>
      </c>
      <c r="C37" s="13"/>
      <c r="D37" s="39"/>
    </row>
    <row r="38" spans="1:4" ht="19.899999999999999" customHeight="1">
      <c r="A38" s="38"/>
      <c r="D38" s="39"/>
    </row>
    <row r="39" spans="1:4" ht="19.899999999999999" customHeight="1">
      <c r="A39" s="38"/>
      <c r="B39" s="111" t="s">
        <v>515</v>
      </c>
      <c r="C39" s="114"/>
      <c r="D39" s="39"/>
    </row>
    <row r="40" spans="1:4" ht="19.899999999999999" customHeight="1">
      <c r="A40" s="40"/>
      <c r="B40" s="31"/>
      <c r="C40" s="31"/>
      <c r="D40" s="41"/>
    </row>
    <row r="41" spans="1:4" ht="14.45" customHeight="1">
      <c r="C41" s="11"/>
    </row>
  </sheetData>
  <sheetProtection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F8" sqref="F8"/>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485</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484</v>
      </c>
      <c r="G3" s="3" t="s">
        <v>485</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311</v>
      </c>
      <c r="G4" s="3" t="s">
        <v>485</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399</v>
      </c>
      <c r="F5" t="s">
        <v>131</v>
      </c>
      <c r="G5" s="3" t="s">
        <v>485</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485</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485</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485</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485</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486</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484</v>
      </c>
      <c r="G13" s="3" t="s">
        <v>486</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311</v>
      </c>
      <c r="G14" s="3" t="s">
        <v>486</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486</v>
      </c>
      <c r="H15" s="3">
        <v>2633</v>
      </c>
      <c r="I15" s="3">
        <v>46</v>
      </c>
      <c r="J15" s="3">
        <v>45</v>
      </c>
      <c r="K15" s="3">
        <v>45</v>
      </c>
      <c r="L15" s="3">
        <v>45</v>
      </c>
      <c r="M15" s="3">
        <v>45</v>
      </c>
      <c r="N15" s="3">
        <v>45</v>
      </c>
      <c r="O15" s="3">
        <v>45</v>
      </c>
      <c r="P15" s="3">
        <v>45</v>
      </c>
      <c r="Q15" s="3">
        <v>45</v>
      </c>
      <c r="R15" s="3">
        <v>45</v>
      </c>
      <c r="S15" s="3">
        <v>45</v>
      </c>
      <c r="T15" s="3">
        <v>45</v>
      </c>
      <c r="V15" t="s">
        <v>394</v>
      </c>
      <c r="W15" s="12"/>
    </row>
    <row r="16" spans="1:23">
      <c r="A16" s="8">
        <v>15</v>
      </c>
      <c r="B16" s="2" t="s">
        <v>31</v>
      </c>
      <c r="C16" s="8" t="s">
        <v>237</v>
      </c>
      <c r="D16" s="5" t="s">
        <v>32</v>
      </c>
      <c r="V16" t="s">
        <v>395</v>
      </c>
    </row>
    <row r="17" spans="1:23">
      <c r="A17" s="8">
        <v>16</v>
      </c>
      <c r="B17" s="2" t="s">
        <v>33</v>
      </c>
      <c r="C17" s="8" t="s">
        <v>238</v>
      </c>
      <c r="D17" s="5" t="s">
        <v>34</v>
      </c>
      <c r="F17" t="s">
        <v>487</v>
      </c>
      <c r="V17" t="s">
        <v>396</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336</v>
      </c>
      <c r="J21" s="12"/>
    </row>
    <row r="22" spans="1:23" ht="30">
      <c r="A22" s="8">
        <v>21</v>
      </c>
      <c r="B22" s="2" t="s">
        <v>52</v>
      </c>
      <c r="C22" s="8" t="s">
        <v>53</v>
      </c>
      <c r="D22" s="5" t="s">
        <v>54</v>
      </c>
      <c r="F22" t="s">
        <v>337</v>
      </c>
      <c r="J22" s="12"/>
      <c r="U22" s="2"/>
    </row>
    <row r="23" spans="1:23">
      <c r="A23" s="8">
        <v>22</v>
      </c>
      <c r="B23" s="2" t="s">
        <v>55</v>
      </c>
      <c r="C23" s="8" t="s">
        <v>56</v>
      </c>
      <c r="D23" s="5" t="s">
        <v>57</v>
      </c>
      <c r="F23" t="s">
        <v>347</v>
      </c>
      <c r="J23" s="12"/>
      <c r="U23" s="2"/>
    </row>
    <row r="24" spans="1:23">
      <c r="A24" s="8">
        <v>23</v>
      </c>
      <c r="B24" s="2" t="s">
        <v>58</v>
      </c>
      <c r="C24" s="8" t="s">
        <v>59</v>
      </c>
      <c r="D24" s="5" t="s">
        <v>60</v>
      </c>
      <c r="F24" t="s">
        <v>502</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40" zoomScaleNormal="100" workbookViewId="0">
      <selection activeCell="AM64" sqref="AM64"/>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499</v>
      </c>
      <c r="AN1" s="2" t="s">
        <v>493</v>
      </c>
      <c r="AO1" t="s">
        <v>356</v>
      </c>
      <c r="AP1" s="159"/>
    </row>
    <row r="2" spans="1:42">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учёта'!$B$17,Расходка[[#This Row],[Наименование расходного материала]])),MAX($I$1:I1)+1,0)</f>
        <v>0</v>
      </c>
      <c r="J2" s="116">
        <f>IF(ISNUMBER(SEARCH('Карта учёта'!$B$18,Расходка[[#This Row],[Наименование расходного материала]])),MAX($J$1:J1)+1,0)</f>
        <v>0</v>
      </c>
      <c r="K2" s="116">
        <f>IF(ISNUMBER(SEARCH('Карта учёта'!$B$19,Расходка[[#This Row],[Наименование расходного материала]])),MAX($K$1:K1)+1,0)</f>
        <v>0</v>
      </c>
      <c r="L2" s="116">
        <f>IF(ISNUMBER(SEARCH('Карта учёта'!$B$20,Расходка[[#This Row],[Наименование расходного материала]])),MAX($L$1:L1)+1,0)</f>
        <v>0</v>
      </c>
      <c r="M2" s="116">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Индефлятор</v>
      </c>
      <c r="S2" s="115" t="str">
        <f>IFERROR(INDEX(Расходка[Наименование расходного материала],MATCH(Расходка[[#This Row],[№]],Поиск_расходки[Индекс2],0)),"")</f>
        <v>Abbot Whisper LS</v>
      </c>
      <c r="T2" s="115" t="str">
        <f>IFERROR(INDEX(Расходка[Наименование расходного материала],MATCH(Расходка[[#This Row],[№]],Поиск_расходки[Индекс3],0)),"")</f>
        <v>Pilot 150</v>
      </c>
      <c r="U2" s="115" t="str">
        <f>IFERROR(INDEX(Расходка[Наименование расходного материала],MATCH(Расходка[[#This Row],[№]],Поиск_расходки[Индекс4],0)),"")</f>
        <v>Колибри</v>
      </c>
      <c r="V2" s="115" t="str">
        <f>IFERROR(INDEX(Расходка[Наименование расходного материала],MATCH(Расходка[[#This Row],[№]],Поиск_расходки[Индекс5],0)),"")</f>
        <v>Meril Evermine50™</v>
      </c>
      <c r="W2" s="115" t="str">
        <f>IFERROR(INDEX(Расходка[Наименование расходного материала],MATCH(Расходка[[#This Row],[№]],Поиск_расходки[Индекс6],0)),"")</f>
        <v>Meril Evermine50™</v>
      </c>
      <c r="X2" s="115" t="str">
        <f>IFERROR(INDEX(Расходка[Наименование расходного материала],MATCH(Расходка[[#This Row],[№]],Поиск_расходки[Индекс7],0)),"")</f>
        <v>Angio-Seal™ VIP</v>
      </c>
      <c r="Y2" s="115" t="str">
        <f>IFERROR(INDEX(Расходка[Наименование расходного материала],MATCH(Расходка[[#This Row],[№]],Поиск_расходки[Индекс8],0)),"")</f>
        <v>Launcher 6F EBU 3.5</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401</v>
      </c>
      <c r="AI2" t="s">
        <v>190</v>
      </c>
      <c r="AJ2" t="s">
        <v>199</v>
      </c>
      <c r="AK2" t="str">
        <f>CONCATENATE(AI2,AJ2)</f>
        <v xml:space="preserve">Контраст: Ультравист 370 </v>
      </c>
      <c r="AM2" s="207">
        <v>155800</v>
      </c>
      <c r="AN2" s="208" t="s">
        <v>309</v>
      </c>
      <c r="AO2" s="209" t="s">
        <v>495</v>
      </c>
      <c r="AP2" s="128"/>
    </row>
    <row r="3" spans="1:42">
      <c r="A3">
        <v>2</v>
      </c>
      <c r="B3" t="s">
        <v>94</v>
      </c>
      <c r="C3" t="s">
        <v>369</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учёта'!$B$17,Расходка[[#This Row],[Наименование расходного материала]])),MAX($I$1:I2)+1,0)</f>
        <v>0</v>
      </c>
      <c r="J3" s="116">
        <f>IF(ISNUMBER(SEARCH('Карта учёта'!$B$18,Расходка[[#This Row],[Наименование расходного материала]])),MAX($J$1:J2)+1,0)</f>
        <v>0</v>
      </c>
      <c r="K3" s="116">
        <f>IF(ISNUMBER(SEARCH('Карта учёта'!$B$19,Расходка[[#This Row],[Наименование расходного материала]])),MAX($K$1:K2)+1,0)</f>
        <v>0</v>
      </c>
      <c r="L3" s="116">
        <f>IF(ISNUMBER(SEARCH('Карта учёта'!$B$20,Расходка[[#This Row],[Наименование расходного материала]])),MAX($L$1:L2)+1,0)</f>
        <v>0</v>
      </c>
      <c r="M3" s="116">
        <f>IF(ISNUMBER(SEARCH('Карта учёта'!$B$21,Расходка[[#This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
      </c>
      <c r="U3" s="115" t="str">
        <f>IFERROR(INDEX(Расходка[Наименование расходного материала],MATCH(Расходка[[#This Row],[№]],Поиск_расходки[Индекс4],0)),"")</f>
        <v xml:space="preserve">NC Колибри </v>
      </c>
      <c r="V3" s="115" t="str">
        <f>IFERROR(INDEX(Расходка[Наименование расходного материала],MATCH(Расходка[[#This Row],[№]],Поиск_расходки[Индекс5],0)),"")</f>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c>
      <c r="Y3" s="115" t="str">
        <f>IFERROR(INDEX(Расходка[Наименование расходного материала],MATCH(Расходка[[#This Row],[№]],Поиск_расходки[Индекс8],0)),"")</f>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402</v>
      </c>
      <c r="AI3" t="s">
        <v>190</v>
      </c>
      <c r="AJ3" t="s">
        <v>200</v>
      </c>
      <c r="AK3" t="str">
        <f t="shared" ref="AK3:AK6" si="0">CONCATENATE(AI3,AJ3)</f>
        <v>Контраст: Омнипак 350</v>
      </c>
      <c r="AM3" s="189">
        <v>218190</v>
      </c>
      <c r="AN3" s="2" t="s">
        <v>488</v>
      </c>
      <c r="AO3" t="s">
        <v>496</v>
      </c>
      <c r="AP3" s="129"/>
    </row>
    <row r="4" spans="1:42">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учёта'!$B$17,Расходка[[#This Row],[Наименование расходного материала]])),MAX($I$1:I3)+1,0)</f>
        <v>0</v>
      </c>
      <c r="J4" s="116">
        <f>IF(ISNUMBER(SEARCH('Карта учёта'!$B$18,Расходка[[#This Row],[Наименование расходного материала]])),MAX($J$1:J3)+1,0)</f>
        <v>0</v>
      </c>
      <c r="K4" s="116">
        <f>IF(ISNUMBER(SEARCH('Карта учёта'!$B$19,Расходка[[#This Row],[Наименование расходного материала]])),MAX($K$1:K3)+1,0)</f>
        <v>0</v>
      </c>
      <c r="L4" s="116">
        <f>IF(ISNUMBER(SEARCH('Карта учёта'!$B$20,Расходка[[#This Row],[Наименование расходного материала]])),MAX($L$1:L3)+1,0)</f>
        <v>0</v>
      </c>
      <c r="M4" s="116">
        <f>IF(ISNUMBER(SEARCH('Карта учёта'!$B$21,Расходка[[#This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
      </c>
      <c r="Y4" s="115" t="str">
        <f>IFERROR(INDEX(Расходка[Наименование расходного материала],MATCH(Расходка[[#This Row],[№]],Поиск_расходки[Индекс8],0)),"")</f>
        <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403</v>
      </c>
      <c r="AI4" t="s">
        <v>190</v>
      </c>
      <c r="AJ4" t="s">
        <v>201</v>
      </c>
      <c r="AK4" t="str">
        <f t="shared" si="0"/>
        <v>Контраст: Оптирей 350</v>
      </c>
      <c r="AM4" s="189">
        <v>337440</v>
      </c>
      <c r="AN4" s="2" t="s">
        <v>501</v>
      </c>
      <c r="AO4" t="s">
        <v>498</v>
      </c>
      <c r="AP4" s="129"/>
    </row>
    <row r="5" spans="1:42">
      <c r="A5">
        <v>4</v>
      </c>
      <c r="B5" t="s">
        <v>5</v>
      </c>
      <c r="C5" t="s">
        <v>312</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учёта'!$B$17,Расходка[[#This Row],[Наименование расходного материала]])),MAX($I$1:I4)+1,0)</f>
        <v>0</v>
      </c>
      <c r="J5" s="116">
        <f>IF(ISNUMBER(SEARCH('Карта учёта'!$B$18,Расходка[[#This Row],[Наименование расходного материала]])),MAX($J$1:J4)+1,0)</f>
        <v>0</v>
      </c>
      <c r="K5" s="116">
        <f>IF(ISNUMBER(SEARCH('Карта учёта'!$B$19,Расходка[[#This Row],[Наименование расходного материала]])),MAX($K$1:K4)+1,0)</f>
        <v>0</v>
      </c>
      <c r="L5" s="116">
        <f>IF(ISNUMBER(SEARCH('Карта учёта'!$B$20,Расходка[[#This Row],[Наименование расходного материала]])),MAX($L$1:L4)+1,0)</f>
        <v>0</v>
      </c>
      <c r="M5" s="116">
        <f>IF(ISNUMBER(SEARCH('Карта учёта'!$B$21,Расходка[[#This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
      </c>
      <c r="Y5" s="115" t="str">
        <f>IFERROR(INDEX(Расходка[Наименование расходного материала],MATCH(Расходка[[#This Row],[№]],Поиск_расходки[Индекс8],0)),"")</f>
        <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404</v>
      </c>
      <c r="AI5" t="s">
        <v>190</v>
      </c>
      <c r="AJ5" t="s">
        <v>202</v>
      </c>
      <c r="AK5" t="str">
        <f t="shared" si="0"/>
        <v>Контраст: Юнигексол 350</v>
      </c>
      <c r="AM5" s="207">
        <v>136170</v>
      </c>
      <c r="AN5" s="208"/>
      <c r="AO5" s="209" t="s">
        <v>497</v>
      </c>
    </row>
    <row r="6" spans="1:42">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учёта'!$B$17,Расходка[[#This Row],[Наименование расходного материала]])),MAX($I$1:I5)+1,0)</f>
        <v>0</v>
      </c>
      <c r="J6" s="116">
        <f>IF(ISNUMBER(SEARCH('Карта учёта'!$B$18,Расходка[[#This Row],[Наименование расходного материала]])),MAX($J$1:J5)+1,0)</f>
        <v>0</v>
      </c>
      <c r="K6" s="116">
        <f>IF(ISNUMBER(SEARCH('Карта учёта'!$B$19,Расходка[[#This Row],[Наименование расходного материала]])),MAX($K$1:K5)+1,0)</f>
        <v>0</v>
      </c>
      <c r="L6" s="116">
        <f>IF(ISNUMBER(SEARCH('Карта учёта'!$B$20,Расходка[[#This Row],[Наименование расходного материала]])),MAX($L$1:L5)+1,0)</f>
        <v>0</v>
      </c>
      <c r="M6" s="116">
        <f>IF(ISNUMBER(SEARCH('Карта учёта'!$B$21,Расходка[[#This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
      </c>
      <c r="Y6" s="115" t="str">
        <f>IFERROR(INDEX(Расходка[Наименование расходного материала],MATCH(Расходка[[#This Row],[№]],Поиск_расходки[Индекс8],0)),"")</f>
        <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405</v>
      </c>
      <c r="AI6" t="s">
        <v>190</v>
      </c>
      <c r="AJ6" t="s">
        <v>203</v>
      </c>
      <c r="AK6" t="str">
        <f t="shared" si="0"/>
        <v>Контраст: Сканлюкс 370</v>
      </c>
      <c r="AM6" s="189">
        <v>135820</v>
      </c>
      <c r="AN6" s="2"/>
      <c r="AO6" t="s">
        <v>500</v>
      </c>
    </row>
    <row r="7" spans="1:42">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учёта'!$B$17,Расходка[[#This Row],[Наименование расходного материала]])),MAX($I$1:I6)+1,0)</f>
        <v>0</v>
      </c>
      <c r="J7" s="116">
        <f>IF(ISNUMBER(SEARCH('Карта учёта'!$B$18,Расходка[[#This Row],[Наименование расходного материала]])),MAX($J$1:J6)+1,0)</f>
        <v>0</v>
      </c>
      <c r="K7" s="116">
        <f>IF(ISNUMBER(SEARCH('Карта учёта'!$B$19,Расходка[[#This Row],[Наименование расходного материала]])),MAX($K$1:K6)+1,0)</f>
        <v>0</v>
      </c>
      <c r="L7" s="116">
        <f>IF(ISNUMBER(SEARCH('Карта учёта'!$B$20,Расходка[[#This Row],[Наименование расходного материала]])),MAX($L$1:L6)+1,0)</f>
        <v>0</v>
      </c>
      <c r="M7" s="116">
        <f>IF(ISNUMBER(SEARCH('Карта учёта'!$B$21,Расходка[[#This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
      </c>
      <c r="Y7" s="115" t="str">
        <f>IFERROR(INDEX(Расходка[Наименование расходного материала],MATCH(Расходка[[#This Row],[№]],Поиск_расходки[Индекс8],0)),"")</f>
        <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406</v>
      </c>
      <c r="AI7" t="s">
        <v>190</v>
      </c>
      <c r="AJ7" t="s">
        <v>204</v>
      </c>
      <c r="AK7" t="str">
        <f t="shared" ref="AK7:AK8" si="1">CONCATENATE(AI7,AJ7)</f>
        <v>Контраст: Йогексол 350</v>
      </c>
      <c r="AM7" s="207">
        <v>155760</v>
      </c>
      <c r="AN7" s="208"/>
      <c r="AO7" s="209" t="s">
        <v>494</v>
      </c>
    </row>
    <row r="8" spans="1:42">
      <c r="A8">
        <v>7</v>
      </c>
      <c r="B8" t="s">
        <v>5</v>
      </c>
      <c r="C8" t="s">
        <v>313</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учёта'!$B$17,Расходка[[#This Row],[Наименование расходного материала]])),MAX($I$1:I7)+1,0)</f>
        <v>0</v>
      </c>
      <c r="J8" s="116">
        <f>IF(ISNUMBER(SEARCH('Карта учёта'!$B$18,Расходка[[#This Row],[Наименование расходного материала]])),MAX($J$1:J7)+1,0)</f>
        <v>0</v>
      </c>
      <c r="K8" s="116">
        <f>IF(ISNUMBER(SEARCH('Карта учёта'!$B$19,Расходка[[#This Row],[Наименование расходного материала]])),MAX($K$1:K7)+1,0)</f>
        <v>0</v>
      </c>
      <c r="L8" s="116">
        <f>IF(ISNUMBER(SEARCH('Карта учёта'!$B$20,Расходка[[#This Row],[Наименование расходного материала]])),MAX($L$1:L7)+1,0)</f>
        <v>0</v>
      </c>
      <c r="M8" s="116">
        <f>IF(ISNUMBER(SEARCH('Карта учёта'!$B$21,Расходка[[#This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
      </c>
      <c r="Y8" s="115" t="str">
        <f>IFERROR(INDEX(Расходка[Наименование расходного материала],MATCH(Расходка[[#This Row],[№]],Поиск_расходки[Индекс8],0)),"")</f>
        <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407</v>
      </c>
      <c r="AI8" t="s">
        <v>190</v>
      </c>
      <c r="AJ8" t="s">
        <v>205</v>
      </c>
      <c r="AK8" t="str">
        <f t="shared" si="1"/>
        <v>Контраст: Визипак 320</v>
      </c>
      <c r="AM8" s="189">
        <v>218140</v>
      </c>
      <c r="AN8" s="2"/>
      <c r="AO8" t="s">
        <v>89</v>
      </c>
    </row>
    <row r="9" spans="1:42">
      <c r="A9">
        <v>8</v>
      </c>
      <c r="B9" t="s">
        <v>5</v>
      </c>
      <c r="C9" t="s">
        <v>358</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учёта'!$B$17,Расходка[[#This Row],[Наименование расходного материала]])),MAX($I$1:I8)+1,0)</f>
        <v>0</v>
      </c>
      <c r="J9" s="116">
        <f>IF(ISNUMBER(SEARCH('Карта учёта'!$B$18,Расходка[[#This Row],[Наименование расходного материала]])),MAX($J$1:J8)+1,0)</f>
        <v>0</v>
      </c>
      <c r="K9" s="116">
        <f>IF(ISNUMBER(SEARCH('Карта учёта'!$B$19,Расходка[[#This Row],[Наименование расходного материала]])),MAX($K$1:K8)+1,0)</f>
        <v>0</v>
      </c>
      <c r="L9" s="116">
        <f>IF(ISNUMBER(SEARCH('Карта учёта'!$B$20,Расходка[[#This Row],[Наименование расходного материала]])),MAX($L$1:L8)+1,0)</f>
        <v>0</v>
      </c>
      <c r="M9" s="116">
        <f>IF(ISNUMBER(SEARCH('Карта учёта'!$B$21,Расходка[[#This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
      </c>
      <c r="Y9" s="115" t="str">
        <f>IFERROR(INDEX(Расходка[Наименование расходного материала],MATCH(Расходка[[#This Row],[№]],Поиск_расходки[Индекс8],0)),"")</f>
        <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408</v>
      </c>
      <c r="AM9" s="189">
        <v>218160</v>
      </c>
      <c r="AN9" s="2"/>
      <c r="AO9" t="s">
        <v>90</v>
      </c>
    </row>
    <row r="10" spans="1:42">
      <c r="A10">
        <v>9</v>
      </c>
      <c r="B10" t="s">
        <v>5</v>
      </c>
      <c r="C10" t="s">
        <v>374</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1</v>
      </c>
      <c r="I10" s="116">
        <f>IF(ISNUMBER(SEARCH('Карта учёта'!$B$17,Расходка[[#This Row],[Наименование расходного материала]])),MAX($I$1:I9)+1,0)</f>
        <v>0</v>
      </c>
      <c r="J10" s="116">
        <f>IF(ISNUMBER(SEARCH('Карта учёта'!$B$18,Расходка[[#This Row],[Наименование расходного материала]])),MAX($J$1:J9)+1,0)</f>
        <v>0</v>
      </c>
      <c r="K10" s="116">
        <f>IF(ISNUMBER(SEARCH('Карта учёта'!$B$19,Расходка[[#This Row],[Наименование расходного материала]])),MAX($K$1:K9)+1,0)</f>
        <v>0</v>
      </c>
      <c r="L10" s="116">
        <f>IF(ISNUMBER(SEARCH('Карта учёта'!$B$20,Расходка[[#This Row],[Наименование расходного материала]])),MAX($L$1:L9)+1,0)</f>
        <v>0</v>
      </c>
      <c r="M10" s="116">
        <f>IF(ISNUMBER(SEARCH('Карта учёта'!$B$21,Расходка[[#This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
      </c>
      <c r="Y10" s="115" t="str">
        <f>IFERROR(INDEX(Расходка[Наименование расходного материала],MATCH(Расходка[[#This Row],[№]],Поиск_расходки[Индекс8],0)),"")</f>
        <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409</v>
      </c>
      <c r="AI10" t="s">
        <v>355</v>
      </c>
      <c r="AM10" s="189">
        <v>194510</v>
      </c>
      <c r="AN10" s="2"/>
      <c r="AO10" t="s">
        <v>91</v>
      </c>
    </row>
    <row r="11" spans="1:42">
      <c r="A11">
        <v>10</v>
      </c>
      <c r="B11" t="s">
        <v>5</v>
      </c>
      <c r="C11" t="s">
        <v>397</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2</v>
      </c>
      <c r="I11" s="116">
        <f>IF(ISNUMBER(SEARCH('Карта учёта'!$B$17,Расходка[[#This Row],[Наименование расходного материала]])),MAX($I$1:I10)+1,0)</f>
        <v>0</v>
      </c>
      <c r="J11" s="116">
        <f>IF(ISNUMBER(SEARCH('Карта учёта'!$B$18,Расходка[[#This Row],[Наименование расходного материала]])),MAX($J$1:J10)+1,0)</f>
        <v>0</v>
      </c>
      <c r="K11" s="116">
        <f>IF(ISNUMBER(SEARCH('Карта учёта'!$B$19,Расходка[[#This Row],[Наименование расходного материала]])),MAX($K$1:K10)+1,0)</f>
        <v>0</v>
      </c>
      <c r="L11" s="116">
        <f>IF(ISNUMBER(SEARCH('Карта учёта'!$B$20,Расходка[[#This Row],[Наименование расходного материала]])),MAX($L$1:L10)+1,0)</f>
        <v>0</v>
      </c>
      <c r="M11" s="116">
        <f>IF(ISNUMBER(SEARCH('Карта учёта'!$B$21,Расходка[[#This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c>
      <c r="Y11" s="115" t="str">
        <f>IFERROR(INDEX(Расходка[Наименование расходного материала],MATCH(Расходка[[#This Row],[№]],Поиск_расходки[Индекс8],0)),"")</f>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410</v>
      </c>
      <c r="AI11" t="s">
        <v>4</v>
      </c>
      <c r="AM11" s="189">
        <v>323500</v>
      </c>
      <c r="AN11" s="2"/>
      <c r="AO11" t="s">
        <v>92</v>
      </c>
    </row>
    <row r="12" spans="1:42">
      <c r="A12">
        <v>11</v>
      </c>
      <c r="B12" t="s">
        <v>5</v>
      </c>
      <c r="C12" t="s">
        <v>513</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учёта'!$B$17,Расходка[[#This Row],[Наименование расходного материала]])),MAX($I$1:I11)+1,0)</f>
        <v>0</v>
      </c>
      <c r="J12" s="116">
        <f>IF(ISNUMBER(SEARCH('Карта учёта'!$B$18,Расходка[[#This Row],[Наименование расходного материала]])),MAX($J$1:J11)+1,0)</f>
        <v>0</v>
      </c>
      <c r="K12" s="116">
        <f>IF(ISNUMBER(SEARCH('Карта учёта'!$B$19,Расходка[[#This Row],[Наименование расходного материала]])),MAX($K$1:K11)+1,0)</f>
        <v>0</v>
      </c>
      <c r="L12" s="116">
        <f>IF(ISNUMBER(SEARCH('Карта учёта'!$B$20,Расходка[[#This Row],[Наименование расходного материала]])),MAX($L$1:L11)+1,0)</f>
        <v>0</v>
      </c>
      <c r="M12" s="116">
        <f>IF(ISNUMBER(SEARCH('Карта учёта'!$B$21,Расходка[[#This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
      </c>
      <c r="Y12" s="115" t="str">
        <f>IFERROR(INDEX(Расходка[Наименование расходного материала],MATCH(Расходка[[#This Row],[№]],Поиск_расходки[Индекс8],0)),"")</f>
        <v/>
      </c>
      <c r="Z12" s="115" t="str">
        <f>IFERROR(INDEX(Расходка[Наименование расходного материала],MATCH(Расходка[[#This Row],[№]],Поиск_расходки[Индекс9],0)),"")</f>
        <v>NC АКСИОМА</v>
      </c>
      <c r="AA12" s="115" t="str">
        <f>IFERROR(INDEX(Расходка[Наименование расходного материала],MATCH(Расходка[[#This Row],[№]],Поиск_расходки[Индекс10],0)),"")</f>
        <v>NC АКСИОМА</v>
      </c>
      <c r="AB12" s="115" t="str">
        <f>IFERROR(INDEX(Расходка[Наименование расходного материала],MATCH(Расходка[[#This Row],[№]],Поиск_расходки[Индекс11],0)),"")</f>
        <v>NC АКСИОМА</v>
      </c>
      <c r="AC12" s="115" t="str">
        <f>IFERROR(INDEX(Расходка[Наименование расходного материала],MATCH(Расходка[[#This Row],[№]],Поиск_расходки[Индекс12],0)),"")</f>
        <v>NC АКСИОМА</v>
      </c>
      <c r="AD12" s="115" t="str">
        <f>IFERROR(INDEX(Расходка[Наименование расходного материала],MATCH(Расходка[[#This Row],[№]],Поиск_расходки[Индекс13],0)),"")</f>
        <v>NC АКСИОМА</v>
      </c>
      <c r="AF12" s="4" t="s">
        <v>5</v>
      </c>
      <c r="AG12" s="4" t="s">
        <v>411</v>
      </c>
      <c r="AI12" t="s">
        <v>3</v>
      </c>
      <c r="AM12" s="189">
        <v>323510</v>
      </c>
      <c r="AN12" s="2"/>
      <c r="AO12" t="s">
        <v>93</v>
      </c>
    </row>
    <row r="13" spans="1:42">
      <c r="A13">
        <v>12</v>
      </c>
      <c r="B13" t="s">
        <v>308</v>
      </c>
      <c r="C13" s="1" t="s">
        <v>333</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учёта'!$B$17,Расходка[[#This Row],[Наименование расходного материала]])),MAX($I$1:I12)+1,0)</f>
        <v>0</v>
      </c>
      <c r="J13" s="116">
        <f>IF(ISNUMBER(SEARCH('Карта учёта'!$B$18,Расходка[[#This Row],[Наименование расходного материала]])),MAX($J$1:J12)+1,0)</f>
        <v>0</v>
      </c>
      <c r="K13" s="116">
        <f>IF(ISNUMBER(SEARCH('Карта учёта'!$B$19,Расходка[[#This Row],[Наименование расходного материала]])),MAX($K$1:K12)+1,0)</f>
        <v>0</v>
      </c>
      <c r="L13" s="116">
        <f>IF(ISNUMBER(SEARCH('Карта учёта'!$B$20,Расходка[[#This Row],[Наименование расходного материала]])),MAX($L$1:L12)+1,0)</f>
        <v>0</v>
      </c>
      <c r="M13" s="116">
        <f>IF(ISNUMBER(SEARCH('Карта учёта'!$B$21,Расходка[[#This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
      </c>
      <c r="Y13" s="115" t="str">
        <f>IFERROR(INDEX(Расходка[Наименование расходного материала],MATCH(Расходка[[#This Row],[№]],Поиск_расходки[Индекс8],0)),"")</f>
        <v/>
      </c>
      <c r="Z13" s="115" t="str">
        <f>IFERROR(INDEX(Расходка[Наименование расходного материала],MATCH(Расходка[[#This Row],[№]],Поиск_расходки[Индекс9],0)),"")</f>
        <v>Nitrex 260</v>
      </c>
      <c r="AA13" s="115" t="str">
        <f>IFERROR(INDEX(Расходка[Наименование расходного материала],MATCH(Расходка[[#This Row],[№]],Поиск_расходки[Индекс10],0)),"")</f>
        <v>Nitrex 260</v>
      </c>
      <c r="AB13" s="115" t="str">
        <f>IFERROR(INDEX(Расходка[Наименование расходного материала],MATCH(Расходка[[#This Row],[№]],Поиск_расходки[Индекс11],0)),"")</f>
        <v>Nitrex 260</v>
      </c>
      <c r="AC13" s="115" t="str">
        <f>IFERROR(INDEX(Расходка[Наименование расходного материала],MATCH(Расходка[[#This Row],[№]],Поиск_расходки[Индекс12],0)),"")</f>
        <v>Nitrex 260</v>
      </c>
      <c r="AD13" s="115" t="str">
        <f>IFERROR(INDEX(Расходка[Наименование расходного материала],MATCH(Расходка[[#This Row],[№]],Поиск_расходки[Индекс13],0)),"")</f>
        <v>Nitrex 260</v>
      </c>
      <c r="AF13" s="4" t="s">
        <v>5</v>
      </c>
      <c r="AG13" s="4" t="s">
        <v>412</v>
      </c>
      <c r="AI13" t="s">
        <v>6</v>
      </c>
      <c r="AN13" s="2"/>
    </row>
    <row r="14" spans="1:42">
      <c r="A14">
        <v>13</v>
      </c>
      <c r="B14" t="s">
        <v>308</v>
      </c>
      <c r="C14" t="s">
        <v>365</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учёта'!$B$17,Расходка[[#This Row],[Наименование расходного материала]])),MAX($I$1:I13)+1,0)</f>
        <v>0</v>
      </c>
      <c r="J14" s="116">
        <f>IF(ISNUMBER(SEARCH('Карта учёта'!$B$18,Расходка[[#This Row],[Наименование расходного материала]])),MAX($J$1:J13)+1,0)</f>
        <v>0</v>
      </c>
      <c r="K14" s="116">
        <f>IF(ISNUMBER(SEARCH('Карта учёта'!$B$19,Расходка[[#This Row],[Наименование расходного материала]])),MAX($K$1:K13)+1,0)</f>
        <v>0</v>
      </c>
      <c r="L14" s="116">
        <f>IF(ISNUMBER(SEARCH('Карта учёта'!$B$20,Расходка[[#This Row],[Наименование расходного материала]])),MAX($L$1:L13)+1,0)</f>
        <v>0</v>
      </c>
      <c r="M14" s="116">
        <f>IF(ISNUMBER(SEARCH('Карта учёта'!$B$21,Расходка[[#This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
      </c>
      <c r="Y14" s="115" t="str">
        <f>IFERROR(INDEX(Расходка[Наименование расходного материала],MATCH(Расходка[[#This Row],[№]],Поиск_расходки[Индекс8],0)),"")</f>
        <v/>
      </c>
      <c r="Z14" s="115" t="str">
        <f>IFERROR(INDEX(Расходка[Наименование расходного материала],MATCH(Расходка[[#This Row],[№]],Поиск_расходки[Индекс9],0)),"")</f>
        <v>RadiFocus</v>
      </c>
      <c r="AA14" s="115" t="str">
        <f>IFERROR(INDEX(Расходка[Наименование расходного материала],MATCH(Расходка[[#This Row],[№]],Поиск_расходки[Индекс10],0)),"")</f>
        <v>RadiFocus</v>
      </c>
      <c r="AB14" s="115" t="str">
        <f>IFERROR(INDEX(Расходка[Наименование расходного материала],MATCH(Расходка[[#This Row],[№]],Поиск_расходки[Индекс11],0)),"")</f>
        <v>RadiFocus</v>
      </c>
      <c r="AC14" s="115" t="str">
        <f>IFERROR(INDEX(Расходка[Наименование расходного материала],MATCH(Расходка[[#This Row],[№]],Поиск_расходки[Индекс12],0)),"")</f>
        <v>RadiFocus</v>
      </c>
      <c r="AD14" s="115" t="str">
        <f>IFERROR(INDEX(Расходка[Наименование расходного материала],MATCH(Расходка[[#This Row],[№]],Поиск_расходки[Индекс13],0)),"")</f>
        <v>RadiFocus</v>
      </c>
      <c r="AF14" s="4" t="s">
        <v>5</v>
      </c>
      <c r="AG14" s="4" t="s">
        <v>491</v>
      </c>
      <c r="AI14" t="s">
        <v>5</v>
      </c>
      <c r="AM14" s="189"/>
      <c r="AN14" s="2"/>
    </row>
    <row r="15" spans="1:42">
      <c r="A15">
        <v>14</v>
      </c>
      <c r="B15" t="s">
        <v>306</v>
      </c>
      <c r="C15" t="s">
        <v>332</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учёта'!$B$17,Расходка[[#This Row],[Наименование расходного материала]])),MAX($I$1:I14)+1,0)</f>
        <v>0</v>
      </c>
      <c r="J15" s="116">
        <f>IF(ISNUMBER(SEARCH('Карта учёта'!$B$18,Расходка[[#This Row],[Наименование расходного материала]])),MAX($J$1:J14)+1,0)</f>
        <v>0</v>
      </c>
      <c r="K15" s="116">
        <f>IF(ISNUMBER(SEARCH('Карта учёта'!$B$19,Расходка[[#This Row],[Наименование расходного материала]])),MAX($K$1:K14)+1,0)</f>
        <v>0</v>
      </c>
      <c r="L15" s="116">
        <f>IF(ISNUMBER(SEARCH('Карта учёта'!$B$20,Расходка[[#This Row],[Наименование расходного материала]])),MAX($L$1:L14)+1,0)</f>
        <v>0</v>
      </c>
      <c r="M15" s="116">
        <f>IF(ISNUMBER(SEARCH('Карта учёта'!$B$21,Расходка[[#This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
      </c>
      <c r="Y15" s="115" t="str">
        <f>IFERROR(INDEX(Расходка[Наименование расходного материала],MATCH(Расходка[[#This Row],[№]],Поиск_расходки[Индекс8],0)),"")</f>
        <v/>
      </c>
      <c r="Z15" s="115" t="str">
        <f>IFERROR(INDEX(Расходка[Наименование расходного материала],MATCH(Расходка[[#This Row],[№]],Поиск_расходки[Индекс9],0)),"")</f>
        <v>BasixCOMPAK</v>
      </c>
      <c r="AA15" s="115" t="str">
        <f>IFERROR(INDEX(Расходка[Наименование расходного материала],MATCH(Расходка[[#This Row],[№]],Поиск_расходки[Индекс10],0)),"")</f>
        <v>BasixCOMPAK</v>
      </c>
      <c r="AB15" s="115" t="str">
        <f>IFERROR(INDEX(Расходка[Наименование расходного материала],MATCH(Расходка[[#This Row],[№]],Поиск_расходки[Индекс11],0)),"")</f>
        <v>BasixCOMPAK</v>
      </c>
      <c r="AC15" s="115" t="str">
        <f>IFERROR(INDEX(Расходка[Наименование расходного материала],MATCH(Расходка[[#This Row],[№]],Поиск_расходки[Индекс12],0)),"")</f>
        <v>BasixCOMPAK</v>
      </c>
      <c r="AD15" s="115" t="str">
        <f>IFERROR(INDEX(Расходка[Наименование расходного материала],MATCH(Расходка[[#This Row],[№]],Поиск_расходки[Индекс13],0)),"")</f>
        <v>BasixCOMPAK</v>
      </c>
      <c r="AF15" s="4" t="s">
        <v>5</v>
      </c>
      <c r="AG15" s="4" t="s">
        <v>413</v>
      </c>
      <c r="AI15" t="s">
        <v>94</v>
      </c>
    </row>
    <row r="16" spans="1:42">
      <c r="A16">
        <v>15</v>
      </c>
      <c r="B16" t="s">
        <v>306</v>
      </c>
      <c r="C16" t="s">
        <v>362</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учёта'!$B$17,Расходка[[#This Row],[Наименование расходного материала]])),MAX($I$1:I15)+1,0)</f>
        <v>0</v>
      </c>
      <c r="J16" s="116">
        <f>IF(ISNUMBER(SEARCH('Карта учёта'!$B$18,Расходка[[#This Row],[Наименование расходного материала]])),MAX($J$1:J15)+1,0)</f>
        <v>0</v>
      </c>
      <c r="K16" s="116">
        <f>IF(ISNUMBER(SEARCH('Карта учёта'!$B$19,Расходка[[#This Row],[Наименование расходного материала]])),MAX($K$1:K15)+1,0)</f>
        <v>0</v>
      </c>
      <c r="L16" s="116">
        <f>IF(ISNUMBER(SEARCH('Карта учёта'!$B$20,Расходка[[#This Row],[Наименование расходного материала]])),MAX($L$1:L15)+1,0)</f>
        <v>0</v>
      </c>
      <c r="M16" s="116">
        <f>IF(ISNUMBER(SEARCH('Карта учёта'!$B$21,Расходка[[#This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
      </c>
      <c r="Y16" s="115" t="str">
        <f>IFERROR(INDEX(Расходка[Наименование расходного материала],MATCH(Расходка[[#This Row],[№]],Поиск_расходки[Индекс8],0)),"")</f>
        <v/>
      </c>
      <c r="Z16" s="115" t="str">
        <f>IFERROR(INDEX(Расходка[Наименование расходного материала],MATCH(Расходка[[#This Row],[№]],Поиск_расходки[Индекс9],0)),"")</f>
        <v>BasixTOUCH</v>
      </c>
      <c r="AA16" s="115" t="str">
        <f>IFERROR(INDEX(Расходка[Наименование расходного материала],MATCH(Расходка[[#This Row],[№]],Поиск_расходки[Индекс10],0)),"")</f>
        <v>BasixTOUCH</v>
      </c>
      <c r="AB16" s="115" t="str">
        <f>IFERROR(INDEX(Расходка[Наименование расходного материала],MATCH(Расходка[[#This Row],[№]],Поиск_расходки[Индекс11],0)),"")</f>
        <v>BasixTOUCH</v>
      </c>
      <c r="AC16" s="115" t="str">
        <f>IFERROR(INDEX(Расходка[Наименование расходного материала],MATCH(Расходка[[#This Row],[№]],Поиск_расходки[Индекс12],0)),"")</f>
        <v>BasixTOUCH</v>
      </c>
      <c r="AD16" s="115" t="str">
        <f>IFERROR(INDEX(Расходка[Наименование расходного материала],MATCH(Расходка[[#This Row],[№]],Поиск_расходки[Индекс13],0)),"")</f>
        <v>BasixTOUCH</v>
      </c>
      <c r="AF16" s="4" t="s">
        <v>5</v>
      </c>
      <c r="AG16" s="4" t="s">
        <v>414</v>
      </c>
      <c r="AI16" t="s">
        <v>306</v>
      </c>
    </row>
    <row r="17" spans="1:35">
      <c r="A17">
        <v>16</v>
      </c>
      <c r="B17" t="s">
        <v>306</v>
      </c>
      <c r="C17" t="s">
        <v>354</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учёта'!$B$17,Расходка[[#This Row],[Наименование расходного материала]])),MAX($I$1:I16)+1,0)</f>
        <v>0</v>
      </c>
      <c r="J17" s="116">
        <f>IF(ISNUMBER(SEARCH('Карта учёта'!$B$18,Расходка[[#This Row],[Наименование расходного материала]])),MAX($J$1:J16)+1,0)</f>
        <v>0</v>
      </c>
      <c r="K17" s="116">
        <f>IF(ISNUMBER(SEARCH('Карта учёта'!$B$19,Расходка[[#This Row],[Наименование расходного материала]])),MAX($K$1:K16)+1,0)</f>
        <v>0</v>
      </c>
      <c r="L17" s="116">
        <f>IF(ISNUMBER(SEARCH('Карта учёта'!$B$20,Расходка[[#This Row],[Наименование расходного материала]])),MAX($L$1:L16)+1,0)</f>
        <v>0</v>
      </c>
      <c r="M17" s="116">
        <f>IF(ISNUMBER(SEARCH('Карта учёта'!$B$21,Расходка[[#This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
      </c>
      <c r="Y17" s="115" t="str">
        <f>IFERROR(INDEX(Расходка[Наименование расходного материала],MATCH(Расходка[[#This Row],[№]],Поиск_расходки[Индекс8],0)),"")</f>
        <v/>
      </c>
      <c r="Z17" s="115" t="str">
        <f>IFERROR(INDEX(Расходка[Наименование расходного материала],MATCH(Расходка[[#This Row],[№]],Поиск_расходки[Индекс9],0)),"")</f>
        <v>Dolphin</v>
      </c>
      <c r="AA17" s="115" t="str">
        <f>IFERROR(INDEX(Расходка[Наименование расходного материала],MATCH(Расходка[[#This Row],[№]],Поиск_расходки[Индекс10],0)),"")</f>
        <v>Dolphin</v>
      </c>
      <c r="AB17" s="115" t="str">
        <f>IFERROR(INDEX(Расходка[Наименование расходного материала],MATCH(Расходка[[#This Row],[№]],Поиск_расходки[Индекс11],0)),"")</f>
        <v>Dolphin</v>
      </c>
      <c r="AC17" s="115" t="str">
        <f>IFERROR(INDEX(Расходка[Наименование расходного материала],MATCH(Расходка[[#This Row],[№]],Поиск_расходки[Индекс12],0)),"")</f>
        <v>Dolphin</v>
      </c>
      <c r="AD17" s="115" t="str">
        <f>IFERROR(INDEX(Расходка[Наименование расходного материала],MATCH(Расходка[[#This Row],[№]],Поиск_расходки[Индекс13],0)),"")</f>
        <v>Dolphin</v>
      </c>
      <c r="AF17" s="4" t="s">
        <v>5</v>
      </c>
      <c r="AG17" s="4" t="s">
        <v>415</v>
      </c>
      <c r="AI17" t="s">
        <v>206</v>
      </c>
    </row>
    <row r="18" spans="1:35">
      <c r="A18">
        <v>17</v>
      </c>
      <c r="B18" t="s">
        <v>306</v>
      </c>
      <c r="C18" t="s">
        <v>375</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учёта'!$B$17,Расходка[[#This Row],[Наименование расходного материала]])),MAX($I$1:I17)+1,0)</f>
        <v>0</v>
      </c>
      <c r="J18" s="116">
        <f>IF(ISNUMBER(SEARCH('Карта учёта'!$B$18,Расходка[[#This Row],[Наименование расходного материала]])),MAX($J$1:J17)+1,0)</f>
        <v>0</v>
      </c>
      <c r="K18" s="116">
        <f>IF(ISNUMBER(SEARCH('Карта учёта'!$B$19,Расходка[[#This Row],[Наименование расходного материала]])),MAX($K$1:K17)+1,0)</f>
        <v>0</v>
      </c>
      <c r="L18" s="116">
        <f>IF(ISNUMBER(SEARCH('Карта учёта'!$B$20,Расходка[[#This Row],[Наименование расходного материала]])),MAX($L$1:L17)+1,0)</f>
        <v>0</v>
      </c>
      <c r="M18" s="116">
        <f>IF(ISNUMBER(SEARCH('Карта учёта'!$B$21,Расходка[[#This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
      </c>
      <c r="Y18" s="115" t="str">
        <f>IFERROR(INDEX(Расходка[Наименование расходного материала],MATCH(Расходка[[#This Row],[№]],Поиск_расходки[Индекс8],0)),"")</f>
        <v/>
      </c>
      <c r="Z18" s="115" t="str">
        <f>IFERROR(INDEX(Расходка[Наименование расходного материала],MATCH(Расходка[[#This Row],[№]],Поиск_расходки[Индекс9],0)),"")</f>
        <v>Lepu Medical</v>
      </c>
      <c r="AA18" s="115" t="str">
        <f>IFERROR(INDEX(Расходка[Наименование расходного материала],MATCH(Расходка[[#This Row],[№]],Поиск_расходки[Индекс10],0)),"")</f>
        <v>Lepu Medical</v>
      </c>
      <c r="AB18" s="115" t="str">
        <f>IFERROR(INDEX(Расходка[Наименование расходного материала],MATCH(Расходка[[#This Row],[№]],Поиск_расходки[Индекс11],0)),"")</f>
        <v>Lepu Medical</v>
      </c>
      <c r="AC18" s="115" t="str">
        <f>IFERROR(INDEX(Расходка[Наименование расходного материала],MATCH(Расходка[[#This Row],[№]],Поиск_расходки[Индекс12],0)),"")</f>
        <v>Lepu Medical</v>
      </c>
      <c r="AD18" s="115" t="str">
        <f>IFERROR(INDEX(Расходка[Наименование расходного материала],MATCH(Расходка[[#This Row],[№]],Поиск_расходки[Индекс13],0)),"")</f>
        <v>Lepu Medical</v>
      </c>
      <c r="AF18" s="4" t="s">
        <v>5</v>
      </c>
      <c r="AG18" s="4" t="s">
        <v>416</v>
      </c>
      <c r="AI18" t="s">
        <v>95</v>
      </c>
    </row>
    <row r="19" spans="1:35">
      <c r="A19">
        <v>18</v>
      </c>
      <c r="B19" t="s">
        <v>306</v>
      </c>
      <c r="C19" t="s">
        <v>367</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учёта'!$B$17,Расходка[[#This Row],[Наименование расходного материала]])),MAX($I$1:I18)+1,0)</f>
        <v>0</v>
      </c>
      <c r="J19" s="116">
        <f>IF(ISNUMBER(SEARCH('Карта учёта'!$B$18,Расходка[[#This Row],[Наименование расходного материала]])),MAX($J$1:J18)+1,0)</f>
        <v>0</v>
      </c>
      <c r="K19" s="116">
        <f>IF(ISNUMBER(SEARCH('Карта учёта'!$B$19,Расходка[[#This Row],[Наименование расходного материала]])),MAX($K$1:K18)+1,0)</f>
        <v>0</v>
      </c>
      <c r="L19" s="116">
        <f>IF(ISNUMBER(SEARCH('Карта учёта'!$B$20,Расходка[[#This Row],[Наименование расходного материала]])),MAX($L$1:L18)+1,0)</f>
        <v>0</v>
      </c>
      <c r="M19" s="116">
        <f>IF(ISNUMBER(SEARCH('Карта учёта'!$B$21,Расходка[[#This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
      </c>
      <c r="Y19" s="115" t="str">
        <f>IFERROR(INDEX(Расходка[Наименование расходного материала],MATCH(Расходка[[#This Row],[№]],Поиск_расходки[Индекс8],0)),"")</f>
        <v/>
      </c>
      <c r="Z19" s="115" t="str">
        <f>IFERROR(INDEX(Расходка[Наименование расходного материала],MATCH(Расходка[[#This Row],[№]],Поиск_расходки[Индекс9],0)),"")</f>
        <v>Perouse Medical FLAMINGO</v>
      </c>
      <c r="AA19" s="115" t="str">
        <f>IFERROR(INDEX(Расходка[Наименование расходного материала],MATCH(Расходка[[#This Row],[№]],Поиск_расходки[Индекс10],0)),"")</f>
        <v>Perouse Medical FLAMINGO</v>
      </c>
      <c r="AB19" s="115" t="str">
        <f>IFERROR(INDEX(Расходка[Наименование расходного материала],MATCH(Расходка[[#This Row],[№]],Поиск_расходки[Индекс11],0)),"")</f>
        <v>Perouse Medical FLAMINGO</v>
      </c>
      <c r="AC19" s="115" t="str">
        <f>IFERROR(INDEX(Расходка[Наименование расходного материала],MATCH(Расходка[[#This Row],[№]],Поиск_расходки[Индекс12],0)),"")</f>
        <v>Perouse Medical FLAMINGO</v>
      </c>
      <c r="AD19" s="115" t="str">
        <f>IFERROR(INDEX(Расходка[Наименование расходного материала],MATCH(Расходка[[#This Row],[№]],Поиск_расходки[Индекс13],0)),"")</f>
        <v>Perouse Medical FLAMINGO</v>
      </c>
      <c r="AF19" s="4" t="s">
        <v>5</v>
      </c>
      <c r="AG19" s="4" t="s">
        <v>417</v>
      </c>
      <c r="AI19" t="s">
        <v>301</v>
      </c>
    </row>
    <row r="20" spans="1:35">
      <c r="A20">
        <v>19</v>
      </c>
      <c r="B20" t="s">
        <v>306</v>
      </c>
      <c r="C20" t="s">
        <v>504</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учёта'!$B$17,Расходка[[#This Row],[Наименование расходного материала]])),MAX($I$1:I19)+1,0)</f>
        <v>0</v>
      </c>
      <c r="J20" s="116">
        <f>IF(ISNUMBER(SEARCH('Карта учёта'!$B$18,Расходка[[#This Row],[Наименование расходного материала]])),MAX($J$1:J19)+1,0)</f>
        <v>0</v>
      </c>
      <c r="K20" s="116">
        <f>IF(ISNUMBER(SEARCH('Карта учёта'!$B$19,Расходка[[#This Row],[Наименование расходного материала]])),MAX($K$1:K19)+1,0)</f>
        <v>0</v>
      </c>
      <c r="L20" s="116">
        <f>IF(ISNUMBER(SEARCH('Карта учёта'!$B$20,Расходка[[#This Row],[Наименование расходного материала]])),MAX($L$1:L19)+1,0)</f>
        <v>0</v>
      </c>
      <c r="M20" s="116">
        <f>IF(ISNUMBER(SEARCH('Карта учёта'!$B$21,Расходка[[#This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
      </c>
      <c r="Y20" s="115" t="str">
        <f>IFERROR(INDEX(Расходка[Наименование расходного материала],MATCH(Расходка[[#This Row],[№]],Поиск_расходки[Индекс8],0)),"")</f>
        <v/>
      </c>
      <c r="Z20" s="115" t="str">
        <f>IFERROR(INDEX(Расходка[Наименование расходного материала],MATCH(Расходка[[#This Row],[№]],Поиск_расходки[Индекс9],0)),"")</f>
        <v>Demax</v>
      </c>
      <c r="AA20" s="115" t="str">
        <f>IFERROR(INDEX(Расходка[Наименование расходного материала],MATCH(Расходка[[#This Row],[№]],Поиск_расходки[Индекс10],0)),"")</f>
        <v>Demax</v>
      </c>
      <c r="AB20" s="115" t="str">
        <f>IFERROR(INDEX(Расходка[Наименование расходного материала],MATCH(Расходка[[#This Row],[№]],Поиск_расходки[Индекс11],0)),"")</f>
        <v>Demax</v>
      </c>
      <c r="AC20" s="115" t="str">
        <f>IFERROR(INDEX(Расходка[Наименование расходного материала],MATCH(Расходка[[#This Row],[№]],Поиск_расходки[Индекс12],0)),"")</f>
        <v>Demax</v>
      </c>
      <c r="AD20" s="115" t="str">
        <f>IFERROR(INDEX(Расходка[Наименование расходного материала],MATCH(Расходка[[#This Row],[№]],Поиск_расходки[Индекс13],0)),"")</f>
        <v>Demax</v>
      </c>
      <c r="AF20" s="4" t="s">
        <v>5</v>
      </c>
      <c r="AG20" s="4" t="s">
        <v>418</v>
      </c>
      <c r="AI20" t="s">
        <v>308</v>
      </c>
    </row>
    <row r="21" spans="1:35">
      <c r="A21">
        <v>20</v>
      </c>
      <c r="B21" t="s">
        <v>206</v>
      </c>
      <c r="C21" s="1" t="s">
        <v>338</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учёта'!$B$17,Расходка[[#This Row],[Наименование расходного материала]])),MAX($I$1:I20)+1,0)</f>
        <v>0</v>
      </c>
      <c r="J21" s="116">
        <f>IF(ISNUMBER(SEARCH('Карта учёта'!$B$18,Расходка[[#This Row],[Наименование расходного материала]])),MAX($J$1:J20)+1,0)</f>
        <v>0</v>
      </c>
      <c r="K21" s="116">
        <f>IF(ISNUMBER(SEARCH('Карта учёта'!$B$19,Расходка[[#This Row],[Наименование расходного материала]])),MAX($K$1:K20)+1,0)</f>
        <v>0</v>
      </c>
      <c r="L21" s="116">
        <f>IF(ISNUMBER(SEARCH('Карта учёта'!$B$20,Расходка[[#This Row],[Наименование расходного материала]])),MAX($L$1:L20)+1,0)</f>
        <v>0</v>
      </c>
      <c r="M21" s="116">
        <f>IF(ISNUMBER(SEARCH('Карта учёта'!$B$21,Расходка[[#This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
      </c>
      <c r="Y21" s="115" t="str">
        <f>IFERROR(INDEX(Расходка[Наименование расходного материала],MATCH(Расходка[[#This Row],[№]],Поиск_расходки[Индекс8],0)),"")</f>
        <v/>
      </c>
      <c r="Z21" s="115" t="str">
        <f>IFERROR(INDEX(Расходка[Наименование расходного материала],MATCH(Расходка[[#This Row],[№]],Поиск_расходки[Индекс9],0)),"")</f>
        <v>Oscor 7F</v>
      </c>
      <c r="AA21" s="115" t="str">
        <f>IFERROR(INDEX(Расходка[Наименование расходного материала],MATCH(Расходка[[#This Row],[№]],Поиск_расходки[Индекс10],0)),"")</f>
        <v>Oscor 7F</v>
      </c>
      <c r="AB21" s="115" t="str">
        <f>IFERROR(INDEX(Расходка[Наименование расходного материала],MATCH(Расходка[[#This Row],[№]],Поиск_расходки[Индекс11],0)),"")</f>
        <v>Oscor 7F</v>
      </c>
      <c r="AC21" s="115" t="str">
        <f>IFERROR(INDEX(Расходка[Наименование расходного материала],MATCH(Расходка[[#This Row],[№]],Поиск_расходки[Индекс12],0)),"")</f>
        <v>Oscor 7F</v>
      </c>
      <c r="AD21" s="115" t="str">
        <f>IFERROR(INDEX(Расходка[Наименование расходного материала],MATCH(Расходка[[#This Row],[№]],Поиск_расходки[Индекс13],0)),"")</f>
        <v>Oscor 7F</v>
      </c>
      <c r="AF21" s="4" t="s">
        <v>5</v>
      </c>
      <c r="AG21" s="4" t="s">
        <v>419</v>
      </c>
    </row>
    <row r="22" spans="1:35">
      <c r="A22">
        <v>21</v>
      </c>
      <c r="B22" t="s">
        <v>306</v>
      </c>
      <c r="C22" s="1" t="s">
        <v>506</v>
      </c>
      <c r="E22" s="116">
        <f>IF(ISNUMBER(SEARCH('Карта учёта'!$B$13,Расходка[[#This Row],[Наименование расходного материала]])),MAX($E$1:E21)+1,0)</f>
        <v>0</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учёта'!$B$17,Расходка[[#This Row],[Наименование расходного материала]])),MAX($I$1:I21)+1,0)</f>
        <v>0</v>
      </c>
      <c r="J22" s="116">
        <f>IF(ISNUMBER(SEARCH('Карта учёта'!$B$18,Расходка[[#This Row],[Наименование расходного материала]])),MAX($J$1:J21)+1,0)</f>
        <v>0</v>
      </c>
      <c r="K22" s="116">
        <f>IF(ISNUMBER(SEARCH('Карта учёта'!$B$19,Расходка[[#This Row],[Наименование расходного материала]])),MAX($K$1:K21)+1,0)</f>
        <v>0</v>
      </c>
      <c r="L22" s="116">
        <f>IF(ISNUMBER(SEARCH('Карта учёта'!$B$20,Расходка[[#This Row],[Наименование расходного материала]])),MAX($L$1:L21)+1,0)</f>
        <v>0</v>
      </c>
      <c r="M22" s="116">
        <f>IF(ISNUMBER(SEARCH('Карта учёта'!$B$21,Расходка[[#This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c>
      <c r="Y22" s="115" t="str">
        <f>IFERROR(INDEX(Расходка[Наименование расходного материала],MATCH(Расходка[[#This Row],[№]],Поиск_расходки[Индекс8],0)),"")</f>
        <v/>
      </c>
      <c r="Z22" s="115" t="str">
        <f>IFERROR(INDEX(Расходка[Наименование расходного материала],MATCH(Расходка[[#This Row],[№]],Поиск_расходки[Индекс9],0)),"")</f>
        <v>"МИМ". Тюмень</v>
      </c>
      <c r="AA22" s="115" t="str">
        <f>IFERROR(INDEX(Расходка[Наименование расходного материала],MATCH(Расходка[[#This Row],[№]],Поиск_расходки[Индекс10],0)),"")</f>
        <v>"МИМ". Тюмень</v>
      </c>
      <c r="AB22" s="115" t="str">
        <f>IFERROR(INDEX(Расходка[Наименование расходного материала],MATCH(Расходка[[#This Row],[№]],Поиск_расходки[Индекс11],0)),"")</f>
        <v>"МИМ". Тюмень</v>
      </c>
      <c r="AC22" s="115" t="str">
        <f>IFERROR(INDEX(Расходка[Наименование расходного материала],MATCH(Расходка[[#This Row],[№]],Поиск_расходки[Индекс12],0)),"")</f>
        <v>"МИМ". Тюмень</v>
      </c>
      <c r="AD22" s="115" t="str">
        <f>IFERROR(INDEX(Расходка[Наименование расходного материала],MATCH(Расходка[[#This Row],[№]],Поиск_расходки[Индекс13],0)),"")</f>
        <v>"МИМ". Тюмень</v>
      </c>
      <c r="AF22" s="4" t="s">
        <v>5</v>
      </c>
      <c r="AG22" s="4" t="s">
        <v>420</v>
      </c>
    </row>
    <row r="23" spans="1:35">
      <c r="A23">
        <v>22</v>
      </c>
      <c r="B23" t="s">
        <v>306</v>
      </c>
      <c r="C23" s="1" t="s">
        <v>508</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учёта'!$B$17,Расходка[[#This Row],[Наименование расходного материала]])),MAX($I$1:I22)+1,0)</f>
        <v>0</v>
      </c>
      <c r="J23" s="116">
        <f>IF(ISNUMBER(SEARCH('Карта учёта'!$B$18,Расходка[[#This Row],[Наименование расходного материала]])),MAX($J$1:J22)+1,0)</f>
        <v>0</v>
      </c>
      <c r="K23" s="116">
        <f>IF(ISNUMBER(SEARCH('Карта учёта'!$B$19,Расходка[[#This Row],[Наименование расходного материала]])),MAX($K$1:K22)+1,0)</f>
        <v>0</v>
      </c>
      <c r="L23" s="116">
        <f>IF(ISNUMBER(SEARCH('Карта учёта'!$B$20,Расходка[[#This Row],[Наименование расходного материала]])),MAX($L$1:L22)+1,0)</f>
        <v>0</v>
      </c>
      <c r="M23" s="116">
        <f>IF(ISNUMBER(SEARCH('Карта учёта'!$B$21,Расходка[[#This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
      </c>
      <c r="Y23" s="115" t="str">
        <f>IFERROR(INDEX(Расходка[Наименование расходного материала],MATCH(Расходка[[#This Row],[№]],Поиск_расходки[Индекс8],0)),"")</f>
        <v/>
      </c>
      <c r="Z23" s="115" t="str">
        <f>IFERROR(INDEX(Расходка[Наименование расходного материала],MATCH(Расходка[[#This Row],[№]],Поиск_расходки[Индекс9],0)),"")</f>
        <v>Поток CTЗ по ТУ</v>
      </c>
      <c r="AA23" s="115" t="str">
        <f>IFERROR(INDEX(Расходка[Наименование расходного материала],MATCH(Расходка[[#This Row],[№]],Поиск_расходки[Индекс10],0)),"")</f>
        <v>Поток CTЗ по ТУ</v>
      </c>
      <c r="AB23" s="115" t="str">
        <f>IFERROR(INDEX(Расходка[Наименование расходного материала],MATCH(Расходка[[#This Row],[№]],Поиск_расходки[Индекс11],0)),"")</f>
        <v>Поток CTЗ по ТУ</v>
      </c>
      <c r="AC23" s="115" t="str">
        <f>IFERROR(INDEX(Расходка[Наименование расходного материала],MATCH(Расходка[[#This Row],[№]],Поиск_расходки[Индекс12],0)),"")</f>
        <v>Поток CTЗ по ТУ</v>
      </c>
      <c r="AD23" s="115" t="str">
        <f>IFERROR(INDEX(Расходка[Наименование расходного материала],MATCH(Расходка[[#This Row],[№]],Поиск_расходки[Индекс13],0)),"")</f>
        <v>Поток CTЗ по ТУ</v>
      </c>
      <c r="AF23" s="4" t="s">
        <v>5</v>
      </c>
      <c r="AG23" s="4" t="s">
        <v>421</v>
      </c>
    </row>
    <row r="24" spans="1:35">
      <c r="A24">
        <v>23</v>
      </c>
      <c r="B24" t="s">
        <v>306</v>
      </c>
      <c r="C24" s="1" t="s">
        <v>306</v>
      </c>
      <c r="E24" s="116">
        <f>IF(ISNUMBER(SEARCH('Карта учёта'!$B$13,Расходка[[#This Row],[Наименование расходного материала]])),MAX($E$1:E23)+1,0)</f>
        <v>1</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учёта'!$B$17,Расходка[[#This Row],[Наименование расходного материала]])),MAX($I$1:I23)+1,0)</f>
        <v>0</v>
      </c>
      <c r="J24" s="116">
        <f>IF(ISNUMBER(SEARCH('Карта учёта'!$B$18,Расходка[[#This Row],[Наименование расходного материала]])),MAX($J$1:J23)+1,0)</f>
        <v>0</v>
      </c>
      <c r="K24" s="116">
        <f>IF(ISNUMBER(SEARCH('Карта учёта'!$B$19,Расходка[[#This Row],[Наименование расходного материала]])),MAX($K$1:K23)+1,0)</f>
        <v>0</v>
      </c>
      <c r="L24" s="116">
        <f>IF(ISNUMBER(SEARCH('Карта учёта'!$B$20,Расходка[[#This Row],[Наименование расходного материала]])),MAX($L$1:L23)+1,0)</f>
        <v>0</v>
      </c>
      <c r="M24" s="116">
        <f>IF(ISNUMBER(SEARCH('Карта учёта'!$B$21,Расходка[[#This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
      </c>
      <c r="Y24" s="115" t="str">
        <f>IFERROR(INDEX(Расходка[Наименование расходного материала],MATCH(Расходка[[#This Row],[№]],Поиск_расходки[Индекс8],0)),"")</f>
        <v/>
      </c>
      <c r="Z24" s="115" t="str">
        <f>IFERROR(INDEX(Расходка[Наименование расходного материала],MATCH(Расходка[[#This Row],[№]],Поиск_расходки[Индекс9],0)),"")</f>
        <v>Индефлятор</v>
      </c>
      <c r="AA24" s="115" t="str">
        <f>IFERROR(INDEX(Расходка[Наименование расходного материала],MATCH(Расходка[[#This Row],[№]],Поиск_расходки[Индекс10],0)),"")</f>
        <v>Индефлятор</v>
      </c>
      <c r="AB24" s="115" t="str">
        <f>IFERROR(INDEX(Расходка[Наименование расходного материала],MATCH(Расходка[[#This Row],[№]],Поиск_расходки[Индекс11],0)),"")</f>
        <v>Индефлятор</v>
      </c>
      <c r="AC24" s="115" t="str">
        <f>IFERROR(INDEX(Расходка[Наименование расходного материала],MATCH(Расходка[[#This Row],[№]],Поиск_расходки[Индекс12],0)),"")</f>
        <v>Индефлятор</v>
      </c>
      <c r="AD24" s="115" t="str">
        <f>IFERROR(INDEX(Расходка[Наименование расходного материала],MATCH(Расходка[[#This Row],[№]],Поиск_расходки[Индекс13],0)),"")</f>
        <v>Индефлятор</v>
      </c>
      <c r="AF24" s="4" t="s">
        <v>5</v>
      </c>
      <c r="AG24" s="4" t="s">
        <v>422</v>
      </c>
    </row>
    <row r="25" spans="1:35">
      <c r="A25">
        <v>24</v>
      </c>
      <c r="B25" t="s">
        <v>3</v>
      </c>
      <c r="C25" t="s">
        <v>321</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0</v>
      </c>
      <c r="H25" s="116">
        <f>IF(ISNUMBER(SEARCH('Карта учёта'!$B$16,Расходка[[#This Row],[Наименование расходного материала]])),MAX($H$1:H24)+1,0)</f>
        <v>0</v>
      </c>
      <c r="I25" s="116">
        <f>IF(ISNUMBER(SEARCH('Карта учёта'!$B$17,Расходка[[#This Row],[Наименование расходного материала]])),MAX($I$1:I24)+1,0)</f>
        <v>0</v>
      </c>
      <c r="J25" s="116">
        <f>IF(ISNUMBER(SEARCH('Карта учёта'!$B$18,Расходка[[#This Row],[Наименование расходного материала]])),MAX($J$1:J24)+1,0)</f>
        <v>0</v>
      </c>
      <c r="K25" s="116">
        <f>IF(ISNUMBER(SEARCH('Карта учёта'!$B$19,Расходка[[#This Row],[Наименование расходного материала]])),MAX($K$1:K24)+1,0)</f>
        <v>0</v>
      </c>
      <c r="L25" s="116">
        <f>IF(ISNUMBER(SEARCH('Карта учёта'!$B$20,Расходка[[#This Row],[Наименование расходного материала]])),MAX($L$1:L24)+1,0)</f>
        <v>0</v>
      </c>
      <c r="M25" s="116">
        <f>IF(ISNUMBER(SEARCH('Карта учёта'!$B$21,Расходка[[#This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
      </c>
      <c r="Y25" s="115" t="str">
        <f>IFERROR(INDEX(Расходка[Наименование расходного материала],MATCH(Расходка[[#This Row],[№]],Поиск_расходки[Индекс8],0)),"")</f>
        <v/>
      </c>
      <c r="Z25" s="115" t="str">
        <f>IFERROR(INDEX(Расходка[Наименование расходного материала],MATCH(Расходка[[#This Row],[№]],Поиск_расходки[Индекс9],0)),"")</f>
        <v>Cougar LS Hydro-Track®</v>
      </c>
      <c r="AA25" s="115" t="str">
        <f>IFERROR(INDEX(Расходка[Наименование расходного материала],MATCH(Расходка[[#This Row],[№]],Поиск_расходки[Индекс10],0)),"")</f>
        <v>Cougar LS Hydro-Track®</v>
      </c>
      <c r="AB25" s="115" t="str">
        <f>IFERROR(INDEX(Расходка[Наименование расходного материала],MATCH(Расходка[[#This Row],[№]],Поиск_расходки[Индекс11],0)),"")</f>
        <v>Cougar LS Hydro-Track®</v>
      </c>
      <c r="AC25" s="115" t="str">
        <f>IFERROR(INDEX(Расходка[Наименование расходного материала],MATCH(Расходка[[#This Row],[№]],Поиск_расходки[Индекс12],0)),"")</f>
        <v>Cougar LS Hydro-Track®</v>
      </c>
      <c r="AD25" s="115" t="str">
        <f>IFERROR(INDEX(Расходка[Наименование расходного материала],MATCH(Расходка[[#This Row],[№]],Поиск_расходки[Индекс13],0)),"")</f>
        <v>Cougar LS Hydro-Track®</v>
      </c>
      <c r="AF25" s="4" t="s">
        <v>5</v>
      </c>
      <c r="AG25" s="4" t="s">
        <v>423</v>
      </c>
    </row>
    <row r="26" spans="1:35">
      <c r="A26">
        <v>25</v>
      </c>
      <c r="B26" t="s">
        <v>3</v>
      </c>
      <c r="C26" t="s">
        <v>342</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0</v>
      </c>
      <c r="H26" s="116">
        <f>IF(ISNUMBER(SEARCH('Карта учёта'!$B$16,Расходка[[#This Row],[Наименование расходного материала]])),MAX($H$1:H25)+1,0)</f>
        <v>0</v>
      </c>
      <c r="I26" s="116">
        <f>IF(ISNUMBER(SEARCH('Карта учёта'!$B$17,Расходка[[#This Row],[Наименование расходного материала]])),MAX($I$1:I25)+1,0)</f>
        <v>0</v>
      </c>
      <c r="J26" s="116">
        <f>IF(ISNUMBER(SEARCH('Карта учёта'!$B$18,Расходка[[#This Row],[Наименование расходного материала]])),MAX($J$1:J25)+1,0)</f>
        <v>0</v>
      </c>
      <c r="K26" s="116">
        <f>IF(ISNUMBER(SEARCH('Карта учёта'!$B$19,Расходка[[#This Row],[Наименование расходного материала]])),MAX($K$1:K25)+1,0)</f>
        <v>0</v>
      </c>
      <c r="L26" s="116">
        <f>IF(ISNUMBER(SEARCH('Карта учёта'!$B$20,Расходка[[#This Row],[Наименование расходного материала]])),MAX($L$1:L25)+1,0)</f>
        <v>0</v>
      </c>
      <c r="M26" s="116">
        <f>IF(ISNUMBER(SEARCH('Карта учёта'!$B$21,Расходка[[#This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
      </c>
      <c r="Y26" s="115" t="str">
        <f>IFERROR(INDEX(Расходка[Наименование расходного материала],MATCH(Расходка[[#This Row],[№]],Поиск_расходки[Индекс8],0)),"")</f>
        <v/>
      </c>
      <c r="Z26" s="115" t="str">
        <f>IFERROR(INDEX(Расходка[Наименование расходного материала],MATCH(Расходка[[#This Row],[№]],Поиск_расходки[Индекс9],0)),"")</f>
        <v>Cougar XT Hydro-Track®</v>
      </c>
      <c r="AA26" s="115" t="str">
        <f>IFERROR(INDEX(Расходка[Наименование расходного материала],MATCH(Расходка[[#This Row],[№]],Поиск_расходки[Индекс10],0)),"")</f>
        <v>Cougar XT Hydro-Track®</v>
      </c>
      <c r="AB26" s="115" t="str">
        <f>IFERROR(INDEX(Расходка[Наименование расходного материала],MATCH(Расходка[[#This Row],[№]],Поиск_расходки[Индекс11],0)),"")</f>
        <v>Cougar XT Hydro-Track®</v>
      </c>
      <c r="AC26" s="115" t="str">
        <f>IFERROR(INDEX(Расходка[Наименование расходного материала],MATCH(Расходка[[#This Row],[№]],Поиск_расходки[Индекс12],0)),"")</f>
        <v>Cougar XT Hydro-Track®</v>
      </c>
      <c r="AD26" s="115" t="str">
        <f>IFERROR(INDEX(Расходка[Наименование расходного материала],MATCH(Расходка[[#This Row],[№]],Поиск_расходки[Индекс13],0)),"")</f>
        <v>Cougar XT Hydro-Track®</v>
      </c>
      <c r="AF26" s="4" t="s">
        <v>5</v>
      </c>
      <c r="AG26" s="4" t="s">
        <v>424</v>
      </c>
    </row>
    <row r="27" spans="1:35">
      <c r="A27">
        <v>26</v>
      </c>
      <c r="B27" t="s">
        <v>3</v>
      </c>
      <c r="C27" t="s">
        <v>314</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0</v>
      </c>
      <c r="H27" s="116">
        <f>IF(ISNUMBER(SEARCH('Карта учёта'!$B$16,Расходка[[#This Row],[Наименование расходного материала]])),MAX($H$1:H26)+1,0)</f>
        <v>0</v>
      </c>
      <c r="I27" s="116">
        <f>IF(ISNUMBER(SEARCH('Карта учёта'!$B$17,Расходка[[#This Row],[Наименование расходного материала]])),MAX($I$1:I26)+1,0)</f>
        <v>0</v>
      </c>
      <c r="J27" s="116">
        <f>IF(ISNUMBER(SEARCH('Карта учёта'!$B$18,Расходка[[#This Row],[Наименование расходного материала]])),MAX($J$1:J26)+1,0)</f>
        <v>0</v>
      </c>
      <c r="K27" s="116">
        <f>IF(ISNUMBER(SEARCH('Карта учёта'!$B$19,Расходка[[#This Row],[Наименование расходного материала]])),MAX($K$1:K26)+1,0)</f>
        <v>0</v>
      </c>
      <c r="L27" s="116">
        <f>IF(ISNUMBER(SEARCH('Карта учёта'!$B$20,Расходка[[#This Row],[Наименование расходного материала]])),MAX($L$1:L26)+1,0)</f>
        <v>0</v>
      </c>
      <c r="M27" s="116">
        <f>IF(ISNUMBER(SEARCH('Карта учёта'!$B$21,Расходка[[#This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
      </c>
      <c r="Y27" s="115" t="str">
        <f>IFERROR(INDEX(Расходка[Наименование расходного материала],MATCH(Расходка[[#This Row],[№]],Поиск_расходки[Индекс8],0)),"")</f>
        <v/>
      </c>
      <c r="Z27" s="115" t="str">
        <f>IFERROR(INDEX(Расходка[Наименование расходного материала],MATCH(Расходка[[#This Row],[№]],Поиск_расходки[Индекс9],0)),"")</f>
        <v>Fielder</v>
      </c>
      <c r="AA27" s="115" t="str">
        <f>IFERROR(INDEX(Расходка[Наименование расходного материала],MATCH(Расходка[[#This Row],[№]],Поиск_расходки[Индекс10],0)),"")</f>
        <v>Fielder</v>
      </c>
      <c r="AB27" s="115" t="str">
        <f>IFERROR(INDEX(Расходка[Наименование расходного материала],MATCH(Расходка[[#This Row],[№]],Поиск_расходки[Индекс11],0)),"")</f>
        <v>Fielder</v>
      </c>
      <c r="AC27" s="115" t="str">
        <f>IFERROR(INDEX(Расходка[Наименование расходного материала],MATCH(Расходка[[#This Row],[№]],Поиск_расходки[Индекс12],0)),"")</f>
        <v>Fielder</v>
      </c>
      <c r="AD27" s="115" t="str">
        <f>IFERROR(INDEX(Расходка[Наименование расходного материала],MATCH(Расходка[[#This Row],[№]],Поиск_расходки[Индекс13],0)),"")</f>
        <v>Fielder</v>
      </c>
      <c r="AF27" s="4" t="s">
        <v>5</v>
      </c>
      <c r="AG27" s="4" t="s">
        <v>425</v>
      </c>
    </row>
    <row r="28" spans="1:35">
      <c r="A28">
        <v>27</v>
      </c>
      <c r="B28" t="s">
        <v>3</v>
      </c>
      <c r="C28" t="s">
        <v>372</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учёта'!$B$17,Расходка[[#This Row],[Наименование расходного материала]])),MAX($I$1:I27)+1,0)</f>
        <v>0</v>
      </c>
      <c r="J28" s="116">
        <f>IF(ISNUMBER(SEARCH('Карта учёта'!$B$18,Расходка[[#This Row],[Наименование расходного материала]])),MAX($J$1:J27)+1,0)</f>
        <v>0</v>
      </c>
      <c r="K28" s="116">
        <f>IF(ISNUMBER(SEARCH('Карта учёта'!$B$19,Расходка[[#This Row],[Наименование расходного материала]])),MAX($K$1:K27)+1,0)</f>
        <v>0</v>
      </c>
      <c r="L28" s="116">
        <f>IF(ISNUMBER(SEARCH('Карта учёта'!$B$20,Расходка[[#This Row],[Наименование расходного материала]])),MAX($L$1:L27)+1,0)</f>
        <v>0</v>
      </c>
      <c r="M28" s="116">
        <f>IF(ISNUMBER(SEARCH('Карта учёта'!$B$21,Расходка[[#This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
      </c>
      <c r="Y28" s="115" t="str">
        <f>IFERROR(INDEX(Расходка[Наименование расходного материала],MATCH(Расходка[[#This Row],[№]],Поиск_расходки[Индекс8],0)),"")</f>
        <v/>
      </c>
      <c r="Z28" s="115" t="str">
        <f>IFERROR(INDEX(Расходка[Наименование расходного материала],MATCH(Расходка[[#This Row],[№]],Поиск_расходки[Индекс9],0)),"")</f>
        <v>Fielder XT-A</v>
      </c>
      <c r="AA28" s="115" t="str">
        <f>IFERROR(INDEX(Расходка[Наименование расходного материала],MATCH(Расходка[[#This Row],[№]],Поиск_расходки[Индекс10],0)),"")</f>
        <v>Fielder XT-A</v>
      </c>
      <c r="AB28" s="115" t="str">
        <f>IFERROR(INDEX(Расходка[Наименование расходного материала],MATCH(Расходка[[#This Row],[№]],Поиск_расходки[Индекс11],0)),"")</f>
        <v>Fielder XT-A</v>
      </c>
      <c r="AC28" s="115" t="str">
        <f>IFERROR(INDEX(Расходка[Наименование расходного материала],MATCH(Расходка[[#This Row],[№]],Поиск_расходки[Индекс12],0)),"")</f>
        <v>Fielder XT-A</v>
      </c>
      <c r="AD28" s="115" t="str">
        <f>IFERROR(INDEX(Расходка[Наименование расходного материала],MATCH(Расходка[[#This Row],[№]],Поиск_расходки[Индекс13],0)),"")</f>
        <v>Fielder XT-A</v>
      </c>
      <c r="AF28" s="4" t="s">
        <v>5</v>
      </c>
      <c r="AG28" s="4" t="s">
        <v>426</v>
      </c>
    </row>
    <row r="29" spans="1:35">
      <c r="A29">
        <v>28</v>
      </c>
      <c r="B29" t="s">
        <v>3</v>
      </c>
      <c r="C29" t="s">
        <v>373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учёта'!$B$17,Расходка[[#This Row],[Наименование расходного материала]])),MAX($I$1:I28)+1,0)</f>
        <v>0</v>
      </c>
      <c r="J29" s="116">
        <f>IF(ISNUMBER(SEARCH('Карта учёта'!$B$18,Расходка[[#This Row],[Наименование расходного материала]])),MAX($J$1:J28)+1,0)</f>
        <v>0</v>
      </c>
      <c r="K29" s="116">
        <f>IF(ISNUMBER(SEARCH('Карта учёта'!$B$19,Расходка[[#This Row],[Наименование расходного материала]])),MAX($K$1:K28)+1,0)</f>
        <v>0</v>
      </c>
      <c r="L29" s="116">
        <f>IF(ISNUMBER(SEARCH('Карта учёта'!$B$20,Расходка[[#This Row],[Наименование расходного материала]])),MAX($L$1:L28)+1,0)</f>
        <v>0</v>
      </c>
      <c r="M29" s="116">
        <f>IF(ISNUMBER(SEARCH('Карта учёта'!$B$21,Расходка[[#This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
      </c>
      <c r="Y29" s="115" t="str">
        <f>IFERROR(INDEX(Расходка[Наименование расходного материала],MATCH(Расходка[[#This Row],[№]],Поиск_расходки[Индекс8],0)),"")</f>
        <v/>
      </c>
      <c r="Z29" s="115" t="str">
        <f>IFERROR(INDEX(Расходка[Наименование расходного материала],MATCH(Расходка[[#This Row],[№]],Поиск_расходки[Индекс9],0)),"")</f>
        <v>Fielder XT-R</v>
      </c>
      <c r="AA29" s="115" t="str">
        <f>IFERROR(INDEX(Расходка[Наименование расходного материала],MATCH(Расходка[[#This Row],[№]],Поиск_расходки[Индекс10],0)),"")</f>
        <v>Fielder XT-R</v>
      </c>
      <c r="AB29" s="115" t="str">
        <f>IFERROR(INDEX(Расходка[Наименование расходного материала],MATCH(Расходка[[#This Row],[№]],Поиск_расходки[Индекс11],0)),"")</f>
        <v>Fielder XT-R</v>
      </c>
      <c r="AC29" s="115" t="str">
        <f>IFERROR(INDEX(Расходка[Наименование расходного материала],MATCH(Расходка[[#This Row],[№]],Поиск_расходки[Индекс12],0)),"")</f>
        <v>Fielder XT-R</v>
      </c>
      <c r="AD29" s="115" t="str">
        <f>IFERROR(INDEX(Расходка[Наименование расходного материала],MATCH(Расходка[[#This Row],[№]],Поиск_расходки[Индекс13],0)),"")</f>
        <v>Fielder XT-R</v>
      </c>
      <c r="AF29" s="4" t="s">
        <v>5</v>
      </c>
      <c r="AG29" s="4" t="s">
        <v>427</v>
      </c>
    </row>
    <row r="30" spans="1:35">
      <c r="A30">
        <v>29</v>
      </c>
      <c r="B30" t="s">
        <v>3</v>
      </c>
      <c r="C30" t="s">
        <v>510</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учёта'!$B$17,Расходка[[#This Row],[Наименование расходного материала]])),MAX($I$1:I29)+1,0)</f>
        <v>0</v>
      </c>
      <c r="J30" s="116">
        <f>IF(ISNUMBER(SEARCH('Карта учёта'!$B$18,Расходка[[#This Row],[Наименование расходного материала]])),MAX($J$1:J29)+1,0)</f>
        <v>0</v>
      </c>
      <c r="K30" s="116">
        <f>IF(ISNUMBER(SEARCH('Карта учёта'!$B$19,Расходка[[#This Row],[Наименование расходного материала]])),MAX($K$1:K29)+1,0)</f>
        <v>0</v>
      </c>
      <c r="L30" s="116">
        <f>IF(ISNUMBER(SEARCH('Карта учёта'!$B$20,Расходка[[#This Row],[Наименование расходного материала]])),MAX($L$1:L29)+1,0)</f>
        <v>0</v>
      </c>
      <c r="M30" s="116">
        <f>IF(ISNUMBER(SEARCH('Карта учёта'!$B$21,Расходка[[#This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
      </c>
      <c r="Y30" s="115" t="str">
        <f>IFERROR(INDEX(Расходка[Наименование расходного материала],MATCH(Расходка[[#This Row],[№]],Поиск_расходки[Индекс8],0)),"")</f>
        <v/>
      </c>
      <c r="Z30" s="115" t="str">
        <f>IFERROR(INDEX(Расходка[Наименование расходного материала],MATCH(Расходка[[#This Row],[№]],Поиск_расходки[Индекс9],0)),"")</f>
        <v>Asahi Gaia First</v>
      </c>
      <c r="AA30" s="115" t="str">
        <f>IFERROR(INDEX(Расходка[Наименование расходного материала],MATCH(Расходка[[#This Row],[№]],Поиск_расходки[Индекс10],0)),"")</f>
        <v>Asahi Gaia First</v>
      </c>
      <c r="AB30" s="115" t="str">
        <f>IFERROR(INDEX(Расходка[Наименование расходного материала],MATCH(Расходка[[#This Row],[№]],Поиск_расходки[Индекс11],0)),"")</f>
        <v>Asahi Gaia First</v>
      </c>
      <c r="AC30" s="115" t="str">
        <f>IFERROR(INDEX(Расходка[Наименование расходного материала],MATCH(Расходка[[#This Row],[№]],Поиск_расходки[Индекс12],0)),"")</f>
        <v>Asahi Gaia First</v>
      </c>
      <c r="AD30" s="115" t="str">
        <f>IFERROR(INDEX(Расходка[Наименование расходного материала],MATCH(Расходка[[#This Row],[№]],Поиск_расходки[Индекс13],0)),"")</f>
        <v>Asahi Gaia First</v>
      </c>
      <c r="AF30" s="4" t="s">
        <v>5</v>
      </c>
      <c r="AG30" s="4" t="s">
        <v>489</v>
      </c>
    </row>
    <row r="31" spans="1:35">
      <c r="A31">
        <v>30</v>
      </c>
      <c r="B31" t="s">
        <v>3</v>
      </c>
      <c r="C31" s="1" t="s">
        <v>511</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учёта'!$B$17,Расходка[[#This Row],[Наименование расходного материала]])),MAX($I$1:I30)+1,0)</f>
        <v>0</v>
      </c>
      <c r="J31" s="116">
        <f>IF(ISNUMBER(SEARCH('Карта учёта'!$B$18,Расходка[[#This Row],[Наименование расходного материала]])),MAX($J$1:J30)+1,0)</f>
        <v>0</v>
      </c>
      <c r="K31" s="116">
        <f>IF(ISNUMBER(SEARCH('Карта учёта'!$B$19,Расходка[[#This Row],[Наименование расходного материала]])),MAX($K$1:K30)+1,0)</f>
        <v>0</v>
      </c>
      <c r="L31" s="116">
        <f>IF(ISNUMBER(SEARCH('Карта учёта'!$B$20,Расходка[[#This Row],[Наименование расходного материала]])),MAX($L$1:L30)+1,0)</f>
        <v>0</v>
      </c>
      <c r="M31" s="116">
        <f>IF(ISNUMBER(SEARCH('Карта учёта'!$B$21,Расходка[[#This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
      </c>
      <c r="Y31" s="115" t="str">
        <f>IFERROR(INDEX(Расходка[Наименование расходного материала],MATCH(Расходка[[#This Row],[№]],Поиск_расходки[Индекс8],0)),"")</f>
        <v/>
      </c>
      <c r="Z31" s="115" t="str">
        <f>IFERROR(INDEX(Расходка[Наименование расходного материала],MATCH(Расходка[[#This Row],[№]],Поиск_расходки[Индекс9],0)),"")</f>
        <v>Asahi Gaia Second</v>
      </c>
      <c r="AA31" s="115" t="str">
        <f>IFERROR(INDEX(Расходка[Наименование расходного материала],MATCH(Расходка[[#This Row],[№]],Поиск_расходки[Индекс10],0)),"")</f>
        <v>Asahi Gaia Second</v>
      </c>
      <c r="AB31" s="115" t="str">
        <f>IFERROR(INDEX(Расходка[Наименование расходного материала],MATCH(Расходка[[#This Row],[№]],Поиск_расходки[Индекс11],0)),"")</f>
        <v>Asahi Gaia Second</v>
      </c>
      <c r="AC31" s="115" t="str">
        <f>IFERROR(INDEX(Расходка[Наименование расходного материала],MATCH(Расходка[[#This Row],[№]],Поиск_расходки[Индекс12],0)),"")</f>
        <v>Asahi Gaia Second</v>
      </c>
      <c r="AD31" s="115" t="str">
        <f>IFERROR(INDEX(Расходка[Наименование расходного материала],MATCH(Расходка[[#This Row],[№]],Поиск_расходки[Индекс13],0)),"")</f>
        <v>Asahi Gaia Second</v>
      </c>
      <c r="AF31" s="4" t="s">
        <v>5</v>
      </c>
      <c r="AG31" s="4" t="s">
        <v>428</v>
      </c>
    </row>
    <row r="32" spans="1:35">
      <c r="A32">
        <v>31</v>
      </c>
      <c r="B32" t="s">
        <v>3</v>
      </c>
      <c r="C32" s="1" t="s">
        <v>512</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учёта'!$B$17,Расходка[[#This Row],[Наименование расходного материала]])),MAX($I$1:I31)+1,0)</f>
        <v>0</v>
      </c>
      <c r="J32" s="116">
        <f>IF(ISNUMBER(SEARCH('Карта учёта'!$B$18,Расходка[[#This Row],[Наименование расходного материала]])),MAX($J$1:J31)+1,0)</f>
        <v>0</v>
      </c>
      <c r="K32" s="116">
        <f>IF(ISNUMBER(SEARCH('Карта учёта'!$B$19,Расходка[[#This Row],[Наименование расходного материала]])),MAX($K$1:K31)+1,0)</f>
        <v>0</v>
      </c>
      <c r="L32" s="116">
        <f>IF(ISNUMBER(SEARCH('Карта учёта'!$B$20,Расходка[[#This Row],[Наименование расходного материала]])),MAX($L$1:L31)+1,0)</f>
        <v>0</v>
      </c>
      <c r="M32" s="116">
        <f>IF(ISNUMBER(SEARCH('Карта учёта'!$B$21,Расходка[[#This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
      </c>
      <c r="Y32" s="115" t="str">
        <f>IFERROR(INDEX(Расходка[Наименование расходного материала],MATCH(Расходка[[#This Row],[№]],Поиск_расходки[Индекс8],0)),"")</f>
        <v/>
      </c>
      <c r="Z32" s="115" t="str">
        <f>IFERROR(INDEX(Расходка[Наименование расходного материала],MATCH(Расходка[[#This Row],[№]],Поиск_расходки[Индекс9],0)),"")</f>
        <v>Asahi Gaia Third</v>
      </c>
      <c r="AA32" s="115" t="str">
        <f>IFERROR(INDEX(Расходка[Наименование расходного материала],MATCH(Расходка[[#This Row],[№]],Поиск_расходки[Индекс10],0)),"")</f>
        <v>Asahi Gaia Third</v>
      </c>
      <c r="AB32" s="115" t="str">
        <f>IFERROR(INDEX(Расходка[Наименование расходного материала],MATCH(Расходка[[#This Row],[№]],Поиск_расходки[Индекс11],0)),"")</f>
        <v>Asahi Gaia Third</v>
      </c>
      <c r="AC32" s="115" t="str">
        <f>IFERROR(INDEX(Расходка[Наименование расходного материала],MATCH(Расходка[[#This Row],[№]],Поиск_расходки[Индекс12],0)),"")</f>
        <v>Asahi Gaia Third</v>
      </c>
      <c r="AD32" s="115" t="str">
        <f>IFERROR(INDEX(Расходка[Наименование расходного материала],MATCH(Расходка[[#This Row],[№]],Поиск_расходки[Индекс13],0)),"")</f>
        <v>Asahi Gaia Third</v>
      </c>
      <c r="AF32" s="4" t="s">
        <v>5</v>
      </c>
      <c r="AG32" s="4" t="s">
        <v>429</v>
      </c>
    </row>
    <row r="33" spans="1:33">
      <c r="A33">
        <v>32</v>
      </c>
      <c r="B33" t="s">
        <v>3</v>
      </c>
      <c r="C33" s="1" t="s">
        <v>322</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учёта'!$B$17,Расходка[[#This Row],[Наименование расходного материала]])),MAX($I$1:I32)+1,0)</f>
        <v>0</v>
      </c>
      <c r="J33" s="116">
        <f>IF(ISNUMBER(SEARCH('Карта учёта'!$B$18,Расходка[[#This Row],[Наименование расходного материала]])),MAX($J$1:J32)+1,0)</f>
        <v>0</v>
      </c>
      <c r="K33" s="116">
        <f>IF(ISNUMBER(SEARCH('Карта учёта'!$B$19,Расходка[[#This Row],[Наименование расходного материала]])),MAX($K$1:K32)+1,0)</f>
        <v>0</v>
      </c>
      <c r="L33" s="116">
        <f>IF(ISNUMBER(SEARCH('Карта учёта'!$B$20,Расходка[[#This Row],[Наименование расходного материала]])),MAX($L$1:L32)+1,0)</f>
        <v>0</v>
      </c>
      <c r="M33" s="116">
        <f>IF(ISNUMBER(SEARCH('Карта учёта'!$B$21,Расходка[[#This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
      </c>
      <c r="Y33" s="115" t="str">
        <f>IFERROR(INDEX(Расходка[Наименование расходного материала],MATCH(Расходка[[#This Row],[№]],Поиск_расходки[Индекс8],0)),"")</f>
        <v/>
      </c>
      <c r="Z33" s="115" t="str">
        <f>IFERROR(INDEX(Расходка[Наименование расходного материала],MATCH(Расходка[[#This Row],[№]],Поиск_расходки[Индекс9],0)),"")</f>
        <v>Intuition</v>
      </c>
      <c r="AA33" s="115" t="str">
        <f>IFERROR(INDEX(Расходка[Наименование расходного материала],MATCH(Расходка[[#This Row],[№]],Поиск_расходки[Индекс10],0)),"")</f>
        <v>Intuition</v>
      </c>
      <c r="AB33" s="115" t="str">
        <f>IFERROR(INDEX(Расходка[Наименование расходного материала],MATCH(Расходка[[#This Row],[№]],Поиск_расходки[Индекс11],0)),"")</f>
        <v>Intuition</v>
      </c>
      <c r="AC33" s="115" t="str">
        <f>IFERROR(INDEX(Расходка[Наименование расходного материала],MATCH(Расходка[[#This Row],[№]],Поиск_расходки[Индекс12],0)),"")</f>
        <v>Intuition</v>
      </c>
      <c r="AD33" s="115" t="str">
        <f>IFERROR(INDEX(Расходка[Наименование расходного материала],MATCH(Расходка[[#This Row],[№]],Поиск_расходки[Индекс13],0)),"")</f>
        <v>Intuition</v>
      </c>
      <c r="AF33" s="4" t="s">
        <v>5</v>
      </c>
      <c r="AG33" s="4" t="s">
        <v>430</v>
      </c>
    </row>
    <row r="34" spans="1:33">
      <c r="A34">
        <v>33</v>
      </c>
      <c r="B34" t="s">
        <v>3</v>
      </c>
      <c r="C34" t="s">
        <v>318</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учёта'!$B$17,Расходка[[#This Row],[Наименование расходного материала]])),MAX($I$1:I33)+1,0)</f>
        <v>0</v>
      </c>
      <c r="J34" s="116">
        <f>IF(ISNUMBER(SEARCH('Карта учёта'!$B$18,Расходка[[#This Row],[Наименование расходного материала]])),MAX($J$1:J33)+1,0)</f>
        <v>0</v>
      </c>
      <c r="K34" s="116">
        <f>IF(ISNUMBER(SEARCH('Карта учёта'!$B$19,Расходка[[#This Row],[Наименование расходного материала]])),MAX($K$1:K33)+1,0)</f>
        <v>0</v>
      </c>
      <c r="L34" s="116">
        <f>IF(ISNUMBER(SEARCH('Карта учёта'!$B$20,Расходка[[#This Row],[Наименование расходного материала]])),MAX($L$1:L33)+1,0)</f>
        <v>0</v>
      </c>
      <c r="M34" s="116">
        <f>IF(ISNUMBER(SEARCH('Карта учёта'!$B$21,Расходка[[#This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
      </c>
      <c r="Y34" s="115" t="str">
        <f>IFERROR(INDEX(Расходка[Наименование расходного материала],MATCH(Расходка[[#This Row],[№]],Поиск_расходки[Индекс8],0)),"")</f>
        <v/>
      </c>
      <c r="Z34" s="115" t="str">
        <f>IFERROR(INDEX(Расходка[Наименование расходного материала],MATCH(Расходка[[#This Row],[№]],Поиск_расходки[Индекс9],0)),"")</f>
        <v>ProVia 3 Hydro-Track®</v>
      </c>
      <c r="AA34" s="115" t="str">
        <f>IFERROR(INDEX(Расходка[Наименование расходного материала],MATCH(Расходка[[#This Row],[№]],Поиск_расходки[Индекс10],0)),"")</f>
        <v>ProVia 3 Hydro-Track®</v>
      </c>
      <c r="AB34" s="115" t="str">
        <f>IFERROR(INDEX(Расходка[Наименование расходного материала],MATCH(Расходка[[#This Row],[№]],Поиск_расходки[Индекс11],0)),"")</f>
        <v>ProVia 3 Hydro-Track®</v>
      </c>
      <c r="AC34" s="115" t="str">
        <f>IFERROR(INDEX(Расходка[Наименование расходного материала],MATCH(Расходка[[#This Row],[№]],Поиск_расходки[Индекс12],0)),"")</f>
        <v>ProVia 3 Hydro-Track®</v>
      </c>
      <c r="AD34" s="115" t="str">
        <f>IFERROR(INDEX(Расходка[Наименование расходного материала],MATCH(Расходка[[#This Row],[№]],Поиск_расходки[Индекс13],0)),"")</f>
        <v>ProVia 3 Hydro-Track®</v>
      </c>
      <c r="AF34" s="4" t="s">
        <v>5</v>
      </c>
      <c r="AG34" s="4" t="s">
        <v>431</v>
      </c>
    </row>
    <row r="35" spans="1:33">
      <c r="A35">
        <v>34</v>
      </c>
      <c r="B35" t="s">
        <v>3</v>
      </c>
      <c r="C35" t="s">
        <v>319</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учёта'!$B$17,Расходка[[#This Row],[Наименование расходного материала]])),MAX($I$1:I34)+1,0)</f>
        <v>0</v>
      </c>
      <c r="J35" s="116">
        <f>IF(ISNUMBER(SEARCH('Карта учёта'!$B$18,Расходка[[#This Row],[Наименование расходного материала]])),MAX($J$1:J34)+1,0)</f>
        <v>0</v>
      </c>
      <c r="K35" s="116">
        <f>IF(ISNUMBER(SEARCH('Карта учёта'!$B$19,Расходка[[#This Row],[Наименование расходного материала]])),MAX($K$1:K34)+1,0)</f>
        <v>0</v>
      </c>
      <c r="L35" s="116">
        <f>IF(ISNUMBER(SEARCH('Карта учёта'!$B$20,Расходка[[#This Row],[Наименование расходного материала]])),MAX($L$1:L34)+1,0)</f>
        <v>0</v>
      </c>
      <c r="M35" s="116">
        <f>IF(ISNUMBER(SEARCH('Карта учёта'!$B$21,Расходка[[#This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
      </c>
      <c r="Y35" s="115" t="str">
        <f>IFERROR(INDEX(Расходка[Наименование расходного материала],MATCH(Расходка[[#This Row],[№]],Поиск_расходки[Индекс8],0)),"")</f>
        <v/>
      </c>
      <c r="Z35" s="115" t="str">
        <f>IFERROR(INDEX(Расходка[Наименование расходного материала],MATCH(Расходка[[#This Row],[№]],Поиск_расходки[Индекс9],0)),"")</f>
        <v>ProVia 6 Hydro-Track®</v>
      </c>
      <c r="AA35" s="115" t="str">
        <f>IFERROR(INDEX(Расходка[Наименование расходного материала],MATCH(Расходка[[#This Row],[№]],Поиск_расходки[Индекс10],0)),"")</f>
        <v>ProVia 6 Hydro-Track®</v>
      </c>
      <c r="AB35" s="115" t="str">
        <f>IFERROR(INDEX(Расходка[Наименование расходного материала],MATCH(Расходка[[#This Row],[№]],Поиск_расходки[Индекс11],0)),"")</f>
        <v>ProVia 6 Hydro-Track®</v>
      </c>
      <c r="AC35" s="115" t="str">
        <f>IFERROR(INDEX(Расходка[Наименование расходного материала],MATCH(Расходка[[#This Row],[№]],Поиск_расходки[Индекс12],0)),"")</f>
        <v>ProVia 6 Hydro-Track®</v>
      </c>
      <c r="AD35" s="115" t="str">
        <f>IFERROR(INDEX(Расходка[Наименование расходного материала],MATCH(Расходка[[#This Row],[№]],Поиск_расходки[Индекс13],0)),"")</f>
        <v>ProVia 6 Hydro-Track®</v>
      </c>
      <c r="AF35" s="4" t="s">
        <v>5</v>
      </c>
      <c r="AG35" s="4" t="s">
        <v>490</v>
      </c>
    </row>
    <row r="36" spans="1:33">
      <c r="A36">
        <v>35</v>
      </c>
      <c r="B36" t="s">
        <v>3</v>
      </c>
      <c r="C36" t="s">
        <v>320</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учёта'!$B$17,Расходка[[#This Row],[Наименование расходного материала]])),MAX($I$1:I35)+1,0)</f>
        <v>0</v>
      </c>
      <c r="J36" s="116">
        <f>IF(ISNUMBER(SEARCH('Карта учёта'!$B$18,Расходка[[#This Row],[Наименование расходного материала]])),MAX($J$1:J35)+1,0)</f>
        <v>0</v>
      </c>
      <c r="K36" s="116">
        <f>IF(ISNUMBER(SEARCH('Карта учёта'!$B$19,Расходка[[#This Row],[Наименование расходного материала]])),MAX($K$1:K35)+1,0)</f>
        <v>0</v>
      </c>
      <c r="L36" s="116">
        <f>IF(ISNUMBER(SEARCH('Карта учёта'!$B$20,Расходка[[#This Row],[Наименование расходного материала]])),MAX($L$1:L35)+1,0)</f>
        <v>0</v>
      </c>
      <c r="M36" s="116">
        <f>IF(ISNUMBER(SEARCH('Карта учёта'!$B$21,Расходка[[#This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
      </c>
      <c r="Y36" s="115" t="str">
        <f>IFERROR(INDEX(Расходка[Наименование расходного материала],MATCH(Расходка[[#This Row],[№]],Поиск_расходки[Индекс8],0)),"")</f>
        <v/>
      </c>
      <c r="Z36" s="115" t="str">
        <f>IFERROR(INDEX(Расходка[Наименование расходного материала],MATCH(Расходка[[#This Row],[№]],Поиск_расходки[Индекс9],0)),"")</f>
        <v>ProVia 9 Hydro-Track®</v>
      </c>
      <c r="AA36" s="115" t="str">
        <f>IFERROR(INDEX(Расходка[Наименование расходного материала],MATCH(Расходка[[#This Row],[№]],Поиск_расходки[Индекс10],0)),"")</f>
        <v>ProVia 9 Hydro-Track®</v>
      </c>
      <c r="AB36" s="115" t="str">
        <f>IFERROR(INDEX(Расходка[Наименование расходного материала],MATCH(Расходка[[#This Row],[№]],Поиск_расходки[Индекс11],0)),"")</f>
        <v>ProVia 9 Hydro-Track®</v>
      </c>
      <c r="AC36" s="115" t="str">
        <f>IFERROR(INDEX(Расходка[Наименование расходного материала],MATCH(Расходка[[#This Row],[№]],Поиск_расходки[Индекс12],0)),"")</f>
        <v>ProVia 9 Hydro-Track®</v>
      </c>
      <c r="AD36" s="115" t="str">
        <f>IFERROR(INDEX(Расходка[Наименование расходного материала],MATCH(Расходка[[#This Row],[№]],Поиск_расходки[Индекс13],0)),"")</f>
        <v>ProVia 9 Hydro-Track®</v>
      </c>
      <c r="AF36" s="4" t="s">
        <v>5</v>
      </c>
      <c r="AG36" s="4" t="s">
        <v>432</v>
      </c>
    </row>
    <row r="37" spans="1:33">
      <c r="A37">
        <v>36</v>
      </c>
      <c r="B37" t="s">
        <v>3</v>
      </c>
      <c r="C37" t="s">
        <v>316</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учёта'!$B$17,Расходка[[#This Row],[Наименование расходного материала]])),MAX($I$1:I36)+1,0)</f>
        <v>0</v>
      </c>
      <c r="J37" s="116">
        <f>IF(ISNUMBER(SEARCH('Карта учёта'!$B$18,Расходка[[#This Row],[Наименование расходного материала]])),MAX($J$1:J36)+1,0)</f>
        <v>0</v>
      </c>
      <c r="K37" s="116">
        <f>IF(ISNUMBER(SEARCH('Карта учёта'!$B$19,Расходка[[#This Row],[Наименование расходного материала]])),MAX($K$1:K36)+1,0)</f>
        <v>0</v>
      </c>
      <c r="L37" s="116">
        <f>IF(ISNUMBER(SEARCH('Карта учёта'!$B$20,Расходка[[#This Row],[Наименование расходного материала]])),MAX($L$1:L36)+1,0)</f>
        <v>0</v>
      </c>
      <c r="M37" s="116">
        <f>IF(ISNUMBER(SEARCH('Карта учёта'!$B$21,Расходка[[#This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
      </c>
      <c r="Y37" s="115" t="str">
        <f>IFERROR(INDEX(Расходка[Наименование расходного материала],MATCH(Расходка[[#This Row],[№]],Поиск_расходки[Индекс8],0)),"")</f>
        <v/>
      </c>
      <c r="Z37" s="115" t="str">
        <f>IFERROR(INDEX(Расходка[Наименование расходного материала],MATCH(Расходка[[#This Row],[№]],Поиск_расходки[Индекс9],0)),"")</f>
        <v>Rinato</v>
      </c>
      <c r="AA37" s="115" t="str">
        <f>IFERROR(INDEX(Расходка[Наименование расходного материала],MATCH(Расходка[[#This Row],[№]],Поиск_расходки[Индекс10],0)),"")</f>
        <v>Rinato</v>
      </c>
      <c r="AB37" s="115" t="str">
        <f>IFERROR(INDEX(Расходка[Наименование расходного материала],MATCH(Расходка[[#This Row],[№]],Поиск_расходки[Индекс11],0)),"")</f>
        <v>Rinato</v>
      </c>
      <c r="AC37" s="115" t="str">
        <f>IFERROR(INDEX(Расходка[Наименование расходного материала],MATCH(Расходка[[#This Row],[№]],Поиск_расходки[Индекс12],0)),"")</f>
        <v>Rinato</v>
      </c>
      <c r="AD37" s="115" t="str">
        <f>IFERROR(INDEX(Расходка[Наименование расходного материала],MATCH(Расходка[[#This Row],[№]],Поиск_расходки[Индекс13],0)),"")</f>
        <v>Rinato</v>
      </c>
      <c r="AF37" s="4" t="s">
        <v>6</v>
      </c>
      <c r="AG37" s="4" t="s">
        <v>405</v>
      </c>
    </row>
    <row r="38" spans="1:33">
      <c r="A38">
        <v>37</v>
      </c>
      <c r="B38" t="s">
        <v>3</v>
      </c>
      <c r="C38" s="1" t="s">
        <v>353</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учёта'!$B$17,Расходка[[#This Row],[Наименование расходного материала]])),MAX($I$1:I37)+1,0)</f>
        <v>0</v>
      </c>
      <c r="J38" s="116">
        <f>IF(ISNUMBER(SEARCH('Карта учёта'!$B$18,Расходка[[#This Row],[Наименование расходного материала]])),MAX($J$1:J37)+1,0)</f>
        <v>0</v>
      </c>
      <c r="K38" s="116">
        <f>IF(ISNUMBER(SEARCH('Карта учёта'!$B$19,Расходка[[#This Row],[Наименование расходного материала]])),MAX($K$1:K37)+1,0)</f>
        <v>0</v>
      </c>
      <c r="L38" s="116">
        <f>IF(ISNUMBER(SEARCH('Карта учёта'!$B$20,Расходка[[#This Row],[Наименование расходного материала]])),MAX($L$1:L37)+1,0)</f>
        <v>0</v>
      </c>
      <c r="M38" s="116">
        <f>IF(ISNUMBER(SEARCH('Карта учёта'!$B$21,Расходка[[#This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
      </c>
      <c r="Y38" s="115" t="str">
        <f>IFERROR(INDEX(Расходка[Наименование расходного материала],MATCH(Расходка[[#This Row],[№]],Поиск_расходки[Индекс8],0)),"")</f>
        <v/>
      </c>
      <c r="Z38" s="115" t="str">
        <f>IFERROR(INDEX(Расходка[Наименование расходного материала],MATCH(Расходка[[#This Row],[№]],Поиск_расходки[Индекс9],0)),"")</f>
        <v>Runthrough NS (Floppy)</v>
      </c>
      <c r="AA38" s="115" t="str">
        <f>IFERROR(INDEX(Расходка[Наименование расходного материала],MATCH(Расходка[[#This Row],[№]],Поиск_расходки[Индекс10],0)),"")</f>
        <v>Runthrough NS (Floppy)</v>
      </c>
      <c r="AB38" s="115" t="str">
        <f>IFERROR(INDEX(Расходка[Наименование расходного материала],MATCH(Расходка[[#This Row],[№]],Поиск_расходки[Индекс11],0)),"")</f>
        <v>Runthrough NS (Floppy)</v>
      </c>
      <c r="AC38" s="115" t="str">
        <f>IFERROR(INDEX(Расходка[Наименование расходного материала],MATCH(Расходка[[#This Row],[№]],Поиск_расходки[Индекс12],0)),"")</f>
        <v>Runthrough NS (Floppy)</v>
      </c>
      <c r="AD38" s="115" t="str">
        <f>IFERROR(INDEX(Расходка[Наименование расходного материала],MATCH(Расходка[[#This Row],[№]],Поиск_расходки[Индекс13],0)),"")</f>
        <v>Runthrough NS (Floppy)</v>
      </c>
      <c r="AF38" s="4" t="s">
        <v>6</v>
      </c>
      <c r="AG38" s="4" t="s">
        <v>492</v>
      </c>
    </row>
    <row r="39" spans="1:33">
      <c r="A39">
        <v>38</v>
      </c>
      <c r="B39" t="s">
        <v>3</v>
      </c>
      <c r="C39" s="1" t="s">
        <v>360</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учёта'!$B$17,Расходка[[#This Row],[Наименование расходного материала]])),MAX($I$1:I38)+1,0)</f>
        <v>0</v>
      </c>
      <c r="J39" s="116">
        <f>IF(ISNUMBER(SEARCH('Карта учёта'!$B$18,Расходка[[#This Row],[Наименование расходного материала]])),MAX($J$1:J38)+1,0)</f>
        <v>0</v>
      </c>
      <c r="K39" s="116">
        <f>IF(ISNUMBER(SEARCH('Карта учёта'!$B$19,Расходка[[#This Row],[Наименование расходного материала]])),MAX($K$1:K38)+1,0)</f>
        <v>0</v>
      </c>
      <c r="L39" s="116">
        <f>IF(ISNUMBER(SEARCH('Карта учёта'!$B$20,Расходка[[#This Row],[Наименование расходного материала]])),MAX($L$1:L38)+1,0)</f>
        <v>0</v>
      </c>
      <c r="M39" s="116">
        <f>IF(ISNUMBER(SEARCH('Карта учёта'!$B$21,Расходка[[#This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
      </c>
      <c r="Y39" s="115" t="str">
        <f>IFERROR(INDEX(Расходка[Наименование расходного материала],MATCH(Расходка[[#This Row],[№]],Поиск_расходки[Индекс8],0)),"")</f>
        <v/>
      </c>
      <c r="Z39" s="115" t="str">
        <f>IFERROR(INDEX(Расходка[Наименование расходного материала],MATCH(Расходка[[#This Row],[№]],Поиск_расходки[Индекс9],0)),"")</f>
        <v>Runthrough NS Hypercoat</v>
      </c>
      <c r="AA39" s="115" t="str">
        <f>IFERROR(INDEX(Расходка[Наименование расходного материала],MATCH(Расходка[[#This Row],[№]],Поиск_расходки[Индекс10],0)),"")</f>
        <v>Runthrough NS Hypercoat</v>
      </c>
      <c r="AB39" s="115" t="str">
        <f>IFERROR(INDEX(Расходка[Наименование расходного материала],MATCH(Расходка[[#This Row],[№]],Поиск_расходки[Индекс11],0)),"")</f>
        <v>Runthrough NS Hypercoat</v>
      </c>
      <c r="AC39" s="115" t="str">
        <f>IFERROR(INDEX(Расходка[Наименование расходного материала],MATCH(Расходка[[#This Row],[№]],Поиск_расходки[Индекс12],0)),"")</f>
        <v>Runthrough NS Hypercoat</v>
      </c>
      <c r="AD39" s="115" t="str">
        <f>IFERROR(INDEX(Расходка[Наименование расходного материала],MATCH(Расходка[[#This Row],[№]],Поиск_расходки[Индекс13],0)),"")</f>
        <v>Runthrough NS Hypercoat</v>
      </c>
      <c r="AF39" s="4" t="s">
        <v>6</v>
      </c>
      <c r="AG39" s="4" t="s">
        <v>433</v>
      </c>
    </row>
    <row r="40" spans="1:33">
      <c r="A40">
        <v>39</v>
      </c>
      <c r="B40" t="s">
        <v>3</v>
      </c>
      <c r="C40" s="1" t="s">
        <v>359</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учёта'!$B$17,Расходка[[#This Row],[Наименование расходного материала]])),MAX($I$1:I39)+1,0)</f>
        <v>0</v>
      </c>
      <c r="J40" s="116">
        <f>IF(ISNUMBER(SEARCH('Карта учёта'!$B$18,Расходка[[#This Row],[Наименование расходного материала]])),MAX($J$1:J39)+1,0)</f>
        <v>0</v>
      </c>
      <c r="K40" s="116">
        <f>IF(ISNUMBER(SEARCH('Карта учёта'!$B$19,Расходка[[#This Row],[Наименование расходного материала]])),MAX($K$1:K39)+1,0)</f>
        <v>0</v>
      </c>
      <c r="L40" s="116">
        <f>IF(ISNUMBER(SEARCH('Карта учёта'!$B$20,Расходка[[#This Row],[Наименование расходного материала]])),MAX($L$1:L39)+1,0)</f>
        <v>0</v>
      </c>
      <c r="M40" s="116">
        <f>IF(ISNUMBER(SEARCH('Карта учёта'!$B$21,Расходка[[#This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
      </c>
      <c r="Y40" s="115" t="str">
        <f>IFERROR(INDEX(Расходка[Наименование расходного материала],MATCH(Расходка[[#This Row],[№]],Поиск_расходки[Индекс8],0)),"")</f>
        <v/>
      </c>
      <c r="Z40" s="115" t="str">
        <f>IFERROR(INDEX(Расходка[Наименование расходного материала],MATCH(Расходка[[#This Row],[№]],Поиск_расходки[Индекс9],0)),"")</f>
        <v>Runthrough NS Intermediate</v>
      </c>
      <c r="AA40" s="115" t="str">
        <f>IFERROR(INDEX(Расходка[Наименование расходного материала],MATCH(Расходка[[#This Row],[№]],Поиск_расходки[Индекс10],0)),"")</f>
        <v>Runthrough NS Intermediate</v>
      </c>
      <c r="AB40" s="115" t="str">
        <f>IFERROR(INDEX(Расходка[Наименование расходного материала],MATCH(Расходка[[#This Row],[№]],Поиск_расходки[Индекс11],0)),"")</f>
        <v>Runthrough NS Intermediate</v>
      </c>
      <c r="AC40" s="115" t="str">
        <f>IFERROR(INDEX(Расходка[Наименование расходного материала],MATCH(Расходка[[#This Row],[№]],Поиск_расходки[Индекс12],0)),"")</f>
        <v>Runthrough NS Intermediate</v>
      </c>
      <c r="AD40" s="115" t="str">
        <f>IFERROR(INDEX(Расходка[Наименование расходного материала],MATCH(Расходка[[#This Row],[№]],Поиск_расходки[Индекс13],0)),"")</f>
        <v>Runthrough NS Intermediate</v>
      </c>
      <c r="AF40" s="4" t="s">
        <v>6</v>
      </c>
      <c r="AG40" s="4" t="s">
        <v>434</v>
      </c>
    </row>
    <row r="41" spans="1:33">
      <c r="A41">
        <v>40</v>
      </c>
      <c r="B41" t="s">
        <v>3</v>
      </c>
      <c r="C41" t="s">
        <v>315</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учёта'!$B$17,Расходка[[#This Row],[Наименование расходного материала]])),MAX($I$1:I40)+1,0)</f>
        <v>0</v>
      </c>
      <c r="J41" s="116">
        <f>IF(ISNUMBER(SEARCH('Карта учёта'!$B$18,Расходка[[#This Row],[Наименование расходного материала]])),MAX($J$1:J40)+1,0)</f>
        <v>0</v>
      </c>
      <c r="K41" s="116">
        <f>IF(ISNUMBER(SEARCH('Карта учёта'!$B$19,Расходка[[#This Row],[Наименование расходного материала]])),MAX($K$1:K40)+1,0)</f>
        <v>0</v>
      </c>
      <c r="L41" s="116">
        <f>IF(ISNUMBER(SEARCH('Карта учёта'!$B$20,Расходка[[#This Row],[Наименование расходного материала]])),MAX($L$1:L40)+1,0)</f>
        <v>0</v>
      </c>
      <c r="M41" s="116">
        <f>IF(ISNUMBER(SEARCH('Карта учёта'!$B$21,Расходка[[#This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
      </c>
      <c r="Y41" s="115" t="str">
        <f>IFERROR(INDEX(Расходка[Наименование расходного материала],MATCH(Расходка[[#This Row],[№]],Поиск_расходки[Индекс8],0)),"")</f>
        <v/>
      </c>
      <c r="Z41" s="115" t="str">
        <f>IFERROR(INDEX(Расходка[Наименование расходного материала],MATCH(Расходка[[#This Row],[№]],Поиск_расходки[Индекс9],0)),"")</f>
        <v>Sion</v>
      </c>
      <c r="AA41" s="115" t="str">
        <f>IFERROR(INDEX(Расходка[Наименование расходного материала],MATCH(Расходка[[#This Row],[№]],Поиск_расходки[Индекс10],0)),"")</f>
        <v>Sion</v>
      </c>
      <c r="AB41" s="115" t="str">
        <f>IFERROR(INDEX(Расходка[Наименование расходного материала],MATCH(Расходка[[#This Row],[№]],Поиск_расходки[Индекс11],0)),"")</f>
        <v>Sion</v>
      </c>
      <c r="AC41" s="115" t="str">
        <f>IFERROR(INDEX(Расходка[Наименование расходного материала],MATCH(Расходка[[#This Row],[№]],Поиск_расходки[Индекс12],0)),"")</f>
        <v>Sion</v>
      </c>
      <c r="AD41" s="115" t="str">
        <f>IFERROR(INDEX(Расходка[Наименование расходного материала],MATCH(Расходка[[#This Row],[№]],Поиск_расходки[Индекс13],0)),"")</f>
        <v>Sion</v>
      </c>
      <c r="AF41" s="4" t="s">
        <v>6</v>
      </c>
      <c r="AG41" s="4" t="s">
        <v>435</v>
      </c>
    </row>
    <row r="42" spans="1:33">
      <c r="A42">
        <v>41</v>
      </c>
      <c r="B42" t="s">
        <v>3</v>
      </c>
      <c r="C42" t="s">
        <v>377</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учёта'!$B$17,Расходка[[#This Row],[Наименование расходного материала]])),MAX($I$1:I41)+1,0)</f>
        <v>0</v>
      </c>
      <c r="J42" s="116">
        <f>IF(ISNUMBER(SEARCH('Карта учёта'!$B$18,Расходка[[#This Row],[Наименование расходного материала]])),MAX($J$1:J41)+1,0)</f>
        <v>0</v>
      </c>
      <c r="K42" s="116">
        <f>IF(ISNUMBER(SEARCH('Карта учёта'!$B$19,Расходка[[#This Row],[Наименование расходного материала]])),MAX($K$1:K41)+1,0)</f>
        <v>0</v>
      </c>
      <c r="L42" s="116">
        <f>IF(ISNUMBER(SEARCH('Карта учёта'!$B$20,Расходка[[#This Row],[Наименование расходного материала]])),MAX($L$1:L41)+1,0)</f>
        <v>0</v>
      </c>
      <c r="M42" s="116">
        <f>IF(ISNUMBER(SEARCH('Карта учёта'!$B$21,Расходка[[#This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
      </c>
      <c r="Y42" s="115" t="str">
        <f>IFERROR(INDEX(Расходка[Наименование расходного материала],MATCH(Расходка[[#This Row],[№]],Поиск_расходки[Индекс8],0)),"")</f>
        <v/>
      </c>
      <c r="Z42" s="115" t="str">
        <f>IFERROR(INDEX(Расходка[Наименование расходного материала],MATCH(Расходка[[#This Row],[№]],Поиск_расходки[Индекс9],0)),"")</f>
        <v>Sion Black</v>
      </c>
      <c r="AA42" s="115" t="str">
        <f>IFERROR(INDEX(Расходка[Наименование расходного материала],MATCH(Расходка[[#This Row],[№]],Поиск_расходки[Индекс10],0)),"")</f>
        <v>Sion Black</v>
      </c>
      <c r="AB42" s="115" t="str">
        <f>IFERROR(INDEX(Расходка[Наименование расходного материала],MATCH(Расходка[[#This Row],[№]],Поиск_расходки[Индекс11],0)),"")</f>
        <v>Sion Black</v>
      </c>
      <c r="AC42" s="115" t="str">
        <f>IFERROR(INDEX(Расходка[Наименование расходного материала],MATCH(Расходка[[#This Row],[№]],Поиск_расходки[Индекс12],0)),"")</f>
        <v>Sion Black</v>
      </c>
      <c r="AD42" s="115" t="str">
        <f>IFERROR(INDEX(Расходка[Наименование расходного материала],MATCH(Расходка[[#This Row],[№]],Поиск_расходки[Индекс13],0)),"")</f>
        <v>Sion Black</v>
      </c>
      <c r="AF42" s="4" t="s">
        <v>6</v>
      </c>
      <c r="AG42" s="4" t="s">
        <v>436</v>
      </c>
    </row>
    <row r="43" spans="1:33">
      <c r="A43">
        <v>42</v>
      </c>
      <c r="B43" t="s">
        <v>3</v>
      </c>
      <c r="C43" s="1" t="s">
        <v>371</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учёта'!$B$17,Расходка[[#This Row],[Наименование расходного материала]])),MAX($I$1:I42)+1,0)</f>
        <v>0</v>
      </c>
      <c r="J43" s="116">
        <f>IF(ISNUMBER(SEARCH('Карта учёта'!$B$18,Расходка[[#This Row],[Наименование расходного материала]])),MAX($J$1:J42)+1,0)</f>
        <v>0</v>
      </c>
      <c r="K43" s="116">
        <f>IF(ISNUMBER(SEARCH('Карта учёта'!$B$19,Расходка[[#This Row],[Наименование расходного материала]])),MAX($K$1:K42)+1,0)</f>
        <v>0</v>
      </c>
      <c r="L43" s="116">
        <f>IF(ISNUMBER(SEARCH('Карта учёта'!$B$20,Расходка[[#This Row],[Наименование расходного материала]])),MAX($L$1:L42)+1,0)</f>
        <v>0</v>
      </c>
      <c r="M43" s="116">
        <f>IF(ISNUMBER(SEARCH('Карта учёта'!$B$21,Расходка[[#This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
      </c>
      <c r="Y43" s="115" t="str">
        <f>IFERROR(INDEX(Расходка[Наименование расходного материала],MATCH(Расходка[[#This Row],[№]],Поиск_расходки[Индекс8],0)),"")</f>
        <v/>
      </c>
      <c r="Z43" s="115" t="str">
        <f>IFERROR(INDEX(Расходка[Наименование расходного материала],MATCH(Расходка[[#This Row],[№]],Поиск_расходки[Индекс9],0)),"")</f>
        <v>Sion Blue</v>
      </c>
      <c r="AA43" s="115" t="str">
        <f>IFERROR(INDEX(Расходка[Наименование расходного материала],MATCH(Расходка[[#This Row],[№]],Поиск_расходки[Индекс10],0)),"")</f>
        <v>Sion Blue</v>
      </c>
      <c r="AB43" s="115" t="str">
        <f>IFERROR(INDEX(Расходка[Наименование расходного материала],MATCH(Расходка[[#This Row],[№]],Поиск_расходки[Индекс11],0)),"")</f>
        <v>Sion Blue</v>
      </c>
      <c r="AC43" s="115" t="str">
        <f>IFERROR(INDEX(Расходка[Наименование расходного материала],MATCH(Расходка[[#This Row],[№]],Поиск_расходки[Индекс12],0)),"")</f>
        <v>Sion Blue</v>
      </c>
      <c r="AD43" s="115" t="str">
        <f>IFERROR(INDEX(Расходка[Наименование расходного материала],MATCH(Расходка[[#This Row],[№]],Поиск_расходки[Индекс13],0)),"")</f>
        <v>Sion Blue</v>
      </c>
      <c r="AF43" s="4" t="s">
        <v>6</v>
      </c>
      <c r="AG43" s="4" t="s">
        <v>409</v>
      </c>
    </row>
    <row r="44" spans="1:33">
      <c r="A44">
        <v>43</v>
      </c>
      <c r="B44" t="s">
        <v>3</v>
      </c>
      <c r="C44" t="s">
        <v>317</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учёта'!$B$17,Расходка[[#This Row],[Наименование расходного материала]])),MAX($I$1:I43)+1,0)</f>
        <v>0</v>
      </c>
      <c r="J44" s="116">
        <f>IF(ISNUMBER(SEARCH('Карта учёта'!$B$18,Расходка[[#This Row],[Наименование расходного материала]])),MAX($J$1:J43)+1,0)</f>
        <v>0</v>
      </c>
      <c r="K44" s="116">
        <f>IF(ISNUMBER(SEARCH('Карта учёта'!$B$19,Расходка[[#This Row],[Наименование расходного материала]])),MAX($K$1:K43)+1,0)</f>
        <v>0</v>
      </c>
      <c r="L44" s="116">
        <f>IF(ISNUMBER(SEARCH('Карта учёта'!$B$20,Расходка[[#This Row],[Наименование расходного материала]])),MAX($L$1:L43)+1,0)</f>
        <v>0</v>
      </c>
      <c r="M44" s="116">
        <f>IF(ISNUMBER(SEARCH('Карта учёта'!$B$21,Расходка[[#This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
      </c>
      <c r="Y44" s="115" t="str">
        <f>IFERROR(INDEX(Расходка[Наименование расходного материала],MATCH(Расходка[[#This Row],[№]],Поиск_расходки[Индекс8],0)),"")</f>
        <v/>
      </c>
      <c r="Z44" s="115" t="str">
        <f>IFERROR(INDEX(Расходка[Наименование расходного материала],MATCH(Расходка[[#This Row],[№]],Поиск_расходки[Индекс9],0)),"")</f>
        <v>Thunder</v>
      </c>
      <c r="AA44" s="115" t="str">
        <f>IFERROR(INDEX(Расходка[Наименование расходного материала],MATCH(Расходка[[#This Row],[№]],Поиск_расходки[Индекс10],0)),"")</f>
        <v>Thunder</v>
      </c>
      <c r="AB44" s="115" t="str">
        <f>IFERROR(INDEX(Расходка[Наименование расходного материала],MATCH(Расходка[[#This Row],[№]],Поиск_расходки[Индекс11],0)),"")</f>
        <v>Thunder</v>
      </c>
      <c r="AC44" s="115" t="str">
        <f>IFERROR(INDEX(Расходка[Наименование расходного материала],MATCH(Расходка[[#This Row],[№]],Поиск_расходки[Индекс12],0)),"")</f>
        <v>Thunder</v>
      </c>
      <c r="AD44" s="115" t="str">
        <f>IFERROR(INDEX(Расходка[Наименование расходного материала],MATCH(Расходка[[#This Row],[№]],Поиск_расходки[Индекс13],0)),"")</f>
        <v>Thunder</v>
      </c>
      <c r="AF44" s="4" t="s">
        <v>6</v>
      </c>
      <c r="AG44" s="4" t="s">
        <v>437</v>
      </c>
    </row>
    <row r="45" spans="1:33">
      <c r="A45">
        <v>44</v>
      </c>
      <c r="B45" t="s">
        <v>3</v>
      </c>
      <c r="C45" t="s">
        <v>521</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учёта'!$B$17,Расходка[[#This Row],[Наименование расходного материала]])),MAX($I$1:I44)+1,0)</f>
        <v>0</v>
      </c>
      <c r="J45" s="116">
        <f>IF(ISNUMBER(SEARCH('Карта учёта'!$B$18,Расходка[[#This Row],[Наименование расходного материала]])),MAX($J$1:J44)+1,0)</f>
        <v>0</v>
      </c>
      <c r="K45" s="116">
        <f>IF(ISNUMBER(SEARCH('Карта учёта'!$B$19,Расходка[[#This Row],[Наименование расходного материала]])),MAX($K$1:K44)+1,0)</f>
        <v>0</v>
      </c>
      <c r="L45" s="116">
        <f>IF(ISNUMBER(SEARCH('Карта учёта'!$B$20,Расходка[[#This Row],[Наименование расходного материала]])),MAX($L$1:L44)+1,0)</f>
        <v>0</v>
      </c>
      <c r="M45" s="116">
        <f>IF(ISNUMBER(SEARCH('Карта учёта'!$B$21,Расходка[[#This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
      </c>
      <c r="Y45" s="115" t="str">
        <f>IFERROR(INDEX(Расходка[Наименование расходного материала],MATCH(Расходка[[#This Row],[№]],Поиск_расходки[Индекс8],0)),"")</f>
        <v/>
      </c>
      <c r="Z45" s="115" t="str">
        <f>IFERROR(INDEX(Расходка[Наименование расходного материала],MATCH(Расходка[[#This Row],[№]],Поиск_расходки[Индекс9],0)),"")</f>
        <v>Abbot Whisper MS</v>
      </c>
      <c r="AA45" s="115" t="str">
        <f>IFERROR(INDEX(Расходка[Наименование расходного материала],MATCH(Расходка[[#This Row],[№]],Поиск_расходки[Индекс10],0)),"")</f>
        <v>Abbot Whisper MS</v>
      </c>
      <c r="AB45" s="115" t="str">
        <f>IFERROR(INDEX(Расходка[Наименование расходного материала],MATCH(Расходка[[#This Row],[№]],Поиск_расходки[Индекс11],0)),"")</f>
        <v>Abbot Whisper MS</v>
      </c>
      <c r="AC45" s="115" t="str">
        <f>IFERROR(INDEX(Расходка[Наименование расходного материала],MATCH(Расходка[[#This Row],[№]],Поиск_расходки[Индекс12],0)),"")</f>
        <v>Abbot Whisper MS</v>
      </c>
      <c r="AD45" s="115" t="str">
        <f>IFERROR(INDEX(Расходка[Наименование расходного материала],MATCH(Расходка[[#This Row],[№]],Поиск_расходки[Индекс13],0)),"")</f>
        <v>Abbot Whisper MS</v>
      </c>
      <c r="AF45" s="4" t="s">
        <v>6</v>
      </c>
      <c r="AG45" s="4" t="s">
        <v>438</v>
      </c>
    </row>
    <row r="46" spans="1:33">
      <c r="A46">
        <v>45</v>
      </c>
      <c r="B46" t="s">
        <v>3</v>
      </c>
      <c r="C46" t="s">
        <v>522</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1</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учёта'!$B$17,Расходка[[#This Row],[Наименование расходного материала]])),MAX($I$1:I45)+1,0)</f>
        <v>0</v>
      </c>
      <c r="J46" s="116">
        <f>IF(ISNUMBER(SEARCH('Карта учёта'!$B$18,Расходка[[#This Row],[Наименование расходного материала]])),MAX($J$1:J45)+1,0)</f>
        <v>0</v>
      </c>
      <c r="K46" s="116">
        <f>IF(ISNUMBER(SEARCH('Карта учёта'!$B$19,Расходка[[#This Row],[Наименование расходного материала]])),MAX($K$1:K45)+1,0)</f>
        <v>0</v>
      </c>
      <c r="L46" s="116">
        <f>IF(ISNUMBER(SEARCH('Карта учёта'!$B$20,Расходка[[#This Row],[Наименование расходного материала]])),MAX($L$1:L45)+1,0)</f>
        <v>0</v>
      </c>
      <c r="M46" s="116">
        <f>IF(ISNUMBER(SEARCH('Карта учёта'!$B$21,Расходка[[#This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
      </c>
      <c r="Y46" s="115" t="str">
        <f>IFERROR(INDEX(Расходка[Наименование расходного материала],MATCH(Расходка[[#This Row],[№]],Поиск_расходки[Индекс8],0)),"")</f>
        <v/>
      </c>
      <c r="Z46" s="115" t="str">
        <f>IFERROR(INDEX(Расходка[Наименование расходного материала],MATCH(Расходка[[#This Row],[№]],Поиск_расходки[Индекс9],0)),"")</f>
        <v>Abbot Whisper LS</v>
      </c>
      <c r="AA46" s="115" t="str">
        <f>IFERROR(INDEX(Расходка[Наименование расходного материала],MATCH(Расходка[[#This Row],[№]],Поиск_расходки[Индекс10],0)),"")</f>
        <v>Abbot Whisper LS</v>
      </c>
      <c r="AB46" s="115" t="str">
        <f>IFERROR(INDEX(Расходка[Наименование расходного материала],MATCH(Расходка[[#This Row],[№]],Поиск_расходки[Индекс11],0)),"")</f>
        <v>Abbot Whisper LS</v>
      </c>
      <c r="AC46" s="115" t="str">
        <f>IFERROR(INDEX(Расходка[Наименование расходного материала],MATCH(Расходка[[#This Row],[№]],Поиск_расходки[Индекс12],0)),"")</f>
        <v>Abbot Whisper LS</v>
      </c>
      <c r="AD46" s="115" t="str">
        <f>IFERROR(INDEX(Расходка[Наименование расходного материала],MATCH(Расходка[[#This Row],[№]],Поиск_расходки[Индекс13],0)),"")</f>
        <v>Abbot Whisper LS</v>
      </c>
      <c r="AF46" s="4" t="s">
        <v>6</v>
      </c>
      <c r="AG46" s="4" t="s">
        <v>439</v>
      </c>
    </row>
    <row r="47" spans="1:33">
      <c r="A47">
        <v>46</v>
      </c>
      <c r="B47" t="s">
        <v>3</v>
      </c>
      <c r="C47" t="s">
        <v>361</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учёта'!$B$17,Расходка[[#This Row],[Наименование расходного материала]])),MAX($I$1:I46)+1,0)</f>
        <v>0</v>
      </c>
      <c r="J47" s="116">
        <f>IF(ISNUMBER(SEARCH('Карта учёта'!$B$18,Расходка[[#This Row],[Наименование расходного материала]])),MAX($J$1:J46)+1,0)</f>
        <v>0</v>
      </c>
      <c r="K47" s="116">
        <f>IF(ISNUMBER(SEARCH('Карта учёта'!$B$19,Расходка[[#This Row],[Наименование расходного материала]])),MAX($K$1:K46)+1,0)</f>
        <v>0</v>
      </c>
      <c r="L47" s="116">
        <f>IF(ISNUMBER(SEARCH('Карта учёта'!$B$20,Расходка[[#This Row],[Наименование расходного материала]])),MAX($L$1:L46)+1,0)</f>
        <v>0</v>
      </c>
      <c r="M47" s="116">
        <f>IF(ISNUMBER(SEARCH('Карта учёта'!$B$21,Расходка[[#This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
      </c>
      <c r="Y47" s="115" t="str">
        <f>IFERROR(INDEX(Расходка[Наименование расходного материала],MATCH(Расходка[[#This Row],[№]],Поиск_расходки[Индекс8],0)),"")</f>
        <v/>
      </c>
      <c r="Z47" s="115" t="str">
        <f>IFERROR(INDEX(Расходка[Наименование расходного материала],MATCH(Расходка[[#This Row],[№]],Поиск_расходки[Индекс9],0)),"")</f>
        <v>Winn 200T</v>
      </c>
      <c r="AA47" s="115" t="str">
        <f>IFERROR(INDEX(Расходка[Наименование расходного материала],MATCH(Расходка[[#This Row],[№]],Поиск_расходки[Индекс10],0)),"")</f>
        <v>Winn 200T</v>
      </c>
      <c r="AB47" s="115" t="str">
        <f>IFERROR(INDEX(Расходка[Наименование расходного материала],MATCH(Расходка[[#This Row],[№]],Поиск_расходки[Индекс11],0)),"")</f>
        <v>Winn 200T</v>
      </c>
      <c r="AC47" s="115" t="str">
        <f>IFERROR(INDEX(Расходка[Наименование расходного материала],MATCH(Расходка[[#This Row],[№]],Поиск_расходки[Индекс12],0)),"")</f>
        <v>Winn 200T</v>
      </c>
      <c r="AD47" s="115" t="str">
        <f>IFERROR(INDEX(Расходка[Наименование расходного материала],MATCH(Расходка[[#This Row],[№]],Поиск_расходки[Индекс13],0)),"")</f>
        <v>Winn 200T</v>
      </c>
      <c r="AF47" s="4" t="s">
        <v>6</v>
      </c>
      <c r="AG47" s="4" t="s">
        <v>440</v>
      </c>
    </row>
    <row r="48" spans="1:33">
      <c r="A48">
        <v>47</v>
      </c>
      <c r="B48" t="s">
        <v>3</v>
      </c>
      <c r="C48" t="s">
        <v>346</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учёта'!$B$17,Расходка[[#This Row],[Наименование расходного материала]])),MAX($I$1:I47)+1,0)</f>
        <v>0</v>
      </c>
      <c r="J48" s="116">
        <f>IF(ISNUMBER(SEARCH('Карта учёта'!$B$18,Расходка[[#This Row],[Наименование расходного материала]])),MAX($J$1:J47)+1,0)</f>
        <v>0</v>
      </c>
      <c r="K48" s="116">
        <f>IF(ISNUMBER(SEARCH('Карта учёта'!$B$19,Расходка[[#This Row],[Наименование расходного материала]])),MAX($K$1:K47)+1,0)</f>
        <v>0</v>
      </c>
      <c r="L48" s="116">
        <f>IF(ISNUMBER(SEARCH('Карта учёта'!$B$20,Расходка[[#This Row],[Наименование расходного материала]])),MAX($L$1:L47)+1,0)</f>
        <v>0</v>
      </c>
      <c r="M48" s="116">
        <f>IF(ISNUMBER(SEARCH('Карта учёта'!$B$21,Расходка[[#This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
      </c>
      <c r="Y48" s="115" t="str">
        <f>IFERROR(INDEX(Расходка[Наименование расходного материала],MATCH(Расходка[[#This Row],[№]],Поиск_расходки[Индекс8],0)),"")</f>
        <v/>
      </c>
      <c r="Z48" s="115" t="str">
        <f>IFERROR(INDEX(Расходка[Наименование расходного материала],MATCH(Расходка[[#This Row],[№]],Поиск_расходки[Индекс9],0)),"")</f>
        <v>Проводник коронарный  1g, Angioline</v>
      </c>
      <c r="AA48" s="115" t="str">
        <f>IFERROR(INDEX(Расходка[Наименование расходного материала],MATCH(Расходка[[#This Row],[№]],Поиск_расходки[Индекс10],0)),"")</f>
        <v>Проводник коронарный  1g, Angioline</v>
      </c>
      <c r="AB48" s="115" t="str">
        <f>IFERROR(INDEX(Расходка[Наименование расходного материала],MATCH(Расходка[[#This Row],[№]],Поиск_расходки[Индекс11],0)),"")</f>
        <v>Проводник коронарный  1g, Angioline</v>
      </c>
      <c r="AC48" s="115" t="str">
        <f>IFERROR(INDEX(Расходка[Наименование расходного материала],MATCH(Расходка[[#This Row],[№]],Поиск_расходки[Индекс12],0)),"")</f>
        <v>Проводник коронарный  1g, Angioline</v>
      </c>
      <c r="AD48" s="115" t="str">
        <f>IFERROR(INDEX(Расходка[Наименование расходного материала],MATCH(Расходка[[#This Row],[№]],Поиск_расходки[Индекс13],0)),"")</f>
        <v>Проводник коронарный  1g, Angioline</v>
      </c>
      <c r="AF48" s="4" t="s">
        <v>6</v>
      </c>
      <c r="AG48" s="4" t="s">
        <v>441</v>
      </c>
    </row>
    <row r="49" spans="1:33">
      <c r="A49">
        <v>48</v>
      </c>
      <c r="B49" t="s">
        <v>3</v>
      </c>
      <c r="C49" t="s">
        <v>509</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0</v>
      </c>
      <c r="I49" s="116">
        <f>IF(ISNUMBER(SEARCH('Карта учёта'!$B$17,Расходка[[#This Row],[Наименование расходного материала]])),MAX($I$1:I48)+1,0)</f>
        <v>0</v>
      </c>
      <c r="J49" s="116">
        <f>IF(ISNUMBER(SEARCH('Карта учёта'!$B$18,Расходка[[#This Row],[Наименование расходного материала]])),MAX($J$1:J48)+1,0)</f>
        <v>0</v>
      </c>
      <c r="K49" s="116">
        <f>IF(ISNUMBER(SEARCH('Карта учёта'!$B$19,Расходка[[#This Row],[Наименование расходного материала]])),MAX($K$1:K48)+1,0)</f>
        <v>0</v>
      </c>
      <c r="L49" s="116">
        <f>IF(ISNUMBER(SEARCH('Карта учёта'!$B$20,Расходка[[#This Row],[Наименование расходного материала]])),MAX($L$1:L48)+1,0)</f>
        <v>0</v>
      </c>
      <c r="M49" s="116">
        <f>IF(ISNUMBER(SEARCH('Карта учёта'!$B$21,Расходка[[#This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
      </c>
      <c r="Y49" s="115" t="str">
        <f>IFERROR(INDEX(Расходка[Наименование расходного материала],MATCH(Расходка[[#This Row],[№]],Поиск_расходки[Индекс8],0)),"")</f>
        <v/>
      </c>
      <c r="Z49" s="115" t="str">
        <f>IFERROR(INDEX(Расходка[Наименование расходного материала],MATCH(Расходка[[#This Row],[№]],Поиск_расходки[Индекс9],0)),"")</f>
        <v>Проводник коронарный  0,8g, Angioline</v>
      </c>
      <c r="AA49" s="115" t="str">
        <f>IFERROR(INDEX(Расходка[Наименование расходного материала],MATCH(Расходка[[#This Row],[№]],Поиск_расходки[Индекс10],0)),"")</f>
        <v>Проводник коронарный  0,8g, Angioline</v>
      </c>
      <c r="AB49" s="115" t="str">
        <f>IFERROR(INDEX(Расходка[Наименование расходного материала],MATCH(Расходка[[#This Row],[№]],Поиск_расходки[Индекс11],0)),"")</f>
        <v>Проводник коронарный  0,8g, Angioline</v>
      </c>
      <c r="AC49" s="115" t="str">
        <f>IFERROR(INDEX(Расходка[Наименование расходного материала],MATCH(Расходка[[#This Row],[№]],Поиск_расходки[Индекс12],0)),"")</f>
        <v>Проводник коронарный  0,8g, Angioline</v>
      </c>
      <c r="AD49" s="115" t="str">
        <f>IFERROR(INDEX(Расходка[Наименование расходного материала],MATCH(Расходка[[#This Row],[№]],Поиск_расходки[Индекс13],0)),"")</f>
        <v>Проводник коронарный  0,8g, Angioline</v>
      </c>
      <c r="AF49" s="4" t="s">
        <v>6</v>
      </c>
      <c r="AG49" s="4" t="s">
        <v>442</v>
      </c>
    </row>
    <row r="50" spans="1:33">
      <c r="A50">
        <v>49</v>
      </c>
      <c r="B50" t="s">
        <v>3</v>
      </c>
      <c r="C50" t="s">
        <v>96</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учёта'!$B$17,Расходка[[#This Row],[Наименование расходного материала]])),MAX($I$1:I49)+1,0)</f>
        <v>0</v>
      </c>
      <c r="J50" s="116">
        <f>IF(ISNUMBER(SEARCH('Карта учёта'!$B$18,Расходка[[#This Row],[Наименование расходного материала]])),MAX($J$1:J49)+1,0)</f>
        <v>0</v>
      </c>
      <c r="K50" s="116">
        <f>IF(ISNUMBER(SEARCH('Карта учёта'!$B$19,Расходка[[#This Row],[Наименование расходного материала]])),MAX($K$1:K49)+1,0)</f>
        <v>0</v>
      </c>
      <c r="L50" s="116">
        <f>IF(ISNUMBER(SEARCH('Карта учёта'!$B$20,Расходка[[#This Row],[Наименование расходного материала]])),MAX($L$1:L49)+1,0)</f>
        <v>0</v>
      </c>
      <c r="M50" s="116">
        <f>IF(ISNUMBER(SEARCH('Карта учёта'!$B$21,Расходка[[#This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
      </c>
      <c r="Y50" s="115" t="str">
        <f>IFERROR(INDEX(Расходка[Наименование расходного материала],MATCH(Расходка[[#This Row],[№]],Поиск_расходки[Индекс8],0)),"")</f>
        <v/>
      </c>
      <c r="Z50" s="115" t="str">
        <f>IFERROR(INDEX(Расходка[Наименование расходного материала],MATCH(Расходка[[#This Row],[№]],Поиск_расходки[Индекс9],0)),"")</f>
        <v>Проводник коронарный  3g, Angioline</v>
      </c>
      <c r="AA50" s="115" t="str">
        <f>IFERROR(INDEX(Расходка[Наименование расходного материала],MATCH(Расходка[[#This Row],[№]],Поиск_расходки[Индекс10],0)),"")</f>
        <v>Проводник коронарный  3g, Angioline</v>
      </c>
      <c r="AB50" s="115" t="str">
        <f>IFERROR(INDEX(Расходка[Наименование расходного материала],MATCH(Расходка[[#This Row],[№]],Поиск_расходки[Индекс11],0)),"")</f>
        <v>Проводник коронарный  3g, Angioline</v>
      </c>
      <c r="AC50" s="115" t="str">
        <f>IFERROR(INDEX(Расходка[Наименование расходного материала],MATCH(Расходка[[#This Row],[№]],Поиск_расходки[Индекс12],0)),"")</f>
        <v>Проводник коронарный  3g, Angioline</v>
      </c>
      <c r="AD50" s="115" t="str">
        <f>IFERROR(INDEX(Расходка[Наименование расходного материала],MATCH(Расходка[[#This Row],[№]],Поиск_расходки[Индекс13],0)),"")</f>
        <v>Проводник коронарный  3g, Angioline</v>
      </c>
      <c r="AF50" s="4" t="s">
        <v>6</v>
      </c>
      <c r="AG50" s="4" t="s">
        <v>443</v>
      </c>
    </row>
    <row r="51" spans="1:33">
      <c r="A51">
        <v>50</v>
      </c>
      <c r="B51" t="s">
        <v>3</v>
      </c>
      <c r="C51" t="s">
        <v>507</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учёта'!$B$17,Расходка[[#This Row],[Наименование расходного материала]])),MAX($I$1:I50)+1,0)</f>
        <v>0</v>
      </c>
      <c r="J51" s="116">
        <f>IF(ISNUMBER(SEARCH('Карта учёта'!$B$18,Расходка[[#This Row],[Наименование расходного материала]])),MAX($J$1:J50)+1,0)</f>
        <v>0</v>
      </c>
      <c r="K51" s="116">
        <f>IF(ISNUMBER(SEARCH('Карта учёта'!$B$19,Расходка[[#This Row],[Наименование расходного материала]])),MAX($K$1:K50)+1,0)</f>
        <v>0</v>
      </c>
      <c r="L51" s="116">
        <f>IF(ISNUMBER(SEARCH('Карта учёта'!$B$20,Расходка[[#This Row],[Наименование расходного материала]])),MAX($L$1:L50)+1,0)</f>
        <v>0</v>
      </c>
      <c r="M51" s="116">
        <f>IF(ISNUMBER(SEARCH('Карта учёта'!$B$21,Расходка[[#This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
      </c>
      <c r="Y51" s="115" t="str">
        <f>IFERROR(INDEX(Расходка[Наименование расходного материала],MATCH(Расходка[[#This Row],[№]],Поиск_расходки[Индекс8],0)),"")</f>
        <v/>
      </c>
      <c r="Z51" s="115" t="str">
        <f>IFERROR(INDEX(Расходка[Наименование расходного материала],MATCH(Расходка[[#This Row],[№]],Поиск_расходки[Индекс9],0)),"")</f>
        <v xml:space="preserve">Balancium </v>
      </c>
      <c r="AA51" s="115" t="str">
        <f>IFERROR(INDEX(Расходка[Наименование расходного материала],MATCH(Расходка[[#This Row],[№]],Поиск_расходки[Индекс10],0)),"")</f>
        <v xml:space="preserve">Balancium </v>
      </c>
      <c r="AB51" s="115" t="str">
        <f>IFERROR(INDEX(Расходка[Наименование расходного материала],MATCH(Расходка[[#This Row],[№]],Поиск_расходки[Индекс11],0)),"")</f>
        <v xml:space="preserve">Balancium </v>
      </c>
      <c r="AC51" s="115" t="str">
        <f>IFERROR(INDEX(Расходка[Наименование расходного материала],MATCH(Расходка[[#This Row],[№]],Поиск_расходки[Индекс12],0)),"")</f>
        <v xml:space="preserve">Balancium </v>
      </c>
      <c r="AD51" s="115" t="str">
        <f>IFERROR(INDEX(Расходка[Наименование расходного материала],MATCH(Расходка[[#This Row],[№]],Поиск_расходки[Индекс13],0)),"")</f>
        <v xml:space="preserve">Balancium </v>
      </c>
      <c r="AF51" s="4" t="s">
        <v>6</v>
      </c>
      <c r="AG51" s="4" t="s">
        <v>444</v>
      </c>
    </row>
    <row r="52" spans="1:33">
      <c r="A52">
        <v>51</v>
      </c>
      <c r="B52" t="s">
        <v>3</v>
      </c>
      <c r="C52" t="s">
        <v>518</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учёта'!$B$17,Расходка[[#This Row],[Наименование расходного материала]])),MAX($I$1:I51)+1,0)</f>
        <v>0</v>
      </c>
      <c r="J52" s="116">
        <f>IF(ISNUMBER(SEARCH('Карта учёта'!$B$18,Расходка[[#This Row],[Наименование расходного материала]])),MAX($J$1:J51)+1,0)</f>
        <v>0</v>
      </c>
      <c r="K52" s="116">
        <f>IF(ISNUMBER(SEARCH('Карта учёта'!$B$19,Расходка[[#This Row],[Наименование расходного материала]])),MAX($K$1:K51)+1,0)</f>
        <v>0</v>
      </c>
      <c r="L52" s="116">
        <f>IF(ISNUMBER(SEARCH('Карта учёта'!$B$20,Расходка[[#This Row],[Наименование расходного материала]])),MAX($L$1:L51)+1,0)</f>
        <v>0</v>
      </c>
      <c r="M52" s="116">
        <f>IF(ISNUMBER(SEARCH('Карта учёта'!$B$21,Расходка[[#This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
      </c>
      <c r="Y52" s="115" t="str">
        <f>IFERROR(INDEX(Расходка[Наименование расходного материала],MATCH(Расходка[[#This Row],[№]],Поиск_расходки[Индекс8],0)),"")</f>
        <v/>
      </c>
      <c r="Z52" s="115" t="str">
        <f>IFERROR(INDEX(Расходка[Наименование расходного материала],MATCH(Расходка[[#This Row],[№]],Поиск_расходки[Индекс9],0)),"")</f>
        <v>Shunmei</v>
      </c>
      <c r="AA52" s="115" t="str">
        <f>IFERROR(INDEX(Расходка[Наименование расходного материала],MATCH(Расходка[[#This Row],[№]],Поиск_расходки[Индекс10],0)),"")</f>
        <v>Shunmei</v>
      </c>
      <c r="AB52" s="115" t="str">
        <f>IFERROR(INDEX(Расходка[Наименование расходного материала],MATCH(Расходка[[#This Row],[№]],Поиск_расходки[Индекс11],0)),"")</f>
        <v>Shunmei</v>
      </c>
      <c r="AC52" s="115" t="str">
        <f>IFERROR(INDEX(Расходка[Наименование расходного материала],MATCH(Расходка[[#This Row],[№]],Поиск_расходки[Индекс12],0)),"")</f>
        <v>Shunmei</v>
      </c>
      <c r="AD52" s="115" t="str">
        <f>IFERROR(INDEX(Расходка[Наименование расходного материала],MATCH(Расходка[[#This Row],[№]],Поиск_расходки[Индекс13],0)),"")</f>
        <v>Shunmei</v>
      </c>
      <c r="AF52" s="4" t="s">
        <v>6</v>
      </c>
      <c r="AG52" s="4" t="s">
        <v>445</v>
      </c>
    </row>
    <row r="53" spans="1:33">
      <c r="A53">
        <v>52</v>
      </c>
      <c r="B53" t="s">
        <v>3</v>
      </c>
      <c r="C53" t="s">
        <v>537</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1</v>
      </c>
      <c r="H53" s="116">
        <f>IF(ISNUMBER(SEARCH('Карта учёта'!$B$16,Расходка[[#This Row],[Наименование расходного материала]])),MAX($H$1:H52)+1,0)</f>
        <v>0</v>
      </c>
      <c r="I53" s="116">
        <f>IF(ISNUMBER(SEARCH('Карта учёта'!$B$17,Расходка[[#This Row],[Наименование расходного материала]])),MAX($I$1:I52)+1,0)</f>
        <v>0</v>
      </c>
      <c r="J53" s="116">
        <f>IF(ISNUMBER(SEARCH('Карта учёта'!$B$18,Расходка[[#This Row],[Наименование расходного материала]])),MAX($J$1:J52)+1,0)</f>
        <v>0</v>
      </c>
      <c r="K53" s="116">
        <f>IF(ISNUMBER(SEARCH('Карта учёта'!$B$19,Расходка[[#This Row],[Наименование расходного материала]])),MAX($K$1:K52)+1,0)</f>
        <v>0</v>
      </c>
      <c r="L53" s="116">
        <f>IF(ISNUMBER(SEARCH('Карта учёта'!$B$20,Расходка[[#This Row],[Наименование расходного материала]])),MAX($L$1:L52)+1,0)</f>
        <v>0</v>
      </c>
      <c r="M53" s="116">
        <f>IF(ISNUMBER(SEARCH('Карта учёта'!$B$21,Расходка[[#This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
      </c>
      <c r="Y53" s="115" t="str">
        <f>IFERROR(INDEX(Расходка[Наименование расходного материала],MATCH(Расходка[[#This Row],[№]],Поиск_расходки[Индекс8],0)),"")</f>
        <v/>
      </c>
      <c r="Z53" s="115" t="str">
        <f>IFERROR(INDEX(Расходка[Наименование расходного материала],MATCH(Расходка[[#This Row],[№]],Поиск_расходки[Индекс9],0)),"")</f>
        <v>Pilot 150</v>
      </c>
      <c r="AA53" s="115" t="str">
        <f>IFERROR(INDEX(Расходка[Наименование расходного материала],MATCH(Расходка[[#This Row],[№]],Поиск_расходки[Индекс10],0)),"")</f>
        <v>Pilot 150</v>
      </c>
      <c r="AB53" s="115" t="str">
        <f>IFERROR(INDEX(Расходка[Наименование расходного материала],MATCH(Расходка[[#This Row],[№]],Поиск_расходки[Индекс11],0)),"")</f>
        <v>Pilot 150</v>
      </c>
      <c r="AC53" s="115" t="str">
        <f>IFERROR(INDEX(Расходка[Наименование расходного материала],MATCH(Расходка[[#This Row],[№]],Поиск_расходки[Индекс12],0)),"")</f>
        <v>Pilot 150</v>
      </c>
      <c r="AD53" s="115" t="str">
        <f>IFERROR(INDEX(Расходка[Наименование расходного материала],MATCH(Расходка[[#This Row],[№]],Поиск_расходки[Индекс13],0)),"")</f>
        <v>Pilot 150</v>
      </c>
      <c r="AF53" s="4" t="s">
        <v>6</v>
      </c>
      <c r="AG53" s="4" t="s">
        <v>446</v>
      </c>
    </row>
    <row r="54" spans="1:33">
      <c r="A54">
        <v>53</v>
      </c>
      <c r="B54" t="s">
        <v>6</v>
      </c>
      <c r="C54" s="1" t="s">
        <v>278</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учёта'!$B$17,Расходка[[#This Row],[Наименование расходного материала]])),MAX($I$1:I53)+1,0)</f>
        <v>0</v>
      </c>
      <c r="J54" s="116">
        <f>IF(ISNUMBER(SEARCH('Карта учёта'!$B$18,Расходка[[#This Row],[Наименование расходного материала]])),MAX($J$1:J53)+1,0)</f>
        <v>0</v>
      </c>
      <c r="K54" s="116">
        <f>IF(ISNUMBER(SEARCH('Карта учёта'!$B$19,Расходка[[#This Row],[Наименование расходного материала]])),MAX($K$1:K53)+1,0)</f>
        <v>0</v>
      </c>
      <c r="L54" s="116">
        <f>IF(ISNUMBER(SEARCH('Карта учёта'!$B$20,Расходка[[#This Row],[Наименование расходного материала]])),MAX($L$1:L53)+1,0)</f>
        <v>0</v>
      </c>
      <c r="M54" s="116">
        <f>IF(ISNUMBER(SEARCH('Карта учёта'!$B$21,Расходка[[#This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
      </c>
      <c r="Y54" s="115" t="str">
        <f>IFERROR(INDEX(Расходка[Наименование расходного материала],MATCH(Расходка[[#This Row],[№]],Поиск_расходки[Индекс8],0)),"")</f>
        <v/>
      </c>
      <c r="Z54" s="115" t="str">
        <f>IFERROR(INDEX(Расходка[Наименование расходного материала],MATCH(Расходка[[#This Row],[№]],Поиск_расходки[Индекс9],0)),"")</f>
        <v>BMS, Integtity</v>
      </c>
      <c r="AA54" s="115" t="str">
        <f>IFERROR(INDEX(Расходка[Наименование расходного материала],MATCH(Расходка[[#This Row],[№]],Поиск_расходки[Индекс10],0)),"")</f>
        <v>BMS, Integtity</v>
      </c>
      <c r="AB54" s="115" t="str">
        <f>IFERROR(INDEX(Расходка[Наименование расходного материала],MATCH(Расходка[[#This Row],[№]],Поиск_расходки[Индекс11],0)),"")</f>
        <v>BMS, Integtity</v>
      </c>
      <c r="AC54" s="115" t="str">
        <f>IFERROR(INDEX(Расходка[Наименование расходного материала],MATCH(Расходка[[#This Row],[№]],Поиск_расходки[Индекс12],0)),"")</f>
        <v>BMS, Integtity</v>
      </c>
      <c r="AD54" s="115" t="str">
        <f>IFERROR(INDEX(Расходка[Наименование расходного материала],MATCH(Расходка[[#This Row],[№]],Поиск_расходки[Индекс13],0)),"")</f>
        <v>BMS, Integtity</v>
      </c>
      <c r="AF54" s="4" t="s">
        <v>6</v>
      </c>
      <c r="AG54" s="4" t="s">
        <v>447</v>
      </c>
    </row>
    <row r="55" spans="1:33">
      <c r="A55">
        <v>54</v>
      </c>
      <c r="B55" t="s">
        <v>6</v>
      </c>
      <c r="C55" s="157" t="s">
        <v>345</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учёта'!$B$17,Расходка[[#This Row],[Наименование расходного материала]])),MAX($I$1:I54)+1,0)</f>
        <v>0</v>
      </c>
      <c r="J55" s="116">
        <f>IF(ISNUMBER(SEARCH('Карта учёта'!$B$18,Расходка[[#This Row],[Наименование расходного материала]])),MAX($J$1:J54)+1,0)</f>
        <v>0</v>
      </c>
      <c r="K55" s="116">
        <f>IF(ISNUMBER(SEARCH('Карта учёта'!$B$19,Расходка[[#This Row],[Наименование расходного материала]])),MAX($K$1:K54)+1,0)</f>
        <v>0</v>
      </c>
      <c r="L55" s="116">
        <f>IF(ISNUMBER(SEARCH('Карта учёта'!$B$20,Расходка[[#This Row],[Наименование расходного материала]])),MAX($L$1:L54)+1,0)</f>
        <v>0</v>
      </c>
      <c r="M55" s="116">
        <f>IF(ISNUMBER(SEARCH('Карта учёта'!$B$21,Расходка[[#This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
      </c>
      <c r="Y55" s="115" t="str">
        <f>IFERROR(INDEX(Расходка[Наименование расходного материала],MATCH(Расходка[[#This Row],[№]],Поиск_расходки[Индекс8],0)),"")</f>
        <v/>
      </c>
      <c r="Z55" s="115" t="str">
        <f>IFERROR(INDEX(Расходка[Наименование расходного материала],MATCH(Расходка[[#This Row],[№]],Поиск_расходки[Индекс9],0)),"")</f>
        <v>DES, Calipso</v>
      </c>
      <c r="AA55" s="115" t="str">
        <f>IFERROR(INDEX(Расходка[Наименование расходного материала],MATCH(Расходка[[#This Row],[№]],Поиск_расходки[Индекс10],0)),"")</f>
        <v>DES, Calipso</v>
      </c>
      <c r="AB55" s="115" t="str">
        <f>IFERROR(INDEX(Расходка[Наименование расходного материала],MATCH(Расходка[[#This Row],[№]],Поиск_расходки[Индекс11],0)),"")</f>
        <v>DES, Calipso</v>
      </c>
      <c r="AC55" s="115" t="str">
        <f>IFERROR(INDEX(Расходка[Наименование расходного материала],MATCH(Расходка[[#This Row],[№]],Поиск_расходки[Индекс12],0)),"")</f>
        <v>DES, Calipso</v>
      </c>
      <c r="AD55" s="115" t="str">
        <f>IFERROR(INDEX(Расходка[Наименование расходного материала],MATCH(Расходка[[#This Row],[№]],Поиск_расходки[Индекс13],0)),"")</f>
        <v>DES, Calipso</v>
      </c>
      <c r="AF55" s="4" t="s">
        <v>6</v>
      </c>
      <c r="AG55" s="4" t="s">
        <v>448</v>
      </c>
    </row>
    <row r="56" spans="1:33">
      <c r="A56">
        <v>55</v>
      </c>
      <c r="B56" t="s">
        <v>6</v>
      </c>
      <c r="C56" s="157" t="s">
        <v>344</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учёта'!$B$17,Расходка[[#This Row],[Наименование расходного материала]])),MAX($I$1:I55)+1,0)</f>
        <v>0</v>
      </c>
      <c r="J56" s="116">
        <f>IF(ISNUMBER(SEARCH('Карта учёта'!$B$18,Расходка[[#This Row],[Наименование расходного материала]])),MAX($J$1:J55)+1,0)</f>
        <v>0</v>
      </c>
      <c r="K56" s="116">
        <f>IF(ISNUMBER(SEARCH('Карта учёта'!$B$19,Расходка[[#This Row],[Наименование расходного материала]])),MAX($K$1:K55)+1,0)</f>
        <v>0</v>
      </c>
      <c r="L56" s="116">
        <f>IF(ISNUMBER(SEARCH('Карта учёта'!$B$20,Расходка[[#This Row],[Наименование расходного материала]])),MAX($L$1:L55)+1,0)</f>
        <v>0</v>
      </c>
      <c r="M56" s="116">
        <f>IF(ISNUMBER(SEARCH('Карта учёта'!$B$21,Расходка[[#This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
      </c>
      <c r="Y56" s="115" t="str">
        <f>IFERROR(INDEX(Расходка[Наименование расходного материала],MATCH(Расходка[[#This Row],[№]],Поиск_расходки[Индекс8],0)),"")</f>
        <v/>
      </c>
      <c r="Z56" s="115" t="str">
        <f>IFERROR(INDEX(Расходка[Наименование расходного материала],MATCH(Расходка[[#This Row],[№]],Поиск_расходки[Индекс9],0)),"")</f>
        <v>DES, NanoMed</v>
      </c>
      <c r="AA56" s="115" t="str">
        <f>IFERROR(INDEX(Расходка[Наименование расходного материала],MATCH(Расходка[[#This Row],[№]],Поиск_расходки[Индекс10],0)),"")</f>
        <v>DES, NanoMed</v>
      </c>
      <c r="AB56" s="115" t="str">
        <f>IFERROR(INDEX(Расходка[Наименование расходного материала],MATCH(Расходка[[#This Row],[№]],Поиск_расходки[Индекс11],0)),"")</f>
        <v>DES, NanoMed</v>
      </c>
      <c r="AC56" s="115" t="str">
        <f>IFERROR(INDEX(Расходка[Наименование расходного материала],MATCH(Расходка[[#This Row],[№]],Поиск_расходки[Индекс12],0)),"")</f>
        <v>DES, NanoMed</v>
      </c>
      <c r="AD56" s="115" t="str">
        <f>IFERROR(INDEX(Расходка[Наименование расходного материала],MATCH(Расходка[[#This Row],[№]],Поиск_расходки[Индекс13],0)),"")</f>
        <v>DES, NanoMed</v>
      </c>
      <c r="AF56" s="4" t="s">
        <v>6</v>
      </c>
      <c r="AG56" s="4" t="s">
        <v>449</v>
      </c>
    </row>
    <row r="57" spans="1:33">
      <c r="A57">
        <v>56</v>
      </c>
      <c r="B57" t="s">
        <v>6</v>
      </c>
      <c r="C57" s="130" t="s">
        <v>323</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0</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учёта'!$B$17,Расходка[[#This Row],[Наименование расходного материала]])),MAX($I$1:I56)+1,0)</f>
        <v>0</v>
      </c>
      <c r="J57" s="116">
        <f>IF(ISNUMBER(SEARCH('Карта учёта'!$B$18,Расходка[[#This Row],[Наименование расходного материала]])),MAX($J$1:J56)+1,0)</f>
        <v>0</v>
      </c>
      <c r="K57" s="116">
        <f>IF(ISNUMBER(SEARCH('Карта учёта'!$B$19,Расходка[[#This Row],[Наименование расходного материала]])),MAX($K$1:K56)+1,0)</f>
        <v>0</v>
      </c>
      <c r="L57" s="116">
        <f>IF(ISNUMBER(SEARCH('Карта учёта'!$B$20,Расходка[[#This Row],[Наименование расходного материала]])),MAX($L$1:L56)+1,0)</f>
        <v>0</v>
      </c>
      <c r="M57" s="116">
        <f>IF(ISNUMBER(SEARCH('Карта учёта'!$B$21,Расходка[[#This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
      </c>
      <c r="Y57" s="115" t="str">
        <f>IFERROR(INDEX(Расходка[Наименование расходного материала],MATCH(Расходка[[#This Row],[№]],Поиск_расходки[Индекс8],0)),"")</f>
        <v/>
      </c>
      <c r="Z57" s="115" t="str">
        <f>IFERROR(INDEX(Расходка[Наименование расходного материала],MATCH(Расходка[[#This Row],[№]],Поиск_расходки[Индекс9],0)),"")</f>
        <v>DES, Resolute Integtity</v>
      </c>
      <c r="AA57" s="115" t="str">
        <f>IFERROR(INDEX(Расходка[Наименование расходного материала],MATCH(Расходка[[#This Row],[№]],Поиск_расходки[Индекс10],0)),"")</f>
        <v>DES, Resolute Integtity</v>
      </c>
      <c r="AB57" s="115" t="str">
        <f>IFERROR(INDEX(Расходка[Наименование расходного материала],MATCH(Расходка[[#This Row],[№]],Поиск_расходки[Индекс11],0)),"")</f>
        <v>DES, Resolute Integtity</v>
      </c>
      <c r="AC57" s="115" t="str">
        <f>IFERROR(INDEX(Расходка[Наименование расходного материала],MATCH(Расходка[[#This Row],[№]],Поиск_расходки[Индекс12],0)),"")</f>
        <v>DES, Resolute Integtity</v>
      </c>
      <c r="AD57" s="115" t="str">
        <f>IFERROR(INDEX(Расходка[Наименование расходного материала],MATCH(Расходка[[#This Row],[№]],Поиск_расходки[Индекс13],0)),"")</f>
        <v>DES, Resolute Integtity</v>
      </c>
      <c r="AF57" s="4" t="s">
        <v>6</v>
      </c>
      <c r="AG57" s="4" t="s">
        <v>450</v>
      </c>
    </row>
    <row r="58" spans="1:33">
      <c r="A58">
        <v>57</v>
      </c>
      <c r="B58" t="s">
        <v>6</v>
      </c>
      <c r="C58" t="s">
        <v>357</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учёта'!$B$17,Расходка[[#This Row],[Наименование расходного материала]])),MAX($I$1:I57)+1,0)</f>
        <v>0</v>
      </c>
      <c r="J58" s="116">
        <f>IF(ISNUMBER(SEARCH('Карта учёта'!$B$18,Расходка[[#This Row],[Наименование расходного материала]])),MAX($J$1:J57)+1,0)</f>
        <v>0</v>
      </c>
      <c r="K58" s="116">
        <f>IF(ISNUMBER(SEARCH('Карта учёта'!$B$19,Расходка[[#This Row],[Наименование расходного материала]])),MAX($K$1:K57)+1,0)</f>
        <v>0</v>
      </c>
      <c r="L58" s="116">
        <f>IF(ISNUMBER(SEARCH('Карта учёта'!$B$20,Расходка[[#This Row],[Наименование расходного материала]])),MAX($L$1:L57)+1,0)</f>
        <v>0</v>
      </c>
      <c r="M58" s="116">
        <f>IF(ISNUMBER(SEARCH('Карта учёта'!$B$21,Расходка[[#This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
      </c>
      <c r="Y58" s="115" t="str">
        <f>IFERROR(INDEX(Расходка[Наименование расходного материала],MATCH(Расходка[[#This Row],[№]],Поиск_расходки[Индекс8],0)),"")</f>
        <v/>
      </c>
      <c r="Z58" s="115" t="str">
        <f>IFERROR(INDEX(Расходка[Наименование расходного материала],MATCH(Расходка[[#This Row],[№]],Поиск_расходки[Индекс9],0)),"")</f>
        <v>DES, Yukon Chrome PC</v>
      </c>
      <c r="AA58" s="115" t="str">
        <f>IFERROR(INDEX(Расходка[Наименование расходного материала],MATCH(Расходка[[#This Row],[№]],Поиск_расходки[Индекс10],0)),"")</f>
        <v>DES, Yukon Chrome PC</v>
      </c>
      <c r="AB58" s="115" t="str">
        <f>IFERROR(INDEX(Расходка[Наименование расходного материала],MATCH(Расходка[[#This Row],[№]],Поиск_расходки[Индекс11],0)),"")</f>
        <v>DES, Yukon Chrome PC</v>
      </c>
      <c r="AC58" s="115" t="str">
        <f>IFERROR(INDEX(Расходка[Наименование расходного материала],MATCH(Расходка[[#This Row],[№]],Поиск_расходки[Индекс12],0)),"")</f>
        <v>DES, Yukon Chrome PC</v>
      </c>
      <c r="AD58" s="115" t="str">
        <f>IFERROR(INDEX(Расходка[Наименование расходного материала],MATCH(Расходка[[#This Row],[№]],Поиск_расходки[Индекс13],0)),"")</f>
        <v>DES, Yukon Chrome PC</v>
      </c>
      <c r="AF58" s="4" t="s">
        <v>6</v>
      </c>
      <c r="AG58" s="4" t="s">
        <v>451</v>
      </c>
    </row>
    <row r="59" spans="1:33">
      <c r="A59">
        <v>58</v>
      </c>
      <c r="B59" t="s">
        <v>6</v>
      </c>
      <c r="C59" s="161" t="s">
        <v>385</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учёта'!$B$17,Расходка[[#This Row],[Наименование расходного материала]])),MAX($I$1:I58)+1,0)</f>
        <v>0</v>
      </c>
      <c r="J59" s="116">
        <f>IF(ISNUMBER(SEARCH('Карта учёта'!$B$18,Расходка[[#This Row],[Наименование расходного материала]])),MAX($J$1:J58)+1,0)</f>
        <v>0</v>
      </c>
      <c r="K59" s="116">
        <f>IF(ISNUMBER(SEARCH('Карта учёта'!$B$19,Расходка[[#This Row],[Наименование расходного материала]])),MAX($K$1:K58)+1,0)</f>
        <v>0</v>
      </c>
      <c r="L59" s="116">
        <f>IF(ISNUMBER(SEARCH('Карта учёта'!$B$20,Расходка[[#This Row],[Наименование расходного материала]])),MAX($L$1:L58)+1,0)</f>
        <v>0</v>
      </c>
      <c r="M59" s="116">
        <f>IF(ISNUMBER(SEARCH('Карта учёта'!$B$21,Расходка[[#This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
      </c>
      <c r="Y59" s="115" t="str">
        <f>IFERROR(INDEX(Расходка[Наименование расходного материала],MATCH(Расходка[[#This Row],[№]],Поиск_расходки[Индекс8],0)),"")</f>
        <v/>
      </c>
      <c r="Z59" s="115" t="str">
        <f>IFERROR(INDEX(Расходка[Наименование расходного материала],MATCH(Расходка[[#This Row],[№]],Поиск_расходки[Индекс9],0)),"")</f>
        <v>DES, Firehawk</v>
      </c>
      <c r="AA59" s="115" t="str">
        <f>IFERROR(INDEX(Расходка[Наименование расходного материала],MATCH(Расходка[[#This Row],[№]],Поиск_расходки[Индекс10],0)),"")</f>
        <v>DES, Firehawk</v>
      </c>
      <c r="AB59" s="115" t="str">
        <f>IFERROR(INDEX(Расходка[Наименование расходного материала],MATCH(Расходка[[#This Row],[№]],Поиск_расходки[Индекс11],0)),"")</f>
        <v>DES, Firehawk</v>
      </c>
      <c r="AC59" s="115" t="str">
        <f>IFERROR(INDEX(Расходка[Наименование расходного материала],MATCH(Расходка[[#This Row],[№]],Поиск_расходки[Индекс12],0)),"")</f>
        <v>DES, Firehawk</v>
      </c>
      <c r="AD59" s="115" t="str">
        <f>IFERROR(INDEX(Расходка[Наименование расходного материала],MATCH(Расходка[[#This Row],[№]],Поиск_расходки[Индекс13],0)),"")</f>
        <v>DES, Firehawk</v>
      </c>
      <c r="AF59" s="4" t="s">
        <v>6</v>
      </c>
      <c r="AG59" s="4" t="s">
        <v>452</v>
      </c>
    </row>
    <row r="60" spans="1:33">
      <c r="A60">
        <v>59</v>
      </c>
      <c r="B60" t="s">
        <v>6</v>
      </c>
      <c r="C60" t="s">
        <v>384</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учёта'!$B$17,Расходка[[#This Row],[Наименование расходного материала]])),MAX($I$1:I59)+1,0)</f>
        <v>0</v>
      </c>
      <c r="J60" s="116">
        <f>IF(ISNUMBER(SEARCH('Карта учёта'!$B$18,Расходка[[#This Row],[Наименование расходного материала]])),MAX($J$1:J59)+1,0)</f>
        <v>0</v>
      </c>
      <c r="K60" s="116">
        <f>IF(ISNUMBER(SEARCH('Карта учёта'!$B$19,Расходка[[#This Row],[Наименование расходного материала]])),MAX($K$1:K59)+1,0)</f>
        <v>0</v>
      </c>
      <c r="L60" s="116">
        <f>IF(ISNUMBER(SEARCH('Карта учёта'!$B$20,Расходка[[#This Row],[Наименование расходного материала]])),MAX($L$1:L59)+1,0)</f>
        <v>0</v>
      </c>
      <c r="M60" s="116">
        <f>IF(ISNUMBER(SEARCH('Карта учёта'!$B$21,Расходка[[#This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
      </c>
      <c r="Y60" s="115" t="str">
        <f>IFERROR(INDEX(Расходка[Наименование расходного материала],MATCH(Расходка[[#This Row],[№]],Поиск_расходки[Индекс8],0)),"")</f>
        <v/>
      </c>
      <c r="Z60" s="115" t="str">
        <f>IFERROR(INDEX(Расходка[Наименование расходного материала],MATCH(Расходка[[#This Row],[№]],Поиск_расходки[Индекс9],0)),"")</f>
        <v>DES, Resolute Onyx</v>
      </c>
      <c r="AA60" s="115" t="str">
        <f>IFERROR(INDEX(Расходка[Наименование расходного материала],MATCH(Расходка[[#This Row],[№]],Поиск_расходки[Индекс10],0)),"")</f>
        <v>DES, Resolute Onyx</v>
      </c>
      <c r="AB60" s="115" t="str">
        <f>IFERROR(INDEX(Расходка[Наименование расходного материала],MATCH(Расходка[[#This Row],[№]],Поиск_расходки[Индекс11],0)),"")</f>
        <v>DES, Resolute Onyx</v>
      </c>
      <c r="AC60" s="115" t="str">
        <f>IFERROR(INDEX(Расходка[Наименование расходного материала],MATCH(Расходка[[#This Row],[№]],Поиск_расходки[Индекс12],0)),"")</f>
        <v>DES, Resolute Onyx</v>
      </c>
      <c r="AD60" s="115" t="str">
        <f>IFERROR(INDEX(Расходка[Наименование расходного материала],MATCH(Расходка[[#This Row],[№]],Поиск_расходки[Индекс13],0)),"")</f>
        <v>DES, Resolute Onyx</v>
      </c>
      <c r="AF60" s="4" t="s">
        <v>6</v>
      </c>
      <c r="AG60" s="4" t="s">
        <v>453</v>
      </c>
    </row>
    <row r="61" spans="1:33">
      <c r="A61">
        <v>60</v>
      </c>
      <c r="B61" t="s">
        <v>6</v>
      </c>
      <c r="C61" t="s">
        <v>516</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учёта'!$B$17,Расходка[[#This Row],[Наименование расходного материала]])),MAX($I$1:I60)+1,0)</f>
        <v>0</v>
      </c>
      <c r="J61" s="116">
        <f>IF(ISNUMBER(SEARCH('Карта учёта'!$B$18,Расходка[[#This Row],[Наименование расходного материала]])),MAX($J$1:J60)+1,0)</f>
        <v>0</v>
      </c>
      <c r="K61" s="116">
        <f>IF(ISNUMBER(SEARCH('Карта учёта'!$B$19,Расходка[[#This Row],[Наименование расходного материала]])),MAX($K$1:K60)+1,0)</f>
        <v>0</v>
      </c>
      <c r="L61" s="116">
        <f>IF(ISNUMBER(SEARCH('Карта учёта'!$B$20,Расходка[[#This Row],[Наименование расходного материала]])),MAX($L$1:L60)+1,0)</f>
        <v>0</v>
      </c>
      <c r="M61" s="116">
        <f>IF(ISNUMBER(SEARCH('Карта учёта'!$B$21,Расходка[[#This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
      </c>
      <c r="Y61" s="115" t="str">
        <f>IFERROR(INDEX(Расходка[Наименование расходного материала],MATCH(Расходка[[#This Row],[№]],Поиск_расходки[Индекс8],0)),"")</f>
        <v/>
      </c>
      <c r="Z61" s="115" t="str">
        <f>IFERROR(INDEX(Расходка[Наименование расходного материала],MATCH(Расходка[[#This Row],[№]],Поиск_расходки[Индекс9],0)),"")</f>
        <v>DES, Калипсо</v>
      </c>
      <c r="AA61" s="115" t="str">
        <f>IFERROR(INDEX(Расходка[Наименование расходного материала],MATCH(Расходка[[#This Row],[№]],Поиск_расходки[Индекс10],0)),"")</f>
        <v>DES, Калипсо</v>
      </c>
      <c r="AB61" s="115" t="str">
        <f>IFERROR(INDEX(Расходка[Наименование расходного материала],MATCH(Расходка[[#This Row],[№]],Поиск_расходки[Индекс11],0)),"")</f>
        <v>DES, Калипсо</v>
      </c>
      <c r="AC61" s="115" t="str">
        <f>IFERROR(INDEX(Расходка[Наименование расходного материала],MATCH(Расходка[[#This Row],[№]],Поиск_расходки[Индекс12],0)),"")</f>
        <v>DES, Калипсо</v>
      </c>
      <c r="AD61" s="115" t="str">
        <f>IFERROR(INDEX(Расходка[Наименование расходного материала],MATCH(Расходка[[#This Row],[№]],Поиск_расходки[Индекс13],0)),"")</f>
        <v>DES, Калипсо</v>
      </c>
      <c r="AF61" s="4" t="s">
        <v>6</v>
      </c>
      <c r="AG61" s="4" t="s">
        <v>414</v>
      </c>
    </row>
    <row r="62" spans="1:33">
      <c r="A62">
        <v>61</v>
      </c>
      <c r="B62" t="s">
        <v>6</v>
      </c>
      <c r="C62" t="s">
        <v>517</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учёта'!$B$17,Расходка[[#This Row],[Наименование расходного материала]])),MAX($I$1:I61)+1,0)</f>
        <v>1</v>
      </c>
      <c r="J62" s="116">
        <f>IF(ISNUMBER(SEARCH('Карта учёта'!$B$18,Расходка[[#This Row],[Наименование расходного материала]])),MAX($J$1:J61)+1,0)</f>
        <v>1</v>
      </c>
      <c r="K62" s="116">
        <f>IF(ISNUMBER(SEARCH('Карта учёта'!$B$19,Расходка[[#This Row],[Наименование расходного материала]])),MAX($K$1:K61)+1,0)</f>
        <v>0</v>
      </c>
      <c r="L62" s="116">
        <f>IF(ISNUMBER(SEARCH('Карта учёта'!$B$20,Расходка[[#This Row],[Наименование расходного материала]])),MAX($L$1:L61)+1,0)</f>
        <v>0</v>
      </c>
      <c r="M62" s="116">
        <f>IF(ISNUMBER(SEARCH('Карта учёта'!$B$21,Расходка[[#This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
      </c>
      <c r="Y62" s="115" t="str">
        <f>IFERROR(INDEX(Расходка[Наименование расходного материала],MATCH(Расходка[[#This Row],[№]],Поиск_расходки[Индекс8],0)),"")</f>
        <v/>
      </c>
      <c r="Z62" s="115" t="str">
        <f>IFERROR(INDEX(Расходка[Наименование расходного материала],MATCH(Расходка[[#This Row],[№]],Поиск_расходки[Индекс9],0)),"")</f>
        <v>Meril Evermine50™</v>
      </c>
      <c r="AA62" s="115" t="str">
        <f>IFERROR(INDEX(Расходка[Наименование расходного материала],MATCH(Расходка[[#This Row],[№]],Поиск_расходки[Индекс10],0)),"")</f>
        <v>Meril Evermine50™</v>
      </c>
      <c r="AB62" s="115" t="str">
        <f>IFERROR(INDEX(Расходка[Наименование расходного материала],MATCH(Расходка[[#This Row],[№]],Поиск_расходки[Индекс11],0)),"")</f>
        <v>Meril Evermine50™</v>
      </c>
      <c r="AC62" s="115" t="str">
        <f>IFERROR(INDEX(Расходка[Наименование расходного материала],MATCH(Расходка[[#This Row],[№]],Поиск_расходки[Индекс12],0)),"")</f>
        <v>Meril Evermine50™</v>
      </c>
      <c r="AD62" s="115" t="str">
        <f>IFERROR(INDEX(Расходка[Наименование расходного материала],MATCH(Расходка[[#This Row],[№]],Поиск_расходки[Индекс13],0)),"")</f>
        <v>Meril Evermine50™</v>
      </c>
      <c r="AF62" s="4" t="s">
        <v>6</v>
      </c>
      <c r="AG62" s="4" t="s">
        <v>454</v>
      </c>
    </row>
    <row r="63" spans="1:33">
      <c r="A63">
        <v>62</v>
      </c>
      <c r="B63" t="s">
        <v>95</v>
      </c>
      <c r="C63" s="1" t="s">
        <v>324</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учёта'!$B$17,Расходка[[#This Row],[Наименование расходного материала]])),MAX($I$1:I62)+1,0)</f>
        <v>0</v>
      </c>
      <c r="J63" s="116">
        <f>IF(ISNUMBER(SEARCH('Карта учёта'!$B$18,Расходка[[#This Row],[Наименование расходного материала]])),MAX($J$1:J62)+1,0)</f>
        <v>0</v>
      </c>
      <c r="K63" s="116">
        <f>IF(ISNUMBER(SEARCH('Карта учёта'!$B$19,Расходка[[#This Row],[Наименование расходного материала]])),MAX($K$1:K62)+1,0)</f>
        <v>0</v>
      </c>
      <c r="L63" s="116">
        <f>IF(ISNUMBER(SEARCH('Карта учёта'!$B$20,Расходка[[#This Row],[Наименование расходного материала]])),MAX($L$1:L62)+1,0)</f>
        <v>0</v>
      </c>
      <c r="M63" s="116">
        <f>IF(ISNUMBER(SEARCH('Карта учёта'!$B$21,Расходка[[#This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
      </c>
      <c r="Y63" s="115" t="str">
        <f>IFERROR(INDEX(Расходка[Наименование расходного материала],MATCH(Расходка[[#This Row],[№]],Поиск_расходки[Индекс8],0)),"")</f>
        <v/>
      </c>
      <c r="Z63" s="115" t="str">
        <f>IFERROR(INDEX(Расходка[Наименование расходного материала],MATCH(Расходка[[#This Row],[№]],Поиск_расходки[Индекс9],0)),"")</f>
        <v>Guidezilla™ II 6F</v>
      </c>
      <c r="AA63" s="115" t="str">
        <f>IFERROR(INDEX(Расходка[Наименование расходного материала],MATCH(Расходка[[#This Row],[№]],Поиск_расходки[Индекс10],0)),"")</f>
        <v>Guidezilla™ II 6F</v>
      </c>
      <c r="AB63" s="115" t="str">
        <f>IFERROR(INDEX(Расходка[Наименование расходного материала],MATCH(Расходка[[#This Row],[№]],Поиск_расходки[Индекс11],0)),"")</f>
        <v>Guidezilla™ II 6F</v>
      </c>
      <c r="AC63" s="115" t="str">
        <f>IFERROR(INDEX(Расходка[Наименование расходного материала],MATCH(Расходка[[#This Row],[№]],Поиск_расходки[Индекс12],0)),"")</f>
        <v>Guidezilla™ II 6F</v>
      </c>
      <c r="AD63" s="115" t="str">
        <f>IFERROR(INDEX(Расходка[Наименование расходного материала],MATCH(Расходка[[#This Row],[№]],Поиск_расходки[Индекс13],0)),"")</f>
        <v>Guidezilla™ II 6F</v>
      </c>
      <c r="AF63" s="4" t="s">
        <v>6</v>
      </c>
      <c r="AG63" s="4" t="s">
        <v>455</v>
      </c>
    </row>
    <row r="64" spans="1:33">
      <c r="A64">
        <v>63</v>
      </c>
      <c r="B64" t="s">
        <v>95</v>
      </c>
      <c r="C64" s="1" t="s">
        <v>343</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учёта'!$B$17,Расходка[[#This Row],[Наименование расходного материала]])),MAX($I$1:I63)+1,0)</f>
        <v>0</v>
      </c>
      <c r="J64" s="116">
        <f>IF(ISNUMBER(SEARCH('Карта учёта'!$B$18,Расходка[[#This Row],[Наименование расходного материала]])),MAX($J$1:J63)+1,0)</f>
        <v>0</v>
      </c>
      <c r="K64" s="116">
        <f>IF(ISNUMBER(SEARCH('Карта учёта'!$B$19,Расходка[[#This Row],[Наименование расходного материала]])),MAX($K$1:K63)+1,0)</f>
        <v>0</v>
      </c>
      <c r="L64" s="116">
        <f>IF(ISNUMBER(SEARCH('Карта учёта'!$B$20,Расходка[[#This Row],[Наименование расходного материала]])),MAX($L$1:L63)+1,0)</f>
        <v>0</v>
      </c>
      <c r="M64" s="116">
        <f>IF(ISNUMBER(SEARCH('Карта учёта'!$B$21,Расходка[[#This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
      </c>
      <c r="Y64" s="115" t="str">
        <f>IFERROR(INDEX(Расходка[Наименование расходного материала],MATCH(Расходка[[#This Row],[№]],Поиск_расходки[Индекс8],0)),"")</f>
        <v/>
      </c>
      <c r="Z64" s="115" t="str">
        <f>IFERROR(INDEX(Расходка[Наименование расходного материала],MATCH(Расходка[[#This Row],[№]],Поиск_расходки[Индекс9],0)),"")</f>
        <v>Telescope ™ II 6F</v>
      </c>
      <c r="AA64" s="115" t="str">
        <f>IFERROR(INDEX(Расходка[Наименование расходного материала],MATCH(Расходка[[#This Row],[№]],Поиск_расходки[Индекс10],0)),"")</f>
        <v>Telescope ™ II 6F</v>
      </c>
      <c r="AB64" s="115" t="str">
        <f>IFERROR(INDEX(Расходка[Наименование расходного материала],MATCH(Расходка[[#This Row],[№]],Поиск_расходки[Индекс11],0)),"")</f>
        <v>Telescope ™ II 6F</v>
      </c>
      <c r="AC64" s="115" t="str">
        <f>IFERROR(INDEX(Расходка[Наименование расходного материала],MATCH(Расходка[[#This Row],[№]],Поиск_расходки[Индекс12],0)),"")</f>
        <v>Telescope ™ II 6F</v>
      </c>
      <c r="AD64" s="115" t="str">
        <f>IFERROR(INDEX(Расходка[Наименование расходного материала],MATCH(Расходка[[#This Row],[№]],Поиск_расходки[Индекс13],0)),"")</f>
        <v>Telescope ™ II 6F</v>
      </c>
      <c r="AF64" s="4" t="s">
        <v>6</v>
      </c>
      <c r="AG64" s="4" t="s">
        <v>456</v>
      </c>
    </row>
    <row r="65" spans="1:33">
      <c r="A65">
        <v>64</v>
      </c>
      <c r="B65" t="s">
        <v>4</v>
      </c>
      <c r="C65" t="s">
        <v>350</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учёта'!$B$17,Расходка[[#This Row],[Наименование расходного материала]])),MAX($I$1:I64)+1,0)</f>
        <v>0</v>
      </c>
      <c r="J65" s="116">
        <f>IF(ISNUMBER(SEARCH('Карта учёта'!$B$18,Расходка[[#This Row],[Наименование расходного материала]])),MAX($J$1:J64)+1,0)</f>
        <v>0</v>
      </c>
      <c r="K65" s="116">
        <f>IF(ISNUMBER(SEARCH('Карта учёта'!$B$19,Расходка[[#This Row],[Наименование расходного материала]])),MAX($K$1:K64)+1,0)</f>
        <v>0</v>
      </c>
      <c r="L65" s="116">
        <f>IF(ISNUMBER(SEARCH('Карта учёта'!$B$20,Расходка[[#This Row],[Наименование расходного материала]])),MAX($L$1:L64)+1,0)</f>
        <v>0</v>
      </c>
      <c r="M65" s="116">
        <f>IF(ISNUMBER(SEARCH('Карта учёта'!$B$21,Расходка[[#This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
      </c>
      <c r="Y65" s="115" t="str">
        <f>IFERROR(INDEX(Расходка[Наименование расходного материала],MATCH(Расходка[[#This Row],[№]],Поиск_расходки[Индекс8],0)),"")</f>
        <v/>
      </c>
      <c r="Z65" s="115" t="str">
        <f>IFERROR(INDEX(Расходка[Наименование расходного материала],MATCH(Расходка[[#This Row],[№]],Поиск_расходки[Индекс9],0)),"")</f>
        <v>Launcher 6F AL 1</v>
      </c>
      <c r="AA65" s="115" t="str">
        <f>IFERROR(INDEX(Расходка[Наименование расходного материала],MATCH(Расходка[[#This Row],[№]],Поиск_расходки[Индекс10],0)),"")</f>
        <v>Launcher 6F AL 1</v>
      </c>
      <c r="AB65" s="115" t="str">
        <f>IFERROR(INDEX(Расходка[Наименование расходного материала],MATCH(Расходка[[#This Row],[№]],Поиск_расходки[Индекс11],0)),"")</f>
        <v>Launcher 6F AL 1</v>
      </c>
      <c r="AC65" s="115" t="str">
        <f>IFERROR(INDEX(Расходка[Наименование расходного материала],MATCH(Расходка[[#This Row],[№]],Поиск_расходки[Индекс12],0)),"")</f>
        <v>Launcher 6F AL 1</v>
      </c>
      <c r="AD65" s="115" t="str">
        <f>IFERROR(INDEX(Расходка[Наименование расходного материала],MATCH(Расходка[[#This Row],[№]],Поиск_расходки[Индекс13],0)),"")</f>
        <v>Launcher 6F AL 1</v>
      </c>
      <c r="AF65" s="4" t="s">
        <v>6</v>
      </c>
      <c r="AG65" s="4" t="s">
        <v>457</v>
      </c>
    </row>
    <row r="66" spans="1:33">
      <c r="A66">
        <v>65</v>
      </c>
      <c r="B66" t="s">
        <v>4</v>
      </c>
      <c r="C66" t="s">
        <v>351</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учёта'!$B$17,Расходка[[#This Row],[Наименование расходного материала]])),MAX($I$1:I65)+1,0)</f>
        <v>0</v>
      </c>
      <c r="J66" s="116">
        <f>IF(ISNUMBER(SEARCH('Карта учёта'!$B$18,Расходка[[#This Row],[Наименование расходного материала]])),MAX($J$1:J65)+1,0)</f>
        <v>0</v>
      </c>
      <c r="K66" s="116">
        <f>IF(ISNUMBER(SEARCH('Карта учёта'!$B$19,Расходка[[#This Row],[Наименование расходного материала]])),MAX($K$1:K65)+1,0)</f>
        <v>0</v>
      </c>
      <c r="L66" s="116">
        <f>IF(ISNUMBER(SEARCH('Карта учёта'!$B$20,Расходка[[#This Row],[Наименование расходного материала]])),MAX($L$1:L65)+1,0)</f>
        <v>0</v>
      </c>
      <c r="M66" s="116">
        <f>IF(ISNUMBER(SEARCH('Карта учёта'!$B$21,Расходка[[#This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
      </c>
      <c r="Y66" s="115" t="str">
        <f>IFERROR(INDEX(Расходка[Наименование расходного материала],MATCH(Расходка[[#This Row],[№]],Поиск_расходки[Индекс8],0)),"")</f>
        <v/>
      </c>
      <c r="Z66" s="115" t="str">
        <f>IFERROR(INDEX(Расходка[Наименование расходного материала],MATCH(Расходка[[#This Row],[№]],Поиск_расходки[Индекс9],0)),"")</f>
        <v>Launcher 6F AL 2</v>
      </c>
      <c r="AA66" s="115" t="str">
        <f>IFERROR(INDEX(Расходка[Наименование расходного материала],MATCH(Расходка[[#This Row],[№]],Поиск_расходки[Индекс10],0)),"")</f>
        <v>Launcher 6F AL 2</v>
      </c>
      <c r="AB66" s="115" t="str">
        <f>IFERROR(INDEX(Расходка[Наименование расходного материала],MATCH(Расходка[[#This Row],[№]],Поиск_расходки[Индекс11],0)),"")</f>
        <v>Launcher 6F AL 2</v>
      </c>
      <c r="AC66" s="115" t="str">
        <f>IFERROR(INDEX(Расходка[Наименование расходного материала],MATCH(Расходка[[#This Row],[№]],Поиск_расходки[Индекс12],0)),"")</f>
        <v>Launcher 6F AL 2</v>
      </c>
      <c r="AD66" s="115" t="str">
        <f>IFERROR(INDEX(Расходка[Наименование расходного материала],MATCH(Расходка[[#This Row],[№]],Поиск_расходки[Индекс13],0)),"")</f>
        <v>Launcher 6F AL 2</v>
      </c>
      <c r="AF66" s="4" t="s">
        <v>6</v>
      </c>
      <c r="AG66" s="4" t="s">
        <v>458</v>
      </c>
    </row>
    <row r="67" spans="1:33">
      <c r="A67">
        <v>66</v>
      </c>
      <c r="B67" t="s">
        <v>4</v>
      </c>
      <c r="C67" t="s">
        <v>325</v>
      </c>
      <c r="E67" s="197">
        <f>IF(ISNUMBER(SEARCH('Карта учёта'!$B$13,Расходка[[#This Row],[Наименование расходного материала]])),MAX($E$1:E66)+1,0)</f>
        <v>0</v>
      </c>
      <c r="F67" s="197">
        <f>IF(ISNUMBER(SEARCH('Карта учёта'!$B$14,Расходка[[#This Row],[Наименование расходного материала]])),MAX($F$1:F66)+1,0)</f>
        <v>0</v>
      </c>
      <c r="G67" s="197">
        <f>IF(ISNUMBER(SEARCH('Карта учёта'!$B$15,Расходка[[#This Row],[Наименование расходного материала]])),MAX($G$1:G66)+1,0)</f>
        <v>0</v>
      </c>
      <c r="H67" s="197">
        <f>IF(ISNUMBER(SEARCH('Карта учёта'!$B$16,Расходка[[#This Row],[Наименование расходного материала]])),MAX($H$1:H66)+1,0)</f>
        <v>0</v>
      </c>
      <c r="I67" s="197">
        <f>IF(ISNUMBER(SEARCH('Карта учёта'!$B$17,Расходка[[#This Row],[Наименование расходного материала]])),MAX($I$1:I66)+1,0)</f>
        <v>0</v>
      </c>
      <c r="J67" s="197">
        <f>IF(ISNUMBER(SEARCH('Карта учёта'!$B$18,Расходка[[#This Row],[Наименование расходного материала]])),MAX($J$1:J66)+1,0)</f>
        <v>0</v>
      </c>
      <c r="K67" s="197">
        <f>IF(ISNUMBER(SEARCH('Карта учёта'!$B$19,Расходка[[#This Row],[Наименование расходного материала]])),MAX($K$1:K66)+1,0)</f>
        <v>0</v>
      </c>
      <c r="L67" s="197">
        <f>IF(ISNUMBER(SEARCH('Карта учёта'!$B$20,Расходка[[#This Row],[Наименование расходного материала]])),MAX($L$1:L66)+1,0)</f>
        <v>1</v>
      </c>
      <c r="M67" s="197">
        <f>IF(ISNUMBER(SEARCH('Карта учёта'!$B$21,Расходка[[#This Row],[Наименование расходного материала]])),MAX($M$1:M66)+1,0)</f>
        <v>66</v>
      </c>
      <c r="N67" s="197">
        <f>IF(ISNUMBER(SEARCH('Карта учёта'!$B$22,Расходка[[#This Row],[Наименование расходного материала]])),MAX($N$1:N66)+1,0)</f>
        <v>66</v>
      </c>
      <c r="O67" s="197">
        <f>IF(ISNUMBER(SEARCH('Карта учёта'!$B$23,Расходка[[#This Row],[Наименование расходного материала]])),MAX($O$1:O66)+1,0)</f>
        <v>66</v>
      </c>
      <c r="P67" s="197">
        <f>IF(ISNUMBER(SEARCH('Карта учёта'!$B$24,Расходка[[#This Row],[Наименование расходного материала]])),MAX($P$1:P66)+1,0)</f>
        <v>66</v>
      </c>
      <c r="Q67" s="197">
        <f>IF(ISNUMBER(SEARCH('Карта учёта'!$B$25,Расходка[[#This Row],[Наименование расходного материала]])),MAX($Q$1:Q66)+1,0)</f>
        <v>66</v>
      </c>
      <c r="R67" s="198" t="str">
        <f>IFERROR(INDEX(Расходка[Наименование расходного материала],MATCH(Расходка[[#This Row],[№]],Поиск_расходки[Индекс1],0)),"")</f>
        <v/>
      </c>
      <c r="S67" s="198" t="str">
        <f>IFERROR(INDEX(Расходка[Наименование расходного материала],MATCH(Расходка[[#This Row],[№]],Поиск_расходки[Индекс2],0)),"")</f>
        <v/>
      </c>
      <c r="T67" s="198" t="str">
        <f>IFERROR(INDEX(Расходка[Наименование расходного материала],MATCH(Расходка[[#This Row],[№]],Поиск_расходки[Индекс3],0)),"")</f>
        <v/>
      </c>
      <c r="U67" s="198" t="str">
        <f>IFERROR(INDEX(Расходка[Наименование расходного материала],MATCH(Расходка[[#This Row],[№]],Поиск_расходки[Индекс4],0)),"")</f>
        <v/>
      </c>
      <c r="V67" s="198" t="str">
        <f>IFERROR(INDEX(Расходка[Наименование расходного материала],MATCH(Расходка[[#This Row],[№]],Поиск_расходки[Индекс5],0)),"")</f>
        <v/>
      </c>
      <c r="W67" s="198" t="str">
        <f>IFERROR(INDEX(Расходка[Наименование расходного материала],MATCH(Расходка[[#This Row],[№]],Поиск_расходки[Индекс6],0)),"")</f>
        <v/>
      </c>
      <c r="X67" s="198" t="str">
        <f>IFERROR(INDEX(Расходка[Наименование расходного материала],MATCH(Расходка[[#This Row],[№]],Поиск_расходки[Индекс7],0)),"")</f>
        <v/>
      </c>
      <c r="Y67" s="198" t="str">
        <f>IFERROR(INDEX(Расходка[Наименование расходного материала],MATCH(Расходка[[#This Row],[№]],Поиск_расходки[Индекс8],0)),"")</f>
        <v/>
      </c>
      <c r="Z67" s="198" t="str">
        <f>IFERROR(INDEX(Расходка[Наименование расходного материала],MATCH(Расходка[[#This Row],[№]],Поиск_расходки[Индекс9],0)),"")</f>
        <v>Launcher 6F EBU 3.5</v>
      </c>
      <c r="AA67" s="198" t="str">
        <f>IFERROR(INDEX(Расходка[Наименование расходного материала],MATCH(Расходка[[#This Row],[№]],Поиск_расходки[Индекс10],0)),"")</f>
        <v>Launcher 6F EBU 3.5</v>
      </c>
      <c r="AB67" s="198" t="str">
        <f>IFERROR(INDEX(Расходка[Наименование расходного материала],MATCH(Расходка[[#This Row],[№]],Поиск_расходки[Индекс11],0)),"")</f>
        <v>Launcher 6F EBU 3.5</v>
      </c>
      <c r="AC67" s="198" t="str">
        <f>IFERROR(INDEX(Расходка[Наименование расходного материала],MATCH(Расходка[[#This Row],[№]],Поиск_расходки[Индекс12],0)),"")</f>
        <v>Launcher 6F EBU 3.5</v>
      </c>
      <c r="AD67" s="198" t="str">
        <f>IFERROR(INDEX(Расходка[Наименование расходного материала],MATCH(Расходка[[#This Row],[№]],Поиск_расходки[Индекс13],0)),"")</f>
        <v>Launcher 6F EBU 3.5</v>
      </c>
      <c r="AF67" s="4" t="s">
        <v>6</v>
      </c>
      <c r="AG67" s="4" t="s">
        <v>459</v>
      </c>
    </row>
    <row r="68" spans="1:33">
      <c r="A68">
        <v>67</v>
      </c>
      <c r="B68" t="s">
        <v>4</v>
      </c>
      <c r="C68" t="s">
        <v>326</v>
      </c>
      <c r="E68" s="197">
        <f>IF(ISNUMBER(SEARCH('Карта учёта'!$B$13,Расходка[[#This Row],[Наименование расходного материала]])),MAX($E$1:E67)+1,0)</f>
        <v>0</v>
      </c>
      <c r="F68" s="197">
        <f>IF(ISNUMBER(SEARCH('Карта учёта'!$B$14,Расходка[[#This Row],[Наименование расходного материала]])),MAX($F$1:F67)+1,0)</f>
        <v>0</v>
      </c>
      <c r="G68" s="197">
        <f>IF(ISNUMBER(SEARCH('Карта учёта'!$B$15,Расходка[[#This Row],[Наименование расходного материала]])),MAX($G$1:G67)+1,0)</f>
        <v>0</v>
      </c>
      <c r="H68" s="197">
        <f>IF(ISNUMBER(SEARCH('Карта учёта'!$B$16,Расходка[[#This Row],[Наименование расходного материала]])),MAX($H$1:H67)+1,0)</f>
        <v>0</v>
      </c>
      <c r="I68" s="197">
        <f>IF(ISNUMBER(SEARCH('Карта учёта'!$B$17,Расходка[[#This Row],[Наименование расходного материала]])),MAX($I$1:I67)+1,0)</f>
        <v>0</v>
      </c>
      <c r="J68" s="197">
        <f>IF(ISNUMBER(SEARCH('Карта учёта'!$B$18,Расходка[[#This Row],[Наименование расходного материала]])),MAX($J$1:J67)+1,0)</f>
        <v>0</v>
      </c>
      <c r="K68" s="197">
        <f>IF(ISNUMBER(SEARCH('Карта учёта'!$B$19,Расходка[[#This Row],[Наименование расходного материала]])),MAX($K$1:K67)+1,0)</f>
        <v>0</v>
      </c>
      <c r="L68" s="197">
        <f>IF(ISNUMBER(SEARCH('Карта учёта'!$B$20,Расходка[[#This Row],[Наименование расходного материала]])),MAX($L$1:L67)+1,0)</f>
        <v>0</v>
      </c>
      <c r="M68" s="197">
        <f>IF(ISNUMBER(SEARCH('Карта учёта'!$B$21,Расходка[[#This Row],[Наименование расходного материала]])),MAX($M$1:M67)+1,0)</f>
        <v>67</v>
      </c>
      <c r="N68" s="197">
        <f>IF(ISNUMBER(SEARCH('Карта учёта'!$B$22,Расходка[[#This Row],[Наименование расходного материала]])),MAX($N$1:N67)+1,0)</f>
        <v>67</v>
      </c>
      <c r="O68" s="197">
        <f>IF(ISNUMBER(SEARCH('Карта учёта'!$B$23,Расходка[[#This Row],[Наименование расходного материала]])),MAX($O$1:O67)+1,0)</f>
        <v>67</v>
      </c>
      <c r="P68" s="197">
        <f>IF(ISNUMBER(SEARCH('Карта учёта'!$B$24,Расходка[[#This Row],[Наименование расходного материала]])),MAX($P$1:P67)+1,0)</f>
        <v>67</v>
      </c>
      <c r="Q68" s="197">
        <f>IF(ISNUMBER(SEARCH('Карта учёта'!$B$25,Расходка[[#This Row],[Наименование расходного материала]])),MAX($Q$1:Q67)+1,0)</f>
        <v>67</v>
      </c>
      <c r="R68" s="198" t="str">
        <f>IFERROR(INDEX(Расходка[Наименование расходного материала],MATCH(Расходка[[#This Row],[№]],Поиск_расходки[Индекс1],0)),"")</f>
        <v/>
      </c>
      <c r="S68" s="198" t="str">
        <f>IFERROR(INDEX(Расходка[Наименование расходного материала],MATCH(Расходка[[#This Row],[№]],Поиск_расходки[Индекс2],0)),"")</f>
        <v/>
      </c>
      <c r="T68" s="198" t="str">
        <f>IFERROR(INDEX(Расходка[Наименование расходного материала],MATCH(Расходка[[#This Row],[№]],Поиск_расходки[Индекс3],0)),"")</f>
        <v/>
      </c>
      <c r="U68" s="198" t="str">
        <f>IFERROR(INDEX(Расходка[Наименование расходного материала],MATCH(Расходка[[#This Row],[№]],Поиск_расходки[Индекс4],0)),"")</f>
        <v/>
      </c>
      <c r="V68" s="198" t="str">
        <f>IFERROR(INDEX(Расходка[Наименование расходного материала],MATCH(Расходка[[#This Row],[№]],Поиск_расходки[Индекс5],0)),"")</f>
        <v/>
      </c>
      <c r="W68" s="198" t="str">
        <f>IFERROR(INDEX(Расходка[Наименование расходного материала],MATCH(Расходка[[#This Row],[№]],Поиск_расходки[Индекс6],0)),"")</f>
        <v/>
      </c>
      <c r="X68" s="198" t="str">
        <f>IFERROR(INDEX(Расходка[Наименование расходного материала],MATCH(Расходка[[#This Row],[№]],Поиск_расходки[Индекс7],0)),"")</f>
        <v/>
      </c>
      <c r="Y68" s="198" t="str">
        <f>IFERROR(INDEX(Расходка[Наименование расходного материала],MATCH(Расходка[[#This Row],[№]],Поиск_расходки[Индекс8],0)),"")</f>
        <v/>
      </c>
      <c r="Z68" s="198" t="str">
        <f>IFERROR(INDEX(Расходка[Наименование расходного материала],MATCH(Расходка[[#This Row],[№]],Поиск_расходки[Индекс9],0)),"")</f>
        <v>Launcher 6F EBU 4.0</v>
      </c>
      <c r="AA68" s="198" t="str">
        <f>IFERROR(INDEX(Расходка[Наименование расходного материала],MATCH(Расходка[[#This Row],[№]],Поиск_расходки[Индекс10],0)),"")</f>
        <v>Launcher 6F EBU 4.0</v>
      </c>
      <c r="AB68" s="198" t="str">
        <f>IFERROR(INDEX(Расходка[Наименование расходного материала],MATCH(Расходка[[#This Row],[№]],Поиск_расходки[Индекс11],0)),"")</f>
        <v>Launcher 6F EBU 4.0</v>
      </c>
      <c r="AC68" s="198" t="str">
        <f>IFERROR(INDEX(Расходка[Наименование расходного материала],MATCH(Расходка[[#This Row],[№]],Поиск_расходки[Индекс12],0)),"")</f>
        <v>Launcher 6F EBU 4.0</v>
      </c>
      <c r="AD68" s="198" t="str">
        <f>IFERROR(INDEX(Расходка[Наименование расходного материала],MATCH(Расходка[[#This Row],[№]],Поиск_расходки[Индекс13],0)),"")</f>
        <v>Launcher 6F EBU 4.0</v>
      </c>
      <c r="AF68" s="4" t="s">
        <v>6</v>
      </c>
      <c r="AG68" s="4" t="s">
        <v>460</v>
      </c>
    </row>
    <row r="69" spans="1:33">
      <c r="A69">
        <v>68</v>
      </c>
      <c r="B69" t="s">
        <v>4</v>
      </c>
      <c r="C69" t="s">
        <v>327</v>
      </c>
      <c r="E69" s="197">
        <f>IF(ISNUMBER(SEARCH('Карта учёта'!$B$13,Расходка[[#This Row],[Наименование расходного материала]])),MAX($E$1:E68)+1,0)</f>
        <v>0</v>
      </c>
      <c r="F69" s="197">
        <f>IF(ISNUMBER(SEARCH('Карта учёта'!$B$14,Расходка[[#This Row],[Наименование расходного материала]])),MAX($F$1:F68)+1,0)</f>
        <v>0</v>
      </c>
      <c r="G69" s="197">
        <f>IF(ISNUMBER(SEARCH('Карта учёта'!$B$15,Расходка[[#This Row],[Наименование расходного материала]])),MAX($G$1:G68)+1,0)</f>
        <v>0</v>
      </c>
      <c r="H69" s="197">
        <f>IF(ISNUMBER(SEARCH('Карта учёта'!$B$16,Расходка[[#This Row],[Наименование расходного материала]])),MAX($H$1:H68)+1,0)</f>
        <v>0</v>
      </c>
      <c r="I69" s="197">
        <f>IF(ISNUMBER(SEARCH('Карта учёта'!$B$17,Расходка[[#This Row],[Наименование расходного материала]])),MAX($I$1:I68)+1,0)</f>
        <v>0</v>
      </c>
      <c r="J69" s="197">
        <f>IF(ISNUMBER(SEARCH('Карта учёта'!$B$18,Расходка[[#This Row],[Наименование расходного материала]])),MAX($J$1:J68)+1,0)</f>
        <v>0</v>
      </c>
      <c r="K69" s="197">
        <f>IF(ISNUMBER(SEARCH('Карта учёта'!$B$19,Расходка[[#This Row],[Наименование расходного материала]])),MAX($K$1:K68)+1,0)</f>
        <v>0</v>
      </c>
      <c r="L69" s="197">
        <f>IF(ISNUMBER(SEARCH('Карта учёта'!$B$20,Расходка[[#This Row],[Наименование расходного материала]])),MAX($L$1:L68)+1,0)</f>
        <v>0</v>
      </c>
      <c r="M69" s="197">
        <f>IF(ISNUMBER(SEARCH('Карта учёта'!$B$21,Расходка[[#This Row],[Наименование расходного материала]])),MAX($M$1:M68)+1,0)</f>
        <v>68</v>
      </c>
      <c r="N69" s="197">
        <f>IF(ISNUMBER(SEARCH('Карта учёта'!$B$22,Расходка[[#This Row],[Наименование расходного материала]])),MAX($N$1:N68)+1,0)</f>
        <v>68</v>
      </c>
      <c r="O69" s="197">
        <f>IF(ISNUMBER(SEARCH('Карта учёта'!$B$23,Расходка[[#This Row],[Наименование расходного материала]])),MAX($O$1:O68)+1,0)</f>
        <v>68</v>
      </c>
      <c r="P69" s="197">
        <f>IF(ISNUMBER(SEARCH('Карта учёта'!$B$24,Расходка[[#This Row],[Наименование расходного материала]])),MAX($P$1:P68)+1,0)</f>
        <v>68</v>
      </c>
      <c r="Q69" s="197">
        <f>IF(ISNUMBER(SEARCH('Карта учёта'!$B$25,Расходка[[#This Row],[Наименование расходного материала]])),MAX($Q$1:Q68)+1,0)</f>
        <v>68</v>
      </c>
      <c r="R69" s="198" t="str">
        <f>IFERROR(INDEX(Расходка[Наименование расходного материала],MATCH(Расходка[[#This Row],[№]],Поиск_расходки[Индекс1],0)),"")</f>
        <v/>
      </c>
      <c r="S69" s="198" t="str">
        <f>IFERROR(INDEX(Расходка[Наименование расходного материала],MATCH(Расходка[[#This Row],[№]],Поиск_расходки[Индекс2],0)),"")</f>
        <v/>
      </c>
      <c r="T69" s="198" t="str">
        <f>IFERROR(INDEX(Расходка[Наименование расходного материала],MATCH(Расходка[[#This Row],[№]],Поиск_расходки[Индекс3],0)),"")</f>
        <v/>
      </c>
      <c r="U69" s="198" t="str">
        <f>IFERROR(INDEX(Расходка[Наименование расходного материала],MATCH(Расходка[[#This Row],[№]],Поиск_расходки[Индекс4],0)),"")</f>
        <v/>
      </c>
      <c r="V69" s="198" t="str">
        <f>IFERROR(INDEX(Расходка[Наименование расходного материала],MATCH(Расходка[[#This Row],[№]],Поиск_расходки[Индекс5],0)),"")</f>
        <v/>
      </c>
      <c r="W69" s="198" t="str">
        <f>IFERROR(INDEX(Расходка[Наименование расходного материала],MATCH(Расходка[[#This Row],[№]],Поиск_расходки[Индекс6],0)),"")</f>
        <v/>
      </c>
      <c r="X69" s="198" t="str">
        <f>IFERROR(INDEX(Расходка[Наименование расходного материала],MATCH(Расходка[[#This Row],[№]],Поиск_расходки[Индекс7],0)),"")</f>
        <v/>
      </c>
      <c r="Y69" s="198" t="str">
        <f>IFERROR(INDEX(Расходка[Наименование расходного материала],MATCH(Расходка[[#This Row],[№]],Поиск_расходки[Индекс8],0)),"")</f>
        <v/>
      </c>
      <c r="Z69" s="198" t="str">
        <f>IFERROR(INDEX(Расходка[Наименование расходного материала],MATCH(Расходка[[#This Row],[№]],Поиск_расходки[Индекс9],0)),"")</f>
        <v>Launcher 6F JL 3.5</v>
      </c>
      <c r="AA69" s="198" t="str">
        <f>IFERROR(INDEX(Расходка[Наименование расходного материала],MATCH(Расходка[[#This Row],[№]],Поиск_расходки[Индекс10],0)),"")</f>
        <v>Launcher 6F JL 3.5</v>
      </c>
      <c r="AB69" s="198" t="str">
        <f>IFERROR(INDEX(Расходка[Наименование расходного материала],MATCH(Расходка[[#This Row],[№]],Поиск_расходки[Индекс11],0)),"")</f>
        <v>Launcher 6F JL 3.5</v>
      </c>
      <c r="AC69" s="198" t="str">
        <f>IFERROR(INDEX(Расходка[Наименование расходного материала],MATCH(Расходка[[#This Row],[№]],Поиск_расходки[Индекс12],0)),"")</f>
        <v>Launcher 6F JL 3.5</v>
      </c>
      <c r="AD69" s="198" t="str">
        <f>IFERROR(INDEX(Расходка[Наименование расходного материала],MATCH(Расходка[[#This Row],[№]],Поиск_расходки[Индекс13],0)),"")</f>
        <v>Launcher 6F JL 3.5</v>
      </c>
      <c r="AF69" s="4" t="s">
        <v>6</v>
      </c>
      <c r="AG69" s="4" t="s">
        <v>461</v>
      </c>
    </row>
    <row r="70" spans="1:33">
      <c r="A70">
        <v>69</v>
      </c>
      <c r="B70" t="s">
        <v>4</v>
      </c>
      <c r="C70" t="s">
        <v>328</v>
      </c>
      <c r="E70" s="197">
        <f>IF(ISNUMBER(SEARCH('Карта учёта'!$B$13,Расходка[[#This Row],[Наименование расходного материала]])),MAX($E$1:E69)+1,0)</f>
        <v>0</v>
      </c>
      <c r="F70" s="197">
        <f>IF(ISNUMBER(SEARCH('Карта учёта'!$B$14,Расходка[[#This Row],[Наименование расходного материала]])),MAX($F$1:F69)+1,0)</f>
        <v>0</v>
      </c>
      <c r="G70" s="197">
        <f>IF(ISNUMBER(SEARCH('Карта учёта'!$B$15,Расходка[[#This Row],[Наименование расходного материала]])),MAX($G$1:G69)+1,0)</f>
        <v>0</v>
      </c>
      <c r="H70" s="197">
        <f>IF(ISNUMBER(SEARCH('Карта учёта'!$B$16,Расходка[[#This Row],[Наименование расходного материала]])),MAX($H$1:H69)+1,0)</f>
        <v>0</v>
      </c>
      <c r="I70" s="197">
        <f>IF(ISNUMBER(SEARCH('Карта учёта'!$B$17,Расходка[[#This Row],[Наименование расходного материала]])),MAX($I$1:I69)+1,0)</f>
        <v>0</v>
      </c>
      <c r="J70" s="197">
        <f>IF(ISNUMBER(SEARCH('Карта учёта'!$B$18,Расходка[[#This Row],[Наименование расходного материала]])),MAX($J$1:J69)+1,0)</f>
        <v>0</v>
      </c>
      <c r="K70" s="197">
        <f>IF(ISNUMBER(SEARCH('Карта учёта'!$B$19,Расходка[[#This Row],[Наименование расходного материала]])),MAX($K$1:K69)+1,0)</f>
        <v>0</v>
      </c>
      <c r="L70" s="197">
        <f>IF(ISNUMBER(SEARCH('Карта учёта'!$B$20,Расходка[[#This Row],[Наименование расходного материала]])),MAX($L$1:L69)+1,0)</f>
        <v>0</v>
      </c>
      <c r="M70" s="197">
        <f>IF(ISNUMBER(SEARCH('Карта учёта'!$B$21,Расходка[[#This Row],[Наименование расходного материала]])),MAX($M$1:M69)+1,0)</f>
        <v>69</v>
      </c>
      <c r="N70" s="197">
        <f>IF(ISNUMBER(SEARCH('Карта учёта'!$B$22,Расходка[[#This Row],[Наименование расходного материала]])),MAX($N$1:N69)+1,0)</f>
        <v>69</v>
      </c>
      <c r="O70" s="197">
        <f>IF(ISNUMBER(SEARCH('Карта учёта'!$B$23,Расходка[[#This Row],[Наименование расходного материала]])),MAX($O$1:O69)+1,0)</f>
        <v>69</v>
      </c>
      <c r="P70" s="197">
        <f>IF(ISNUMBER(SEARCH('Карта учёта'!$B$24,Расходка[[#This Row],[Наименование расходного материала]])),MAX($P$1:P69)+1,0)</f>
        <v>69</v>
      </c>
      <c r="Q70" s="197">
        <f>IF(ISNUMBER(SEARCH('Карта учёта'!$B$25,Расходка[[#This Row],[Наименование расходного материала]])),MAX($Q$1:Q69)+1,0)</f>
        <v>69</v>
      </c>
      <c r="R70" s="198" t="str">
        <f>IFERROR(INDEX(Расходка[Наименование расходного материала],MATCH(Расходка[[#This Row],[№]],Поиск_расходки[Индекс1],0)),"")</f>
        <v/>
      </c>
      <c r="S70" s="198" t="str">
        <f>IFERROR(INDEX(Расходка[Наименование расходного материала],MATCH(Расходка[[#This Row],[№]],Поиск_расходки[Индекс2],0)),"")</f>
        <v/>
      </c>
      <c r="T70" s="198" t="str">
        <f>IFERROR(INDEX(Расходка[Наименование расходного материала],MATCH(Расходка[[#This Row],[№]],Поиск_расходки[Индекс3],0)),"")</f>
        <v/>
      </c>
      <c r="U70" s="198" t="str">
        <f>IFERROR(INDEX(Расходка[Наименование расходного материала],MATCH(Расходка[[#This Row],[№]],Поиск_расходки[Индекс4],0)),"")</f>
        <v/>
      </c>
      <c r="V70" s="198" t="str">
        <f>IFERROR(INDEX(Расходка[Наименование расходного материала],MATCH(Расходка[[#This Row],[№]],Поиск_расходки[Индекс5],0)),"")</f>
        <v/>
      </c>
      <c r="W70" s="198" t="str">
        <f>IFERROR(INDEX(Расходка[Наименование расходного материала],MATCH(Расходка[[#This Row],[№]],Поиск_расходки[Индекс6],0)),"")</f>
        <v/>
      </c>
      <c r="X70" s="198" t="str">
        <f>IFERROR(INDEX(Расходка[Наименование расходного материала],MATCH(Расходка[[#This Row],[№]],Поиск_расходки[Индекс7],0)),"")</f>
        <v/>
      </c>
      <c r="Y70" s="198" t="str">
        <f>IFERROR(INDEX(Расходка[Наименование расходного материала],MATCH(Расходка[[#This Row],[№]],Поиск_расходки[Индекс8],0)),"")</f>
        <v/>
      </c>
      <c r="Z70" s="198" t="str">
        <f>IFERROR(INDEX(Расходка[Наименование расходного материала],MATCH(Расходка[[#This Row],[№]],Поиск_расходки[Индекс9],0)),"")</f>
        <v>Launcher 6F JL 4.0</v>
      </c>
      <c r="AA70" s="198" t="str">
        <f>IFERROR(INDEX(Расходка[Наименование расходного материала],MATCH(Расходка[[#This Row],[№]],Поиск_расходки[Индекс10],0)),"")</f>
        <v>Launcher 6F JL 4.0</v>
      </c>
      <c r="AB70" s="198" t="str">
        <f>IFERROR(INDEX(Расходка[Наименование расходного материала],MATCH(Расходка[[#This Row],[№]],Поиск_расходки[Индекс11],0)),"")</f>
        <v>Launcher 6F JL 4.0</v>
      </c>
      <c r="AC70" s="198" t="str">
        <f>IFERROR(INDEX(Расходка[Наименование расходного материала],MATCH(Расходка[[#This Row],[№]],Поиск_расходки[Индекс12],0)),"")</f>
        <v>Launcher 6F JL 4.0</v>
      </c>
      <c r="AD70" s="198" t="str">
        <f>IFERROR(INDEX(Расходка[Наименование расходного материала],MATCH(Расходка[[#This Row],[№]],Поиск_расходки[Индекс13],0)),"")</f>
        <v>Launcher 6F JL 4.0</v>
      </c>
      <c r="AF70" s="4" t="s">
        <v>6</v>
      </c>
      <c r="AG70" s="4" t="s">
        <v>462</v>
      </c>
    </row>
    <row r="71" spans="1:33">
      <c r="A71">
        <v>70</v>
      </c>
      <c r="B71" t="s">
        <v>4</v>
      </c>
      <c r="C71" t="s">
        <v>334</v>
      </c>
      <c r="E71" s="197">
        <f>IF(ISNUMBER(SEARCH('Карта учёта'!$B$13,Расходка[[#This Row],[Наименование расходного материала]])),MAX($E$1:E70)+1,0)</f>
        <v>0</v>
      </c>
      <c r="F71" s="197">
        <f>IF(ISNUMBER(SEARCH('Карта учёта'!$B$14,Расходка[[#This Row],[Наименование расходного материала]])),MAX($F$1:F70)+1,0)</f>
        <v>0</v>
      </c>
      <c r="G71" s="197">
        <f>IF(ISNUMBER(SEARCH('Карта учёта'!$B$15,Расходка[[#This Row],[Наименование расходного материала]])),MAX($G$1:G70)+1,0)</f>
        <v>0</v>
      </c>
      <c r="H71" s="197">
        <f>IF(ISNUMBER(SEARCH('Карта учёта'!$B$16,Расходка[[#This Row],[Наименование расходного материала]])),MAX($H$1:H70)+1,0)</f>
        <v>0</v>
      </c>
      <c r="I71" s="197">
        <f>IF(ISNUMBER(SEARCH('Карта учёта'!$B$17,Расходка[[#This Row],[Наименование расходного материала]])),MAX($I$1:I70)+1,0)</f>
        <v>0</v>
      </c>
      <c r="J71" s="197">
        <f>IF(ISNUMBER(SEARCH('Карта учёта'!$B$18,Расходка[[#This Row],[Наименование расходного материала]])),MAX($J$1:J70)+1,0)</f>
        <v>0</v>
      </c>
      <c r="K71" s="197">
        <f>IF(ISNUMBER(SEARCH('Карта учёта'!$B$19,Расходка[[#This Row],[Наименование расходного материала]])),MAX($K$1:K70)+1,0)</f>
        <v>0</v>
      </c>
      <c r="L71" s="197">
        <f>IF(ISNUMBER(SEARCH('Карта учёта'!$B$20,Расходка[[#This Row],[Наименование расходного материала]])),MAX($L$1:L70)+1,0)</f>
        <v>0</v>
      </c>
      <c r="M71" s="197">
        <f>IF(ISNUMBER(SEARCH('Карта учёта'!$B$21,Расходка[[#This Row],[Наименование расходного материала]])),MAX($M$1:M70)+1,0)</f>
        <v>70</v>
      </c>
      <c r="N71" s="197">
        <f>IF(ISNUMBER(SEARCH('Карта учёта'!$B$22,Расходка[[#This Row],[Наименование расходного материала]])),MAX($N$1:N70)+1,0)</f>
        <v>70</v>
      </c>
      <c r="O71" s="197">
        <f>IF(ISNUMBER(SEARCH('Карта учёта'!$B$23,Расходка[[#This Row],[Наименование расходного материала]])),MAX($O$1:O70)+1,0)</f>
        <v>70</v>
      </c>
      <c r="P71" s="197">
        <f>IF(ISNUMBER(SEARCH('Карта учёта'!$B$24,Расходка[[#This Row],[Наименование расходного материала]])),MAX($P$1:P70)+1,0)</f>
        <v>70</v>
      </c>
      <c r="Q71" s="197">
        <f>IF(ISNUMBER(SEARCH('Карта учёта'!$B$25,Расходка[[#This Row],[Наименование расходного материала]])),MAX($Q$1:Q70)+1,0)</f>
        <v>70</v>
      </c>
      <c r="R71" s="198" t="str">
        <f>IFERROR(INDEX(Расходка[Наименование расходного материала],MATCH(Расходка[[#This Row],[№]],Поиск_расходки[Индекс1],0)),"")</f>
        <v/>
      </c>
      <c r="S71" s="198" t="str">
        <f>IFERROR(INDEX(Расходка[Наименование расходного материала],MATCH(Расходка[[#This Row],[№]],Поиск_расходки[Индекс2],0)),"")</f>
        <v/>
      </c>
      <c r="T71" s="198" t="str">
        <f>IFERROR(INDEX(Расходка[Наименование расходного материала],MATCH(Расходка[[#This Row],[№]],Поиск_расходки[Индекс3],0)),"")</f>
        <v/>
      </c>
      <c r="U71" s="198" t="str">
        <f>IFERROR(INDEX(Расходка[Наименование расходного материала],MATCH(Расходка[[#This Row],[№]],Поиск_расходки[Индекс4],0)),"")</f>
        <v/>
      </c>
      <c r="V71" s="198" t="str">
        <f>IFERROR(INDEX(Расходка[Наименование расходного материала],MATCH(Расходка[[#This Row],[№]],Поиск_расходки[Индекс5],0)),"")</f>
        <v/>
      </c>
      <c r="W71" s="198" t="str">
        <f>IFERROR(INDEX(Расходка[Наименование расходного материала],MATCH(Расходка[[#This Row],[№]],Поиск_расходки[Индекс6],0)),"")</f>
        <v/>
      </c>
      <c r="X71" s="198" t="str">
        <f>IFERROR(INDEX(Расходка[Наименование расходного материала],MATCH(Расходка[[#This Row],[№]],Поиск_расходки[Индекс7],0)),"")</f>
        <v/>
      </c>
      <c r="Y71" s="198" t="str">
        <f>IFERROR(INDEX(Расходка[Наименование расходного материала],MATCH(Расходка[[#This Row],[№]],Поиск_расходки[Индекс8],0)),"")</f>
        <v/>
      </c>
      <c r="Z71" s="198" t="str">
        <f>IFERROR(INDEX(Расходка[Наименование расходного материала],MATCH(Расходка[[#This Row],[№]],Поиск_расходки[Индекс9],0)),"")</f>
        <v>Launcher 6F JL 4.5</v>
      </c>
      <c r="AA71" s="198" t="str">
        <f>IFERROR(INDEX(Расходка[Наименование расходного материала],MATCH(Расходка[[#This Row],[№]],Поиск_расходки[Индекс10],0)),"")</f>
        <v>Launcher 6F JL 4.5</v>
      </c>
      <c r="AB71" s="198" t="str">
        <f>IFERROR(INDEX(Расходка[Наименование расходного материала],MATCH(Расходка[[#This Row],[№]],Поиск_расходки[Индекс11],0)),"")</f>
        <v>Launcher 6F JL 4.5</v>
      </c>
      <c r="AC71" s="198" t="str">
        <f>IFERROR(INDEX(Расходка[Наименование расходного материала],MATCH(Расходка[[#This Row],[№]],Поиск_расходки[Индекс12],0)),"")</f>
        <v>Launcher 6F JL 4.5</v>
      </c>
      <c r="AD71" s="198" t="str">
        <f>IFERROR(INDEX(Расходка[Наименование расходного материала],MATCH(Расходка[[#This Row],[№]],Поиск_расходки[Индекс13],0)),"")</f>
        <v>Launcher 6F JL 4.5</v>
      </c>
      <c r="AF71" s="4" t="s">
        <v>6</v>
      </c>
      <c r="AG71" s="4" t="s">
        <v>417</v>
      </c>
    </row>
    <row r="72" spans="1:33">
      <c r="A72">
        <v>71</v>
      </c>
      <c r="B72" t="s">
        <v>4</v>
      </c>
      <c r="C72" t="s">
        <v>329</v>
      </c>
      <c r="E72" s="197">
        <f>IF(ISNUMBER(SEARCH('Карта учёта'!$B$13,Расходка[[#This Row],[Наименование расходного материала]])),MAX($E$1:E71)+1,0)</f>
        <v>0</v>
      </c>
      <c r="F72" s="197">
        <f>IF(ISNUMBER(SEARCH('Карта учёта'!$B$14,Расходка[[#This Row],[Наименование расходного материала]])),MAX($F$1:F71)+1,0)</f>
        <v>0</v>
      </c>
      <c r="G72" s="197">
        <f>IF(ISNUMBER(SEARCH('Карта учёта'!$B$15,Расходка[[#This Row],[Наименование расходного материала]])),MAX($G$1:G71)+1,0)</f>
        <v>0</v>
      </c>
      <c r="H72" s="197">
        <f>IF(ISNUMBER(SEARCH('Карта учёта'!$B$16,Расходка[[#This Row],[Наименование расходного материала]])),MAX($H$1:H71)+1,0)</f>
        <v>0</v>
      </c>
      <c r="I72" s="197">
        <f>IF(ISNUMBER(SEARCH('Карта учёта'!$B$17,Расходка[[#This Row],[Наименование расходного материала]])),MAX($I$1:I71)+1,0)</f>
        <v>0</v>
      </c>
      <c r="J72" s="197">
        <f>IF(ISNUMBER(SEARCH('Карта учёта'!$B$18,Расходка[[#This Row],[Наименование расходного материала]])),MAX($J$1:J71)+1,0)</f>
        <v>0</v>
      </c>
      <c r="K72" s="197">
        <f>IF(ISNUMBER(SEARCH('Карта учёта'!$B$19,Расходка[[#This Row],[Наименование расходного материала]])),MAX($K$1:K71)+1,0)</f>
        <v>0</v>
      </c>
      <c r="L72" s="197">
        <f>IF(ISNUMBER(SEARCH('Карта учёта'!$B$20,Расходка[[#This Row],[Наименование расходного материала]])),MAX($L$1:L71)+1,0)</f>
        <v>0</v>
      </c>
      <c r="M72" s="197">
        <f>IF(ISNUMBER(SEARCH('Карта учёта'!$B$21,Расходка[[#This Row],[Наименование расходного материала]])),MAX($M$1:M71)+1,0)</f>
        <v>71</v>
      </c>
      <c r="N72" s="197">
        <f>IF(ISNUMBER(SEARCH('Карта учёта'!$B$22,Расходка[[#This Row],[Наименование расходного материала]])),MAX($N$1:N71)+1,0)</f>
        <v>71</v>
      </c>
      <c r="O72" s="197">
        <f>IF(ISNUMBER(SEARCH('Карта учёта'!$B$23,Расходка[[#This Row],[Наименование расходного материала]])),MAX($O$1:O71)+1,0)</f>
        <v>71</v>
      </c>
      <c r="P72" s="197">
        <f>IF(ISNUMBER(SEARCH('Карта учёта'!$B$24,Расходка[[#This Row],[Наименование расходного материала]])),MAX($P$1:P71)+1,0)</f>
        <v>71</v>
      </c>
      <c r="Q72" s="197">
        <f>IF(ISNUMBER(SEARCH('Карта учёта'!$B$25,Расходка[[#This Row],[Наименование расходного материала]])),MAX($Q$1:Q71)+1,0)</f>
        <v>71</v>
      </c>
      <c r="R72" s="198" t="str">
        <f>IFERROR(INDEX(Расходка[Наименование расходного материала],MATCH(Расходка[[#This Row],[№]],Поиск_расходки[Индекс1],0)),"")</f>
        <v/>
      </c>
      <c r="S72" s="198" t="str">
        <f>IFERROR(INDEX(Расходка[Наименование расходного материала],MATCH(Расходка[[#This Row],[№]],Поиск_расходки[Индекс2],0)),"")</f>
        <v/>
      </c>
      <c r="T72" s="198" t="str">
        <f>IFERROR(INDEX(Расходка[Наименование расходного материала],MATCH(Расходка[[#This Row],[№]],Поиск_расходки[Индекс3],0)),"")</f>
        <v/>
      </c>
      <c r="U72" s="198" t="str">
        <f>IFERROR(INDEX(Расходка[Наименование расходного материала],MATCH(Расходка[[#This Row],[№]],Поиск_расходки[Индекс4],0)),"")</f>
        <v/>
      </c>
      <c r="V72" s="198" t="str">
        <f>IFERROR(INDEX(Расходка[Наименование расходного материала],MATCH(Расходка[[#This Row],[№]],Поиск_расходки[Индекс5],0)),"")</f>
        <v/>
      </c>
      <c r="W72" s="198" t="str">
        <f>IFERROR(INDEX(Расходка[Наименование расходного материала],MATCH(Расходка[[#This Row],[№]],Поиск_расходки[Индекс6],0)),"")</f>
        <v/>
      </c>
      <c r="X72" s="198" t="str">
        <f>IFERROR(INDEX(Расходка[Наименование расходного материала],MATCH(Расходка[[#This Row],[№]],Поиск_расходки[Индекс7],0)),"")</f>
        <v/>
      </c>
      <c r="Y72" s="198" t="str">
        <f>IFERROR(INDEX(Расходка[Наименование расходного материала],MATCH(Расходка[[#This Row],[№]],Поиск_расходки[Индекс8],0)),"")</f>
        <v/>
      </c>
      <c r="Z72" s="198" t="str">
        <f>IFERROR(INDEX(Расходка[Наименование расходного материала],MATCH(Расходка[[#This Row],[№]],Поиск_расходки[Индекс9],0)),"")</f>
        <v>Launcher 6F JR 3.5</v>
      </c>
      <c r="AA72" s="198" t="str">
        <f>IFERROR(INDEX(Расходка[Наименование расходного материала],MATCH(Расходка[[#This Row],[№]],Поиск_расходки[Индекс10],0)),"")</f>
        <v>Launcher 6F JR 3.5</v>
      </c>
      <c r="AB72" s="198" t="str">
        <f>IFERROR(INDEX(Расходка[Наименование расходного материала],MATCH(Расходка[[#This Row],[№]],Поиск_расходки[Индекс11],0)),"")</f>
        <v>Launcher 6F JR 3.5</v>
      </c>
      <c r="AC72" s="198" t="str">
        <f>IFERROR(INDEX(Расходка[Наименование расходного материала],MATCH(Расходка[[#This Row],[№]],Поиск_расходки[Индекс12],0)),"")</f>
        <v>Launcher 6F JR 3.5</v>
      </c>
      <c r="AD72" s="198" t="str">
        <f>IFERROR(INDEX(Расходка[Наименование расходного материала],MATCH(Расходка[[#This Row],[№]],Поиск_расходки[Индекс13],0)),"")</f>
        <v>Launcher 6F JR 3.5</v>
      </c>
      <c r="AF72" s="4" t="s">
        <v>6</v>
      </c>
      <c r="AG72" s="4" t="s">
        <v>463</v>
      </c>
    </row>
    <row r="73" spans="1:33">
      <c r="A73">
        <v>72</v>
      </c>
      <c r="B73" t="s">
        <v>4</v>
      </c>
      <c r="C73" t="s">
        <v>330</v>
      </c>
      <c r="E73" s="197">
        <f>IF(ISNUMBER(SEARCH('Карта учёта'!$B$13,Расходка[[#This Row],[Наименование расходного материала]])),MAX($E$1:E72)+1,0)</f>
        <v>0</v>
      </c>
      <c r="F73" s="197">
        <f>IF(ISNUMBER(SEARCH('Карта учёта'!$B$14,Расходка[[#This Row],[Наименование расходного материала]])),MAX($F$1:F72)+1,0)</f>
        <v>0</v>
      </c>
      <c r="G73" s="197">
        <f>IF(ISNUMBER(SEARCH('Карта учёта'!$B$15,Расходка[[#This Row],[Наименование расходного материала]])),MAX($G$1:G72)+1,0)</f>
        <v>0</v>
      </c>
      <c r="H73" s="197">
        <f>IF(ISNUMBER(SEARCH('Карта учёта'!$B$16,Расходка[[#This Row],[Наименование расходного материала]])),MAX($H$1:H72)+1,0)</f>
        <v>0</v>
      </c>
      <c r="I73" s="197">
        <f>IF(ISNUMBER(SEARCH('Карта учёта'!$B$17,Расходка[[#This Row],[Наименование расходного материала]])),MAX($I$1:I72)+1,0)</f>
        <v>0</v>
      </c>
      <c r="J73" s="197">
        <f>IF(ISNUMBER(SEARCH('Карта учёта'!$B$18,Расходка[[#This Row],[Наименование расходного материала]])),MAX($J$1:J72)+1,0)</f>
        <v>0</v>
      </c>
      <c r="K73" s="197">
        <f>IF(ISNUMBER(SEARCH('Карта учёта'!$B$19,Расходка[[#This Row],[Наименование расходного материала]])),MAX($K$1:K72)+1,0)</f>
        <v>0</v>
      </c>
      <c r="L73" s="197">
        <f>IF(ISNUMBER(SEARCH('Карта учёта'!$B$20,Расходка[[#This Row],[Наименование расходного материала]])),MAX($L$1:L72)+1,0)</f>
        <v>0</v>
      </c>
      <c r="M73" s="197">
        <f>IF(ISNUMBER(SEARCH('Карта учёта'!$B$21,Расходка[[#This Row],[Наименование расходного материала]])),MAX($M$1:M72)+1,0)</f>
        <v>72</v>
      </c>
      <c r="N73" s="197">
        <f>IF(ISNUMBER(SEARCH('Карта учёта'!$B$22,Расходка[[#This Row],[Наименование расходного материала]])),MAX($N$1:N72)+1,0)</f>
        <v>72</v>
      </c>
      <c r="O73" s="197">
        <f>IF(ISNUMBER(SEARCH('Карта учёта'!$B$23,Расходка[[#This Row],[Наименование расходного материала]])),MAX($O$1:O72)+1,0)</f>
        <v>72</v>
      </c>
      <c r="P73" s="197">
        <f>IF(ISNUMBER(SEARCH('Карта учёта'!$B$24,Расходка[[#This Row],[Наименование расходного материала]])),MAX($P$1:P72)+1,0)</f>
        <v>72</v>
      </c>
      <c r="Q73" s="197">
        <f>IF(ISNUMBER(SEARCH('Карта учёта'!$B$25,Расходка[[#This Row],[Наименование расходного материала]])),MAX($Q$1:Q72)+1,0)</f>
        <v>72</v>
      </c>
      <c r="R73" s="198" t="str">
        <f>IFERROR(INDEX(Расходка[Наименование расходного материала],MATCH(Расходка[[#This Row],[№]],Поиск_расходки[Индекс1],0)),"")</f>
        <v/>
      </c>
      <c r="S73" s="198" t="str">
        <f>IFERROR(INDEX(Расходка[Наименование расходного материала],MATCH(Расходка[[#This Row],[№]],Поиск_расходки[Индекс2],0)),"")</f>
        <v/>
      </c>
      <c r="T73" s="198" t="str">
        <f>IFERROR(INDEX(Расходка[Наименование расходного материала],MATCH(Расходка[[#This Row],[№]],Поиск_расходки[Индекс3],0)),"")</f>
        <v/>
      </c>
      <c r="U73" s="198" t="str">
        <f>IFERROR(INDEX(Расходка[Наименование расходного материала],MATCH(Расходка[[#This Row],[№]],Поиск_расходки[Индекс4],0)),"")</f>
        <v/>
      </c>
      <c r="V73" s="198" t="str">
        <f>IFERROR(INDEX(Расходка[Наименование расходного материала],MATCH(Расходка[[#This Row],[№]],Поиск_расходки[Индекс5],0)),"")</f>
        <v/>
      </c>
      <c r="W73" s="198" t="str">
        <f>IFERROR(INDEX(Расходка[Наименование расходного материала],MATCH(Расходка[[#This Row],[№]],Поиск_расходки[Индекс6],0)),"")</f>
        <v/>
      </c>
      <c r="X73" s="198" t="str">
        <f>IFERROR(INDEX(Расходка[Наименование расходного материала],MATCH(Расходка[[#This Row],[№]],Поиск_расходки[Индекс7],0)),"")</f>
        <v/>
      </c>
      <c r="Y73" s="198" t="str">
        <f>IFERROR(INDEX(Расходка[Наименование расходного материала],MATCH(Расходка[[#This Row],[№]],Поиск_расходки[Индекс8],0)),"")</f>
        <v/>
      </c>
      <c r="Z73" s="198" t="str">
        <f>IFERROR(INDEX(Расходка[Наименование расходного материала],MATCH(Расходка[[#This Row],[№]],Поиск_расходки[Индекс9],0)),"")</f>
        <v>Launcher 6F JR 4.0</v>
      </c>
      <c r="AA73" s="198" t="str">
        <f>IFERROR(INDEX(Расходка[Наименование расходного материала],MATCH(Расходка[[#This Row],[№]],Поиск_расходки[Индекс10],0)),"")</f>
        <v>Launcher 6F JR 4.0</v>
      </c>
      <c r="AB73" s="198" t="str">
        <f>IFERROR(INDEX(Расходка[Наименование расходного материала],MATCH(Расходка[[#This Row],[№]],Поиск_расходки[Индекс11],0)),"")</f>
        <v>Launcher 6F JR 4.0</v>
      </c>
      <c r="AC73" s="198" t="str">
        <f>IFERROR(INDEX(Расходка[Наименование расходного материала],MATCH(Расходка[[#This Row],[№]],Поиск_расходки[Индекс12],0)),"")</f>
        <v>Launcher 6F JR 4.0</v>
      </c>
      <c r="AD73" s="198" t="str">
        <f>IFERROR(INDEX(Расходка[Наименование расходного материала],MATCH(Расходка[[#This Row],[№]],Поиск_расходки[Индекс13],0)),"")</f>
        <v>Launcher 6F JR 4.0</v>
      </c>
      <c r="AF73" s="4" t="s">
        <v>6</v>
      </c>
      <c r="AG73" s="4" t="s">
        <v>418</v>
      </c>
    </row>
    <row r="74" spans="1:33">
      <c r="A74">
        <v>73</v>
      </c>
      <c r="B74" t="s">
        <v>4</v>
      </c>
      <c r="C74" t="s">
        <v>340</v>
      </c>
      <c r="E74" s="197">
        <f>IF(ISNUMBER(SEARCH('Карта учёта'!$B$13,Расходка[[#This Row],[Наименование расходного материала]])),MAX($E$1:E73)+1,0)</f>
        <v>0</v>
      </c>
      <c r="F74" s="197">
        <f>IF(ISNUMBER(SEARCH('Карта учёта'!$B$14,Расходка[[#This Row],[Наименование расходного материала]])),MAX($F$1:F73)+1,0)</f>
        <v>0</v>
      </c>
      <c r="G74" s="197">
        <f>IF(ISNUMBER(SEARCH('Карта учёта'!$B$15,Расходка[[#This Row],[Наименование расходного материала]])),MAX($G$1:G73)+1,0)</f>
        <v>0</v>
      </c>
      <c r="H74" s="197">
        <f>IF(ISNUMBER(SEARCH('Карта учёта'!$B$16,Расходка[[#This Row],[Наименование расходного материала]])),MAX($H$1:H73)+1,0)</f>
        <v>0</v>
      </c>
      <c r="I74" s="197">
        <f>IF(ISNUMBER(SEARCH('Карта учёта'!$B$17,Расходка[[#This Row],[Наименование расходного материала]])),MAX($I$1:I73)+1,0)</f>
        <v>0</v>
      </c>
      <c r="J74" s="197">
        <f>IF(ISNUMBER(SEARCH('Карта учёта'!$B$18,Расходка[[#This Row],[Наименование расходного материала]])),MAX($J$1:J73)+1,0)</f>
        <v>0</v>
      </c>
      <c r="K74" s="197">
        <f>IF(ISNUMBER(SEARCH('Карта учёта'!$B$19,Расходка[[#This Row],[Наименование расходного материала]])),MAX($K$1:K73)+1,0)</f>
        <v>0</v>
      </c>
      <c r="L74" s="197">
        <f>IF(ISNUMBER(SEARCH('Карта учёта'!$B$20,Расходка[[#This Row],[Наименование расходного материала]])),MAX($L$1:L73)+1,0)</f>
        <v>0</v>
      </c>
      <c r="M74" s="197">
        <f>IF(ISNUMBER(SEARCH('Карта учёта'!$B$21,Расходка[[#This Row],[Наименование расходного материала]])),MAX($M$1:M73)+1,0)</f>
        <v>73</v>
      </c>
      <c r="N74" s="197">
        <f>IF(ISNUMBER(SEARCH('Карта учёта'!$B$22,Расходка[[#This Row],[Наименование расходного материала]])),MAX($N$1:N73)+1,0)</f>
        <v>73</v>
      </c>
      <c r="O74" s="197">
        <f>IF(ISNUMBER(SEARCH('Карта учёта'!$B$23,Расходка[[#This Row],[Наименование расходного материала]])),MAX($O$1:O73)+1,0)</f>
        <v>73</v>
      </c>
      <c r="P74" s="197">
        <f>IF(ISNUMBER(SEARCH('Карта учёта'!$B$24,Расходка[[#This Row],[Наименование расходного материала]])),MAX($P$1:P73)+1,0)</f>
        <v>73</v>
      </c>
      <c r="Q74" s="197">
        <f>IF(ISNUMBER(SEARCH('Карта учёта'!$B$25,Расходка[[#This Row],[Наименование расходного материала]])),MAX($Q$1:Q73)+1,0)</f>
        <v>73</v>
      </c>
      <c r="R74" s="198" t="str">
        <f>IFERROR(INDEX(Расходка[Наименование расходного материала],MATCH(Расходка[[#This Row],[№]],Поиск_расходки[Индекс1],0)),"")</f>
        <v/>
      </c>
      <c r="S74" s="198" t="str">
        <f>IFERROR(INDEX(Расходка[Наименование расходного материала],MATCH(Расходка[[#This Row],[№]],Поиск_расходки[Индекс2],0)),"")</f>
        <v/>
      </c>
      <c r="T74" s="198" t="str">
        <f>IFERROR(INDEX(Расходка[Наименование расходного материала],MATCH(Расходка[[#This Row],[№]],Поиск_расходки[Индекс3],0)),"")</f>
        <v/>
      </c>
      <c r="U74" s="198" t="str">
        <f>IFERROR(INDEX(Расходка[Наименование расходного материала],MATCH(Расходка[[#This Row],[№]],Поиск_расходки[Индекс4],0)),"")</f>
        <v/>
      </c>
      <c r="V74" s="198" t="str">
        <f>IFERROR(INDEX(Расходка[Наименование расходного материала],MATCH(Расходка[[#This Row],[№]],Поиск_расходки[Индекс5],0)),"")</f>
        <v/>
      </c>
      <c r="W74" s="198" t="str">
        <f>IFERROR(INDEX(Расходка[Наименование расходного материала],MATCH(Расходка[[#This Row],[№]],Поиск_расходки[Индекс6],0)),"")</f>
        <v/>
      </c>
      <c r="X74" s="198" t="str">
        <f>IFERROR(INDEX(Расходка[Наименование расходного материала],MATCH(Расходка[[#This Row],[№]],Поиск_расходки[Индекс7],0)),"")</f>
        <v/>
      </c>
      <c r="Y74" s="198" t="str">
        <f>IFERROR(INDEX(Расходка[Наименование расходного материала],MATCH(Расходка[[#This Row],[№]],Поиск_расходки[Индекс8],0)),"")</f>
        <v/>
      </c>
      <c r="Z74" s="198" t="str">
        <f>IFERROR(INDEX(Расходка[Наименование расходного материала],MATCH(Расходка[[#This Row],[№]],Поиск_расходки[Индекс9],0)),"")</f>
        <v>Launcher 7F JL 3.5</v>
      </c>
      <c r="AA74" s="198" t="str">
        <f>IFERROR(INDEX(Расходка[Наименование расходного материала],MATCH(Расходка[[#This Row],[№]],Поиск_расходки[Индекс10],0)),"")</f>
        <v>Launcher 7F JL 3.5</v>
      </c>
      <c r="AB74" s="198" t="str">
        <f>IFERROR(INDEX(Расходка[Наименование расходного материала],MATCH(Расходка[[#This Row],[№]],Поиск_расходки[Индекс11],0)),"")</f>
        <v>Launcher 7F JL 3.5</v>
      </c>
      <c r="AC74" s="198" t="str">
        <f>IFERROR(INDEX(Расходка[Наименование расходного материала],MATCH(Расходка[[#This Row],[№]],Поиск_расходки[Индекс12],0)),"")</f>
        <v>Launcher 7F JL 3.5</v>
      </c>
      <c r="AD74" s="198" t="str">
        <f>IFERROR(INDEX(Расходка[Наименование расходного материала],MATCH(Расходка[[#This Row],[№]],Поиск_расходки[Индекс13],0)),"")</f>
        <v>Launcher 7F JL 3.5</v>
      </c>
      <c r="AF74" s="4" t="s">
        <v>6</v>
      </c>
      <c r="AG74" s="4" t="s">
        <v>464</v>
      </c>
    </row>
    <row r="75" spans="1:33">
      <c r="A75">
        <v>74</v>
      </c>
      <c r="B75" t="s">
        <v>4</v>
      </c>
      <c r="C75" t="s">
        <v>339</v>
      </c>
      <c r="E75" s="197">
        <f>IF(ISNUMBER(SEARCH('Карта учёта'!$B$13,Расходка[[#This Row],[Наименование расходного материала]])),MAX($E$1:E74)+1,0)</f>
        <v>0</v>
      </c>
      <c r="F75" s="197">
        <f>IF(ISNUMBER(SEARCH('Карта учёта'!$B$14,Расходка[[#This Row],[Наименование расходного материала]])),MAX($F$1:F74)+1,0)</f>
        <v>0</v>
      </c>
      <c r="G75" s="197">
        <f>IF(ISNUMBER(SEARCH('Карта учёта'!$B$15,Расходка[[#This Row],[Наименование расходного материала]])),MAX($G$1:G74)+1,0)</f>
        <v>0</v>
      </c>
      <c r="H75" s="197">
        <f>IF(ISNUMBER(SEARCH('Карта учёта'!$B$16,Расходка[[#This Row],[Наименование расходного материала]])),MAX($H$1:H74)+1,0)</f>
        <v>0</v>
      </c>
      <c r="I75" s="197">
        <f>IF(ISNUMBER(SEARCH('Карта учёта'!$B$17,Расходка[[#This Row],[Наименование расходного материала]])),MAX($I$1:I74)+1,0)</f>
        <v>0</v>
      </c>
      <c r="J75" s="197">
        <f>IF(ISNUMBER(SEARCH('Карта учёта'!$B$18,Расходка[[#This Row],[Наименование расходного материала]])),MAX($J$1:J74)+1,0)</f>
        <v>0</v>
      </c>
      <c r="K75" s="197">
        <f>IF(ISNUMBER(SEARCH('Карта учёта'!$B$19,Расходка[[#This Row],[Наименование расходного материала]])),MAX($K$1:K74)+1,0)</f>
        <v>0</v>
      </c>
      <c r="L75" s="197">
        <f>IF(ISNUMBER(SEARCH('Карта учёта'!$B$20,Расходка[[#This Row],[Наименование расходного материала]])),MAX($L$1:L74)+1,0)</f>
        <v>0</v>
      </c>
      <c r="M75" s="197">
        <f>IF(ISNUMBER(SEARCH('Карта учёта'!$B$21,Расходка[[#This Row],[Наименование расходного материала]])),MAX($M$1:M74)+1,0)</f>
        <v>74</v>
      </c>
      <c r="N75" s="197">
        <f>IF(ISNUMBER(SEARCH('Карта учёта'!$B$22,Расходка[[#This Row],[Наименование расходного материала]])),MAX($N$1:N74)+1,0)</f>
        <v>74</v>
      </c>
      <c r="O75" s="197">
        <f>IF(ISNUMBER(SEARCH('Карта учёта'!$B$23,Расходка[[#This Row],[Наименование расходного материала]])),MAX($O$1:O74)+1,0)</f>
        <v>74</v>
      </c>
      <c r="P75" s="197">
        <f>IF(ISNUMBER(SEARCH('Карта учёта'!$B$24,Расходка[[#This Row],[Наименование расходного материала]])),MAX($P$1:P74)+1,0)</f>
        <v>74</v>
      </c>
      <c r="Q75" s="197">
        <f>IF(ISNUMBER(SEARCH('Карта учёта'!$B$25,Расходка[[#This Row],[Наименование расходного материала]])),MAX($Q$1:Q74)+1,0)</f>
        <v>74</v>
      </c>
      <c r="R75" s="198" t="str">
        <f>IFERROR(INDEX(Расходка[Наименование расходного материала],MATCH(Расходка[[#This Row],[№]],Поиск_расходки[Индекс1],0)),"")</f>
        <v/>
      </c>
      <c r="S75" s="198" t="str">
        <f>IFERROR(INDEX(Расходка[Наименование расходного материала],MATCH(Расходка[[#This Row],[№]],Поиск_расходки[Индекс2],0)),"")</f>
        <v/>
      </c>
      <c r="T75" s="198" t="str">
        <f>IFERROR(INDEX(Расходка[Наименование расходного материала],MATCH(Расходка[[#This Row],[№]],Поиск_расходки[Индекс3],0)),"")</f>
        <v/>
      </c>
      <c r="U75" s="198" t="str">
        <f>IFERROR(INDEX(Расходка[Наименование расходного материала],MATCH(Расходка[[#This Row],[№]],Поиск_расходки[Индекс4],0)),"")</f>
        <v/>
      </c>
      <c r="V75" s="198" t="str">
        <f>IFERROR(INDEX(Расходка[Наименование расходного материала],MATCH(Расходка[[#This Row],[№]],Поиск_расходки[Индекс5],0)),"")</f>
        <v/>
      </c>
      <c r="W75" s="198" t="str">
        <f>IFERROR(INDEX(Расходка[Наименование расходного материала],MATCH(Расходка[[#This Row],[№]],Поиск_расходки[Индекс6],0)),"")</f>
        <v/>
      </c>
      <c r="X75" s="198" t="str">
        <f>IFERROR(INDEX(Расходка[Наименование расходного материала],MATCH(Расходка[[#This Row],[№]],Поиск_расходки[Индекс7],0)),"")</f>
        <v/>
      </c>
      <c r="Y75" s="198" t="str">
        <f>IFERROR(INDEX(Расходка[Наименование расходного материала],MATCH(Расходка[[#This Row],[№]],Поиск_расходки[Индекс8],0)),"")</f>
        <v/>
      </c>
      <c r="Z75" s="198" t="str">
        <f>IFERROR(INDEX(Расходка[Наименование расходного материала],MATCH(Расходка[[#This Row],[№]],Поиск_расходки[Индекс9],0)),"")</f>
        <v>Launcher 7F JL 4.0</v>
      </c>
      <c r="AA75" s="198" t="str">
        <f>IFERROR(INDEX(Расходка[Наименование расходного материала],MATCH(Расходка[[#This Row],[№]],Поиск_расходки[Индекс10],0)),"")</f>
        <v>Launcher 7F JL 4.0</v>
      </c>
      <c r="AB75" s="198" t="str">
        <f>IFERROR(INDEX(Расходка[Наименование расходного материала],MATCH(Расходка[[#This Row],[№]],Поиск_расходки[Индекс11],0)),"")</f>
        <v>Launcher 7F JL 4.0</v>
      </c>
      <c r="AC75" s="198" t="str">
        <f>IFERROR(INDEX(Расходка[Наименование расходного материала],MATCH(Расходка[[#This Row],[№]],Поиск_расходки[Индекс12],0)),"")</f>
        <v>Launcher 7F JL 4.0</v>
      </c>
      <c r="AD75" s="198" t="str">
        <f>IFERROR(INDEX(Расходка[Наименование расходного материала],MATCH(Расходка[[#This Row],[№]],Поиск_расходки[Индекс13],0)),"")</f>
        <v>Launcher 7F JL 4.0</v>
      </c>
      <c r="AF75" s="4" t="s">
        <v>6</v>
      </c>
      <c r="AG75" s="4" t="s">
        <v>465</v>
      </c>
    </row>
    <row r="76" spans="1:33">
      <c r="A76">
        <v>75</v>
      </c>
      <c r="B76" t="s">
        <v>301</v>
      </c>
      <c r="C76" s="1" t="s">
        <v>331</v>
      </c>
      <c r="E76" s="197">
        <f>IF(ISNUMBER(SEARCH('Карта учёта'!$B$13,Расходка[[#This Row],[Наименование расходного материала]])),MAX($E$1:E75)+1,0)</f>
        <v>0</v>
      </c>
      <c r="F76" s="197">
        <f>IF(ISNUMBER(SEARCH('Карта учёта'!$B$14,Расходка[[#This Row],[Наименование расходного материала]])),MAX($F$1:F75)+1,0)</f>
        <v>0</v>
      </c>
      <c r="G76" s="197">
        <f>IF(ISNUMBER(SEARCH('Карта учёта'!$B$15,Расходка[[#This Row],[Наименование расходного материала]])),MAX($G$1:G75)+1,0)</f>
        <v>0</v>
      </c>
      <c r="H76" s="197">
        <f>IF(ISNUMBER(SEARCH('Карта учёта'!$B$16,Расходка[[#This Row],[Наименование расходного материала]])),MAX($H$1:H75)+1,0)</f>
        <v>0</v>
      </c>
      <c r="I76" s="197">
        <f>IF(ISNUMBER(SEARCH('Карта учёта'!$B$17,Расходка[[#This Row],[Наименование расходного материала]])),MAX($I$1:I75)+1,0)</f>
        <v>0</v>
      </c>
      <c r="J76" s="197">
        <f>IF(ISNUMBER(SEARCH('Карта учёта'!$B$18,Расходка[[#This Row],[Наименование расходного материала]])),MAX($J$1:J75)+1,0)</f>
        <v>0</v>
      </c>
      <c r="K76" s="197">
        <f>IF(ISNUMBER(SEARCH('Карта учёта'!$B$19,Расходка[[#This Row],[Наименование расходного материала]])),MAX($K$1:K75)+1,0)</f>
        <v>1</v>
      </c>
      <c r="L76" s="197">
        <f>IF(ISNUMBER(SEARCH('Карта учёта'!$B$20,Расходка[[#This Row],[Наименование расходного материала]])),MAX($L$1:L75)+1,0)</f>
        <v>0</v>
      </c>
      <c r="M76" s="197">
        <f>IF(ISNUMBER(SEARCH('Карта учёта'!$B$21,Расходка[[#This Row],[Наименование расходного материала]])),MAX($M$1:M75)+1,0)</f>
        <v>75</v>
      </c>
      <c r="N76" s="197">
        <f>IF(ISNUMBER(SEARCH('Карта учёта'!$B$22,Расходка[[#This Row],[Наименование расходного материала]])),MAX($N$1:N75)+1,0)</f>
        <v>75</v>
      </c>
      <c r="O76" s="197">
        <f>IF(ISNUMBER(SEARCH('Карта учёта'!$B$23,Расходка[[#This Row],[Наименование расходного материала]])),MAX($O$1:O75)+1,0)</f>
        <v>75</v>
      </c>
      <c r="P76" s="197">
        <f>IF(ISNUMBER(SEARCH('Карта учёта'!$B$24,Расходка[[#This Row],[Наименование расходного материала]])),MAX($P$1:P75)+1,0)</f>
        <v>75</v>
      </c>
      <c r="Q76" s="197">
        <f>IF(ISNUMBER(SEARCH('Карта учёта'!$B$25,Расходка[[#This Row],[Наименование расходного материала]])),MAX($Q$1:Q75)+1,0)</f>
        <v>75</v>
      </c>
      <c r="R76" s="198" t="str">
        <f>IFERROR(INDEX(Расходка[Наименование расходного материала],MATCH(Расходка[[#This Row],[№]],Поиск_расходки[Индекс1],0)),"")</f>
        <v/>
      </c>
      <c r="S76" s="198" t="str">
        <f>IFERROR(INDEX(Расходка[Наименование расходного материала],MATCH(Расходка[[#This Row],[№]],Поиск_расходки[Индекс2],0)),"")</f>
        <v/>
      </c>
      <c r="T76" s="198" t="str">
        <f>IFERROR(INDEX(Расходка[Наименование расходного материала],MATCH(Расходка[[#This Row],[№]],Поиск_расходки[Индекс3],0)),"")</f>
        <v/>
      </c>
      <c r="U76" s="198" t="str">
        <f>IFERROR(INDEX(Расходка[Наименование расходного материала],MATCH(Расходка[[#This Row],[№]],Поиск_расходки[Индекс4],0)),"")</f>
        <v/>
      </c>
      <c r="V76" s="198" t="str">
        <f>IFERROR(INDEX(Расходка[Наименование расходного материала],MATCH(Расходка[[#This Row],[№]],Поиск_расходки[Индекс5],0)),"")</f>
        <v/>
      </c>
      <c r="W76" s="198" t="str">
        <f>IFERROR(INDEX(Расходка[Наименование расходного материала],MATCH(Расходка[[#This Row],[№]],Поиск_расходки[Индекс6],0)),"")</f>
        <v/>
      </c>
      <c r="X76" s="198" t="str">
        <f>IFERROR(INDEX(Расходка[Наименование расходного материала],MATCH(Расходка[[#This Row],[№]],Поиск_расходки[Индекс7],0)),"")</f>
        <v/>
      </c>
      <c r="Y76" s="198" t="str">
        <f>IFERROR(INDEX(Расходка[Наименование расходного материала],MATCH(Расходка[[#This Row],[№]],Поиск_расходки[Индекс8],0)),"")</f>
        <v/>
      </c>
      <c r="Z76" s="198" t="str">
        <f>IFERROR(INDEX(Расходка[Наименование расходного материала],MATCH(Расходка[[#This Row],[№]],Поиск_расходки[Индекс9],0)),"")</f>
        <v>Angio-Seal™ VIP</v>
      </c>
      <c r="AA76" s="198" t="str">
        <f>IFERROR(INDEX(Расходка[Наименование расходного материала],MATCH(Расходка[[#This Row],[№]],Поиск_расходки[Индекс10],0)),"")</f>
        <v>Angio-Seal™ VIP</v>
      </c>
      <c r="AB76" s="198" t="str">
        <f>IFERROR(INDEX(Расходка[Наименование расходного материала],MATCH(Расходка[[#This Row],[№]],Поиск_расходки[Индекс11],0)),"")</f>
        <v>Angio-Seal™ VIP</v>
      </c>
      <c r="AC76" s="198" t="str">
        <f>IFERROR(INDEX(Расходка[Наименование расходного материала],MATCH(Расходка[[#This Row],[№]],Поиск_расходки[Индекс12],0)),"")</f>
        <v>Angio-Seal™ VIP</v>
      </c>
      <c r="AD76" s="198" t="str">
        <f>IFERROR(INDEX(Расходка[Наименование расходного материала],MATCH(Расходка[[#This Row],[№]],Поиск_расходки[Индекс13],0)),"")</f>
        <v>Angio-Seal™ VIP</v>
      </c>
      <c r="AF76" s="4" t="s">
        <v>6</v>
      </c>
      <c r="AG76" s="4" t="s">
        <v>466</v>
      </c>
    </row>
    <row r="77" spans="1:33">
      <c r="E77" s="197">
        <f>IF(ISNUMBER(SEARCH('Карта учёта'!$B$13,Расходка[[#This Row],[Наименование расходного материала]])),MAX($E$1:E76)+1,0)</f>
        <v>0</v>
      </c>
      <c r="F77" s="197">
        <f>IF(ISNUMBER(SEARCH('Карта учёта'!$B$14,Расходка[[#This Row],[Наименование расходного материала]])),MAX($F$1:F76)+1,0)</f>
        <v>0</v>
      </c>
      <c r="G77" s="197">
        <f>IF(ISNUMBER(SEARCH('Карта учёта'!$B$15,Расходка[[#This Row],[Наименование расходного материала]])),MAX($G$1:G76)+1,0)</f>
        <v>0</v>
      </c>
      <c r="H77" s="197">
        <f>IF(ISNUMBER(SEARCH('Карта учёта'!$B$16,Расходка[[#This Row],[Наименование расходного материала]])),MAX($H$1:H76)+1,0)</f>
        <v>0</v>
      </c>
      <c r="I77" s="197">
        <f>IF(ISNUMBER(SEARCH('Карта учёта'!$B$17,Расходка[[#This Row],[Наименование расходного материала]])),MAX($I$1:I76)+1,0)</f>
        <v>0</v>
      </c>
      <c r="J77" s="197">
        <f>IF(ISNUMBER(SEARCH('Карта учёта'!$B$18,Расходка[[#This Row],[Наименование расходного материала]])),MAX($J$1:J76)+1,0)</f>
        <v>0</v>
      </c>
      <c r="K77" s="197">
        <f>IF(ISNUMBER(SEARCH('Карта учёта'!$B$19,Расходка[[#This Row],[Наименование расходного материала]])),MAX($K$1:K76)+1,0)</f>
        <v>0</v>
      </c>
      <c r="L77" s="197">
        <f>IF(ISNUMBER(SEARCH('Карта учёта'!$B$20,Расходка[[#This Row],[Наименование расходного материала]])),MAX($L$1:L76)+1,0)</f>
        <v>0</v>
      </c>
      <c r="M77" s="197">
        <f>IF(ISNUMBER(SEARCH('Карта учёта'!$B$21,Расходка[[#This Row],[Наименование расходного материала]])),MAX($M$1:M76)+1,0)</f>
        <v>0</v>
      </c>
      <c r="N77" s="197">
        <f>IF(ISNUMBER(SEARCH('Карта учёта'!$B$22,Расходка[[#This Row],[Наименование расходного материала]])),MAX($N$1:N76)+1,0)</f>
        <v>0</v>
      </c>
      <c r="O77" s="197">
        <f>IF(ISNUMBER(SEARCH('Карта учёта'!$B$23,Расходка[[#This Row],[Наименование расходного материала]])),MAX($O$1:O76)+1,0)</f>
        <v>0</v>
      </c>
      <c r="P77" s="197">
        <f>IF(ISNUMBER(SEARCH('Карта учёта'!$B$24,Расходка[[#This Row],[Наименование расходного материала]])),MAX($P$1:P76)+1,0)</f>
        <v>0</v>
      </c>
      <c r="Q77" s="197">
        <f>IF(ISNUMBER(SEARCH('Карта учёта'!$B$25,Расходка[[#This Row],[Наименование расходного материала]])),MAX($Q$1:Q76)+1,0)</f>
        <v>0</v>
      </c>
      <c r="R77" s="198" t="str">
        <f>IFERROR(INDEX(Расходка[Наименование расходного материала],MATCH(Расходка[[#This Row],[№]],Поиск_расходки[Индекс1],0)),"")</f>
        <v/>
      </c>
      <c r="S77" s="198" t="str">
        <f>IFERROR(INDEX(Расходка[Наименование расходного материала],MATCH(Расходка[[#This Row],[№]],Поиск_расходки[Индекс2],0)),"")</f>
        <v/>
      </c>
      <c r="T77" s="198" t="str">
        <f>IFERROR(INDEX(Расходка[Наименование расходного материала],MATCH(Расходка[[#This Row],[№]],Поиск_расходки[Индекс3],0)),"")</f>
        <v/>
      </c>
      <c r="U77" s="198" t="str">
        <f>IFERROR(INDEX(Расходка[Наименование расходного материала],MATCH(Расходка[[#This Row],[№]],Поиск_расходки[Индекс4],0)),"")</f>
        <v/>
      </c>
      <c r="V77" s="198" t="str">
        <f>IFERROR(INDEX(Расходка[Наименование расходного материала],MATCH(Расходка[[#This Row],[№]],Поиск_расходки[Индекс5],0)),"")</f>
        <v/>
      </c>
      <c r="W77" s="198" t="str">
        <f>IFERROR(INDEX(Расходка[Наименование расходного материала],MATCH(Расходка[[#This Row],[№]],Поиск_расходки[Индекс6],0)),"")</f>
        <v/>
      </c>
      <c r="X77" s="198" t="str">
        <f>IFERROR(INDEX(Расходка[Наименование расходного материала],MATCH(Расходка[[#This Row],[№]],Поиск_расходки[Индекс7],0)),"")</f>
        <v/>
      </c>
      <c r="Y77" s="198" t="str">
        <f>IFERROR(INDEX(Расходка[Наименование расходного материала],MATCH(Расходка[[#This Row],[№]],Поиск_расходки[Индекс8],0)),"")</f>
        <v/>
      </c>
      <c r="Z77" s="198" t="str">
        <f>IFERROR(INDEX(Расходка[Наименование расходного материала],MATCH(Расходка[[#This Row],[№]],Поиск_расходки[Индекс9],0)),"")</f>
        <v/>
      </c>
      <c r="AA77" s="198" t="str">
        <f>IFERROR(INDEX(Расходка[Наименование расходного материала],MATCH(Расходка[[#This Row],[№]],Поиск_расходки[Индекс10],0)),"")</f>
        <v/>
      </c>
      <c r="AB77" s="198" t="str">
        <f>IFERROR(INDEX(Расходка[Наименование расходного материала],MATCH(Расходка[[#This Row],[№]],Поиск_расходки[Индекс11],0)),"")</f>
        <v/>
      </c>
      <c r="AC77" s="198" t="str">
        <f>IFERROR(INDEX(Расходка[Наименование расходного материала],MATCH(Расходка[[#This Row],[№]],Поиск_расходки[Индекс12],0)),"")</f>
        <v/>
      </c>
      <c r="AD77" s="198" t="str">
        <f>IFERROR(INDEX(Расходка[Наименование расходного материала],MATCH(Расходка[[#This Row],[№]],Поиск_расходки[Индекс13],0)),"")</f>
        <v/>
      </c>
      <c r="AF77" s="4" t="s">
        <v>6</v>
      </c>
      <c r="AG77" s="4" t="s">
        <v>467</v>
      </c>
    </row>
    <row r="78" spans="1:33">
      <c r="E78" s="197">
        <f>IF(ISNUMBER(SEARCH('Карта учёта'!$B$13,Расходка[[#This Row],[Наименование расходного материала]])),MAX($E$1:E77)+1,0)</f>
        <v>0</v>
      </c>
      <c r="F78" s="197">
        <f>IF(ISNUMBER(SEARCH('Карта учёта'!$B$14,Расходка[[#This Row],[Наименование расходного материала]])),MAX($F$1:F77)+1,0)</f>
        <v>0</v>
      </c>
      <c r="G78" s="197">
        <f>IF(ISNUMBER(SEARCH('Карта учёта'!$B$15,Расходка[[#This Row],[Наименование расходного материала]])),MAX($G$1:G77)+1,0)</f>
        <v>0</v>
      </c>
      <c r="H78" s="197">
        <f>IF(ISNUMBER(SEARCH('Карта учёта'!$B$16,Расходка[[#This Row],[Наименование расходного материала]])),MAX($H$1:H77)+1,0)</f>
        <v>0</v>
      </c>
      <c r="I78" s="197">
        <f>IF(ISNUMBER(SEARCH('Карта учёта'!$B$17,Расходка[[#This Row],[Наименование расходного материала]])),MAX($I$1:I77)+1,0)</f>
        <v>0</v>
      </c>
      <c r="J78" s="197">
        <f>IF(ISNUMBER(SEARCH('Карта учёта'!$B$18,Расходка[[#This Row],[Наименование расходного материала]])),MAX($J$1:J77)+1,0)</f>
        <v>0</v>
      </c>
      <c r="K78" s="197">
        <f>IF(ISNUMBER(SEARCH('Карта учёта'!$B$19,Расходка[[#This Row],[Наименование расходного материала]])),MAX($K$1:K77)+1,0)</f>
        <v>0</v>
      </c>
      <c r="L78" s="197">
        <f>IF(ISNUMBER(SEARCH('Карта учёта'!$B$20,Расходка[[#This Row],[Наименование расходного материала]])),MAX($L$1:L77)+1,0)</f>
        <v>0</v>
      </c>
      <c r="M78" s="197">
        <f>IF(ISNUMBER(SEARCH('Карта учёта'!$B$21,Расходка[[#This Row],[Наименование расходного материала]])),MAX($M$1:M77)+1,0)</f>
        <v>0</v>
      </c>
      <c r="N78" s="197">
        <f>IF(ISNUMBER(SEARCH('Карта учёта'!$B$22,Расходка[[#This Row],[Наименование расходного материала]])),MAX($N$1:N77)+1,0)</f>
        <v>0</v>
      </c>
      <c r="O78" s="197">
        <f>IF(ISNUMBER(SEARCH('Карта учёта'!$B$23,Расходка[[#This Row],[Наименование расходного материала]])),MAX($O$1:O77)+1,0)</f>
        <v>0</v>
      </c>
      <c r="P78" s="197">
        <f>IF(ISNUMBER(SEARCH('Карта учёта'!$B$24,Расходка[[#This Row],[Наименование расходного материала]])),MAX($P$1:P77)+1,0)</f>
        <v>0</v>
      </c>
      <c r="Q78" s="197">
        <f>IF(ISNUMBER(SEARCH('Карта учёта'!$B$25,Расходка[[#This Row],[Наименование расходного материала]])),MAX($Q$1:Q77)+1,0)</f>
        <v>0</v>
      </c>
      <c r="R78" s="198" t="str">
        <f>IFERROR(INDEX(Расходка[Наименование расходного материала],MATCH(Расходка[[#This Row],[№]],Поиск_расходки[Индекс1],0)),"")</f>
        <v/>
      </c>
      <c r="S78" s="198" t="str">
        <f>IFERROR(INDEX(Расходка[Наименование расходного материала],MATCH(Расходка[[#This Row],[№]],Поиск_расходки[Индекс2],0)),"")</f>
        <v/>
      </c>
      <c r="T78" s="198" t="str">
        <f>IFERROR(INDEX(Расходка[Наименование расходного материала],MATCH(Расходка[[#This Row],[№]],Поиск_расходки[Индекс3],0)),"")</f>
        <v/>
      </c>
      <c r="U78" s="198" t="str">
        <f>IFERROR(INDEX(Расходка[Наименование расходного материала],MATCH(Расходка[[#This Row],[№]],Поиск_расходки[Индекс4],0)),"")</f>
        <v/>
      </c>
      <c r="V78" s="198" t="str">
        <f>IFERROR(INDEX(Расходка[Наименование расходного материала],MATCH(Расходка[[#This Row],[№]],Поиск_расходки[Индекс5],0)),"")</f>
        <v/>
      </c>
      <c r="W78" s="198" t="str">
        <f>IFERROR(INDEX(Расходка[Наименование расходного материала],MATCH(Расходка[[#This Row],[№]],Поиск_расходки[Индекс6],0)),"")</f>
        <v/>
      </c>
      <c r="X78" s="198" t="str">
        <f>IFERROR(INDEX(Расходка[Наименование расходного материала],MATCH(Расходка[[#This Row],[№]],Поиск_расходки[Индекс7],0)),"")</f>
        <v/>
      </c>
      <c r="Y78" s="198" t="str">
        <f>IFERROR(INDEX(Расходка[Наименование расходного материала],MATCH(Расходка[[#This Row],[№]],Поиск_расходки[Индекс8],0)),"")</f>
        <v/>
      </c>
      <c r="Z78" s="198" t="str">
        <f>IFERROR(INDEX(Расходка[Наименование расходного материала],MATCH(Расходка[[#This Row],[№]],Поиск_расходки[Индекс9],0)),"")</f>
        <v/>
      </c>
      <c r="AA78" s="198" t="str">
        <f>IFERROR(INDEX(Расходка[Наименование расходного материала],MATCH(Расходка[[#This Row],[№]],Поиск_расходки[Индекс10],0)),"")</f>
        <v/>
      </c>
      <c r="AB78" s="198" t="str">
        <f>IFERROR(INDEX(Расходка[Наименование расходного материала],MATCH(Расходка[[#This Row],[№]],Поиск_расходки[Индекс11],0)),"")</f>
        <v/>
      </c>
      <c r="AC78" s="198" t="str">
        <f>IFERROR(INDEX(Расходка[Наименование расходного материала],MATCH(Расходка[[#This Row],[№]],Поиск_расходки[Индекс12],0)),"")</f>
        <v/>
      </c>
      <c r="AD78" s="198" t="str">
        <f>IFERROR(INDEX(Расходка[Наименование расходного материала],MATCH(Расходка[[#This Row],[№]],Поиск_расходки[Индекс13],0)),"")</f>
        <v/>
      </c>
      <c r="AF78" s="4" t="s">
        <v>6</v>
      </c>
      <c r="AG78" s="4" t="s">
        <v>468</v>
      </c>
    </row>
    <row r="79" spans="1:33">
      <c r="AF79" s="4" t="s">
        <v>6</v>
      </c>
      <c r="AG79" s="4" t="s">
        <v>469</v>
      </c>
    </row>
    <row r="80" spans="1:33">
      <c r="AF80" s="4" t="s">
        <v>6</v>
      </c>
      <c r="AG80" s="4" t="s">
        <v>470</v>
      </c>
    </row>
    <row r="81" spans="32:33">
      <c r="AF81" s="4" t="s">
        <v>6</v>
      </c>
      <c r="AG81" s="4" t="s">
        <v>471</v>
      </c>
    </row>
    <row r="82" spans="32:33">
      <c r="AF82" s="4" t="s">
        <v>6</v>
      </c>
      <c r="AG82" s="4" t="s">
        <v>472</v>
      </c>
    </row>
    <row r="83" spans="32:33">
      <c r="AF83" s="4" t="s">
        <v>6</v>
      </c>
      <c r="AG83" s="4" t="s">
        <v>473</v>
      </c>
    </row>
    <row r="84" spans="32:33">
      <c r="AF84" s="4" t="s">
        <v>6</v>
      </c>
      <c r="AG84" s="4" t="s">
        <v>424</v>
      </c>
    </row>
    <row r="85" spans="32:33">
      <c r="AF85" s="4" t="s">
        <v>6</v>
      </c>
      <c r="AG85" s="4" t="s">
        <v>425</v>
      </c>
    </row>
    <row r="86" spans="32:33">
      <c r="AF86" s="4" t="s">
        <v>6</v>
      </c>
      <c r="AG86" s="4" t="s">
        <v>474</v>
      </c>
    </row>
    <row r="87" spans="32:33">
      <c r="AF87" s="4" t="s">
        <v>6</v>
      </c>
      <c r="AG87" s="4" t="s">
        <v>475</v>
      </c>
    </row>
    <row r="88" spans="32:33">
      <c r="AF88" s="4" t="s">
        <v>6</v>
      </c>
      <c r="AG88" s="4" t="s">
        <v>476</v>
      </c>
    </row>
    <row r="89" spans="32:33">
      <c r="AF89" s="4" t="s">
        <v>6</v>
      </c>
      <c r="AG89" s="4" t="s">
        <v>477</v>
      </c>
    </row>
    <row r="90" spans="32:33">
      <c r="AF90" s="4" t="s">
        <v>6</v>
      </c>
      <c r="AG90" s="4" t="s">
        <v>478</v>
      </c>
    </row>
    <row r="91" spans="32:33">
      <c r="AF91" s="4" t="s">
        <v>6</v>
      </c>
      <c r="AG91" s="4" t="s">
        <v>479</v>
      </c>
    </row>
    <row r="92" spans="32:33">
      <c r="AF92" s="4" t="s">
        <v>6</v>
      </c>
      <c r="AG92" s="4" t="s">
        <v>480</v>
      </c>
    </row>
    <row r="93" spans="32:33">
      <c r="AF93" s="4" t="s">
        <v>6</v>
      </c>
      <c r="AG93" s="4" t="s">
        <v>481</v>
      </c>
    </row>
    <row r="94" spans="32:33">
      <c r="AF94" s="4" t="s">
        <v>6</v>
      </c>
      <c r="AG94" s="4" t="s">
        <v>428</v>
      </c>
    </row>
    <row r="95" spans="32:33">
      <c r="AF95" s="4" t="s">
        <v>6</v>
      </c>
      <c r="AG95" s="4" t="s">
        <v>429</v>
      </c>
    </row>
    <row r="96" spans="32:33">
      <c r="AF96" s="4" t="s">
        <v>6</v>
      </c>
      <c r="AG96" s="4" t="s">
        <v>482</v>
      </c>
    </row>
    <row r="97" spans="32:33">
      <c r="AF97" s="4" t="s">
        <v>6</v>
      </c>
      <c r="AG97" s="4" t="s">
        <v>483</v>
      </c>
    </row>
  </sheetData>
  <sheetProtection formatCells="0" formatColumns="0"/>
  <phoneticPr fontId="14" type="noConversion"/>
  <dataValidations count="1">
    <dataValidation type="list" allowBlank="1" showInputMessage="1" showErrorMessage="1" sqref="B2:B76">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zoomScale="90" zoomScaleNormal="90" workbookViewId="0">
      <selection activeCell="A12" sqref="A12:A1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514</v>
      </c>
      <c r="C15" s="202" t="str">
        <f>CONCATENATE(A15,B15)</f>
        <v>Старшая мед.сетра: Н.Б. Шишкина</v>
      </c>
    </row>
    <row r="16" spans="1:5">
      <c r="A16" t="s">
        <v>120</v>
      </c>
      <c r="B16" t="s">
        <v>122</v>
      </c>
      <c r="C16" t="str">
        <f>CONCATENATE(A16,B16)</f>
        <v>Старшая мед.сетра: О.Н. Черткова</v>
      </c>
    </row>
    <row r="17" spans="1:3">
      <c r="A17" t="s">
        <v>123</v>
      </c>
      <c r="B17" t="s">
        <v>349</v>
      </c>
      <c r="C17" t="str">
        <f t="shared" si="0"/>
        <v xml:space="preserve">И/О старшей мед.сетры: А.А. Нефёдова </v>
      </c>
    </row>
    <row r="18" spans="1:3">
      <c r="A18" t="s">
        <v>123</v>
      </c>
      <c r="B18" t="s">
        <v>348</v>
      </c>
      <c r="C18" t="str">
        <f>CONCATENATE(A18,B18)</f>
        <v>И/О старшей мед.сетры: А.М. Казанцева</v>
      </c>
    </row>
    <row r="19" spans="1:3">
      <c r="C19" s="202"/>
    </row>
    <row r="20" spans="1:3">
      <c r="C20" s="202"/>
    </row>
    <row r="21" spans="1:3">
      <c r="A21" t="s">
        <v>175</v>
      </c>
      <c r="B21" t="s">
        <v>174</v>
      </c>
    </row>
    <row r="22" spans="1:3">
      <c r="A22" t="s">
        <v>170</v>
      </c>
      <c r="B22" t="s">
        <v>267</v>
      </c>
    </row>
    <row r="23" spans="1:3">
      <c r="A23" t="s">
        <v>170</v>
      </c>
      <c r="B23" t="s">
        <v>176</v>
      </c>
    </row>
    <row r="24" spans="1:3">
      <c r="A24" t="s">
        <v>170</v>
      </c>
      <c r="B24" t="s">
        <v>304</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302</v>
      </c>
    </row>
    <row r="31" spans="1:3">
      <c r="A31" t="s">
        <v>170</v>
      </c>
      <c r="B31" t="s">
        <v>254</v>
      </c>
    </row>
    <row r="32" spans="1:3">
      <c r="A32" t="s">
        <v>170</v>
      </c>
      <c r="B32" t="s">
        <v>270</v>
      </c>
    </row>
    <row r="33" spans="1:2">
      <c r="A33" t="s">
        <v>170</v>
      </c>
      <c r="B33" t="s">
        <v>352</v>
      </c>
    </row>
    <row r="34" spans="1:2">
      <c r="A34" t="s">
        <v>170</v>
      </c>
      <c r="B34" t="s">
        <v>263</v>
      </c>
    </row>
    <row r="35" spans="1:2">
      <c r="A35" t="s">
        <v>170</v>
      </c>
      <c r="B35" t="s">
        <v>249</v>
      </c>
    </row>
    <row r="36" spans="1:2">
      <c r="A36" t="s">
        <v>170</v>
      </c>
      <c r="B36" t="s">
        <v>253</v>
      </c>
    </row>
    <row r="37" spans="1:2">
      <c r="A37" t="s">
        <v>170</v>
      </c>
      <c r="B37" t="s">
        <v>248</v>
      </c>
    </row>
    <row r="38" spans="1:2">
      <c r="A38" t="s">
        <v>170</v>
      </c>
      <c r="B38" t="s">
        <v>363</v>
      </c>
    </row>
    <row r="39" spans="1:2">
      <c r="A39" t="s">
        <v>170</v>
      </c>
      <c r="B39" t="s">
        <v>505</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303</v>
      </c>
      <c r="B45" t="s">
        <v>260</v>
      </c>
    </row>
    <row r="46" spans="1:2">
      <c r="A46" t="s">
        <v>303</v>
      </c>
      <c r="B46" t="s">
        <v>261</v>
      </c>
    </row>
    <row r="47" spans="1:2">
      <c r="A47" t="s">
        <v>303</v>
      </c>
      <c r="B47" t="s">
        <v>262</v>
      </c>
    </row>
    <row r="48" spans="1:2">
      <c r="A48" t="s">
        <v>303</v>
      </c>
      <c r="B48" t="s">
        <v>178</v>
      </c>
    </row>
    <row r="49" spans="1:2">
      <c r="A49" t="s">
        <v>303</v>
      </c>
      <c r="B49" t="s">
        <v>258</v>
      </c>
    </row>
    <row r="50" spans="1:2">
      <c r="A50" t="s">
        <v>303</v>
      </c>
      <c r="B50" t="s">
        <v>269</v>
      </c>
    </row>
    <row r="51" spans="1:2">
      <c r="A51" t="s">
        <v>303</v>
      </c>
      <c r="B51" t="s">
        <v>177</v>
      </c>
    </row>
    <row r="52" spans="1:2">
      <c r="A52" t="s">
        <v>303</v>
      </c>
      <c r="B52" t="s">
        <v>503</v>
      </c>
    </row>
    <row r="53" spans="1:2">
      <c r="A53" t="s">
        <v>303</v>
      </c>
      <c r="B53" t="s">
        <v>259</v>
      </c>
    </row>
    <row r="54" spans="1:2">
      <c r="A54" t="s">
        <v>303</v>
      </c>
      <c r="B54" t="s">
        <v>368</v>
      </c>
    </row>
    <row r="55" spans="1:2">
      <c r="A55" t="s">
        <v>303</v>
      </c>
      <c r="B55" t="s">
        <v>364</v>
      </c>
    </row>
    <row r="56" spans="1:2">
      <c r="A56" t="s">
        <v>171</v>
      </c>
      <c r="B56" t="s">
        <v>144</v>
      </c>
    </row>
    <row r="57" spans="1:2">
      <c r="A57" t="s">
        <v>171</v>
      </c>
      <c r="B57" t="s">
        <v>147</v>
      </c>
    </row>
    <row r="58" spans="1:2">
      <c r="A58" t="s">
        <v>171</v>
      </c>
      <c r="B58" t="s">
        <v>150</v>
      </c>
    </row>
    <row r="59" spans="1:2">
      <c r="A59" t="s">
        <v>171</v>
      </c>
      <c r="B59" t="s">
        <v>153</v>
      </c>
    </row>
    <row r="60" spans="1:2">
      <c r="A60" t="s">
        <v>171</v>
      </c>
      <c r="B60" t="s">
        <v>156</v>
      </c>
    </row>
    <row r="61" spans="1:2">
      <c r="A61" t="s">
        <v>171</v>
      </c>
      <c r="B61" t="s">
        <v>159</v>
      </c>
    </row>
    <row r="62" spans="1:2">
      <c r="A62" t="s">
        <v>171</v>
      </c>
      <c r="B62" t="s">
        <v>164</v>
      </c>
    </row>
    <row r="63" spans="1:2">
      <c r="A63" t="s">
        <v>171</v>
      </c>
      <c r="B63" t="s">
        <v>275</v>
      </c>
    </row>
    <row r="64" spans="1:2">
      <c r="A64" t="s">
        <v>171</v>
      </c>
      <c r="B64" t="s">
        <v>166</v>
      </c>
    </row>
    <row r="65" spans="1:2">
      <c r="A65" t="s">
        <v>171</v>
      </c>
      <c r="B65" t="s">
        <v>167</v>
      </c>
    </row>
    <row r="66" spans="1:2">
      <c r="A66" t="s">
        <v>171</v>
      </c>
      <c r="B66" t="s">
        <v>168</v>
      </c>
    </row>
    <row r="67" spans="1:2">
      <c r="A67" t="s">
        <v>171</v>
      </c>
      <c r="B67" t="s">
        <v>169</v>
      </c>
    </row>
    <row r="68" spans="1:2">
      <c r="A68" t="s">
        <v>171</v>
      </c>
      <c r="B68" t="s">
        <v>141</v>
      </c>
    </row>
    <row r="69" spans="1:2">
      <c r="A69" t="s">
        <v>171</v>
      </c>
      <c r="B69" t="s">
        <v>185</v>
      </c>
    </row>
    <row r="70" spans="1:2">
      <c r="A70" t="s">
        <v>172</v>
      </c>
      <c r="B70" t="s">
        <v>341</v>
      </c>
    </row>
    <row r="71" spans="1:2">
      <c r="A71" t="s">
        <v>172</v>
      </c>
      <c r="B71" t="s">
        <v>143</v>
      </c>
    </row>
    <row r="72" spans="1:2">
      <c r="A72" t="s">
        <v>172</v>
      </c>
      <c r="B72" t="s">
        <v>366</v>
      </c>
    </row>
    <row r="73" spans="1:2">
      <c r="A73" t="s">
        <v>172</v>
      </c>
      <c r="B73" t="s">
        <v>146</v>
      </c>
    </row>
    <row r="74" spans="1:2">
      <c r="A74" t="s">
        <v>172</v>
      </c>
      <c r="B74" t="s">
        <v>140</v>
      </c>
    </row>
    <row r="75" spans="1:2">
      <c r="A75" t="s">
        <v>172</v>
      </c>
      <c r="B75" t="s">
        <v>149</v>
      </c>
    </row>
    <row r="76" spans="1:2">
      <c r="A76" t="s">
        <v>172</v>
      </c>
      <c r="B76" t="s">
        <v>152</v>
      </c>
    </row>
    <row r="77" spans="1:2">
      <c r="A77" t="s">
        <v>172</v>
      </c>
      <c r="B77" t="s">
        <v>155</v>
      </c>
    </row>
    <row r="78" spans="1:2">
      <c r="A78" t="s">
        <v>172</v>
      </c>
      <c r="B78" t="s">
        <v>158</v>
      </c>
    </row>
    <row r="79" spans="1:2">
      <c r="A79" t="s">
        <v>172</v>
      </c>
      <c r="B79" t="s">
        <v>161</v>
      </c>
    </row>
    <row r="80" spans="1:2">
      <c r="A80" t="s">
        <v>172</v>
      </c>
      <c r="B80" t="s">
        <v>163</v>
      </c>
    </row>
    <row r="81" spans="1:2">
      <c r="A81" t="s">
        <v>184</v>
      </c>
      <c r="B81" t="s">
        <v>142</v>
      </c>
    </row>
    <row r="82" spans="1:2">
      <c r="A82" t="s">
        <v>184</v>
      </c>
      <c r="B82" t="s">
        <v>274</v>
      </c>
    </row>
    <row r="83" spans="1:2">
      <c r="A83" t="s">
        <v>184</v>
      </c>
      <c r="B83" t="s">
        <v>145</v>
      </c>
    </row>
    <row r="84" spans="1:2">
      <c r="A84" t="s">
        <v>184</v>
      </c>
      <c r="B84" t="s">
        <v>148</v>
      </c>
    </row>
    <row r="85" spans="1:2">
      <c r="A85" t="s">
        <v>184</v>
      </c>
      <c r="B85" t="s">
        <v>151</v>
      </c>
    </row>
    <row r="86" spans="1:2">
      <c r="A86" t="s">
        <v>184</v>
      </c>
      <c r="B86" t="s">
        <v>154</v>
      </c>
    </row>
    <row r="87" spans="1:2">
      <c r="A87" t="s">
        <v>184</v>
      </c>
      <c r="B87" t="s">
        <v>160</v>
      </c>
    </row>
    <row r="88" spans="1:2">
      <c r="A88" t="s">
        <v>184</v>
      </c>
      <c r="B88" t="s">
        <v>157</v>
      </c>
    </row>
    <row r="89" spans="1:2">
      <c r="A89" t="s">
        <v>184</v>
      </c>
      <c r="B89" t="s">
        <v>162</v>
      </c>
    </row>
    <row r="90" spans="1:2">
      <c r="A90" t="s">
        <v>184</v>
      </c>
      <c r="B90" t="s">
        <v>165</v>
      </c>
    </row>
  </sheetData>
  <sheetProtection sheet="1" objects="1" scenarios="1"/>
  <phoneticPr fontId="14" type="noConversion"/>
  <dataValidations count="1">
    <dataValidation type="list" allowBlank="1" showInputMessage="1" showErrorMessage="1" sqref="A22:A9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1" t="s">
        <v>381</v>
      </c>
    </row>
    <row r="2" spans="1:1">
      <c r="A2" t="s">
        <v>378</v>
      </c>
    </row>
    <row r="3" spans="1:1">
      <c r="A3" t="s">
        <v>382</v>
      </c>
    </row>
    <row r="4" spans="1:1">
      <c r="A4" t="s">
        <v>383</v>
      </c>
    </row>
    <row r="5" spans="1:1">
      <c r="A5" t="s">
        <v>379</v>
      </c>
    </row>
    <row r="6" spans="1:1">
      <c r="A6" t="s">
        <v>380</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2024-06-07T20:57:53Z</cp:lastPrinted>
  <dcterms:created xsi:type="dcterms:W3CDTF">2015-06-05T18:19:34Z</dcterms:created>
  <dcterms:modified xsi:type="dcterms:W3CDTF">2024-06-07T20:59:04Z</dcterms:modified>
</cp:coreProperties>
</file>