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6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2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9" i="1" l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P19" i="1"/>
  <c r="E68" i="1"/>
  <c r="R75" i="1" s="1"/>
  <c r="Q67" i="1"/>
  <c r="AD66" i="1"/>
  <c r="AD67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72" i="1"/>
  <c r="AB70" i="1"/>
  <c r="AB69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O73" i="1"/>
  <c r="AB73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AB74" i="1" l="1"/>
  <c r="O75" i="1"/>
  <c r="AB75" i="1" s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P30" i="1" l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F75" i="1" s="1"/>
  <c r="P31" i="1"/>
  <c r="AC31" i="1"/>
  <c r="AC30" i="1"/>
  <c r="I72" i="1"/>
  <c r="J72" i="1"/>
  <c r="S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4" i="1" l="1"/>
  <c r="S75" i="1"/>
  <c r="H75" i="1"/>
  <c r="U74" i="1" s="1"/>
  <c r="S56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S66" i="1"/>
  <c r="U6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U48" i="1" l="1"/>
  <c r="U62" i="1"/>
  <c r="U49" i="1"/>
  <c r="U68" i="1"/>
  <c r="U58" i="1"/>
  <c r="U41" i="1"/>
  <c r="U39" i="1"/>
  <c r="U60" i="1"/>
  <c r="U54" i="1"/>
  <c r="U61" i="1"/>
  <c r="U55" i="1"/>
  <c r="U64" i="1"/>
  <c r="U57" i="1"/>
  <c r="U66" i="1"/>
  <c r="U72" i="1"/>
  <c r="U59" i="1"/>
  <c r="U44" i="1"/>
  <c r="U51" i="1"/>
  <c r="U40" i="1"/>
  <c r="U56" i="1"/>
  <c r="U47" i="1"/>
  <c r="U45" i="1"/>
  <c r="U42" i="1"/>
  <c r="U69" i="1"/>
  <c r="U52" i="1"/>
  <c r="U70" i="1"/>
  <c r="U73" i="1"/>
  <c r="U53" i="1"/>
  <c r="U67" i="1"/>
  <c r="U50" i="1"/>
  <c r="U71" i="1"/>
  <c r="U63" i="1"/>
  <c r="U43" i="1"/>
  <c r="U75" i="1"/>
  <c r="U46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I75" i="1" l="1"/>
  <c r="V75" i="1" s="1"/>
  <c r="J75" i="1"/>
  <c r="W75" i="1" s="1"/>
  <c r="V39" i="1"/>
  <c r="W50" i="1"/>
  <c r="W39" i="1"/>
  <c r="W55" i="1"/>
  <c r="W65" i="1"/>
  <c r="W68" i="1"/>
  <c r="W74" i="1"/>
  <c r="W73" i="1"/>
  <c r="W51" i="1"/>
  <c r="W72" i="1"/>
  <c r="V45" i="1"/>
  <c r="V70" i="1"/>
  <c r="V43" i="1"/>
  <c r="V54" i="1"/>
  <c r="V49" i="1"/>
  <c r="V50" i="1"/>
  <c r="V47" i="1"/>
  <c r="V58" i="1"/>
  <c r="V57" i="1"/>
  <c r="V4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43" i="1" l="1"/>
  <c r="W60" i="1"/>
  <c r="W63" i="1"/>
  <c r="W67" i="1"/>
  <c r="W49" i="1"/>
  <c r="W52" i="1"/>
  <c r="W66" i="1"/>
  <c r="W47" i="1"/>
  <c r="W62" i="1"/>
  <c r="W59" i="1"/>
  <c r="W61" i="1"/>
  <c r="W56" i="1"/>
  <c r="W58" i="1"/>
  <c r="W44" i="1"/>
  <c r="W40" i="1"/>
  <c r="W41" i="1"/>
  <c r="W45" i="1"/>
  <c r="W70" i="1"/>
  <c r="W53" i="1"/>
  <c r="W64" i="1"/>
  <c r="W46" i="1"/>
  <c r="W57" i="1"/>
  <c r="W69" i="1"/>
  <c r="W54" i="1"/>
  <c r="W71" i="1"/>
  <c r="W42" i="1"/>
  <c r="W48" i="1"/>
  <c r="V72" i="1"/>
  <c r="V61" i="1"/>
  <c r="V44" i="1"/>
  <c r="V55" i="1"/>
  <c r="V65" i="1"/>
  <c r="V52" i="1"/>
  <c r="V68" i="1"/>
  <c r="V71" i="1"/>
  <c r="V51" i="1"/>
  <c r="V62" i="1"/>
  <c r="V56" i="1"/>
  <c r="V59" i="1"/>
  <c r="V67" i="1"/>
  <c r="V48" i="1"/>
  <c r="V64" i="1"/>
  <c r="V69" i="1"/>
  <c r="V74" i="1"/>
  <c r="V42" i="1"/>
  <c r="V63" i="1"/>
  <c r="V73" i="1"/>
  <c r="V46" i="1"/>
  <c r="V41" i="1"/>
  <c r="V53" i="1"/>
  <c r="V66" i="1"/>
  <c r="V60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K74" i="1"/>
  <c r="P38" i="1"/>
  <c r="AC38" i="1" s="1"/>
  <c r="X2" i="1"/>
  <c r="N68" i="1"/>
  <c r="G62" i="1"/>
  <c r="G63" i="1" s="1"/>
  <c r="M51" i="1"/>
  <c r="M52" i="1" s="1"/>
  <c r="M53" i="1" s="1"/>
  <c r="L50" i="1"/>
  <c r="K75" i="1" l="1"/>
  <c r="X69" i="1" s="1"/>
  <c r="X33" i="1"/>
  <c r="X29" i="1"/>
  <c r="X39" i="1"/>
  <c r="X9" i="1"/>
  <c r="X73" i="1"/>
  <c r="X6" i="1"/>
  <c r="X59" i="1"/>
  <c r="X4" i="1"/>
  <c r="X48" i="1"/>
  <c r="X71" i="1"/>
  <c r="X13" i="1"/>
  <c r="X54" i="1"/>
  <c r="X65" i="1"/>
  <c r="X24" i="1"/>
  <c r="X11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X44" i="1" l="1"/>
  <c r="X34" i="1"/>
  <c r="X26" i="1"/>
  <c r="X50" i="1"/>
  <c r="X16" i="1"/>
  <c r="X47" i="1"/>
  <c r="X74" i="1"/>
  <c r="X38" i="1"/>
  <c r="X66" i="1"/>
  <c r="X43" i="1"/>
  <c r="X42" i="1"/>
  <c r="X56" i="1"/>
  <c r="X67" i="1"/>
  <c r="X32" i="1"/>
  <c r="X41" i="1"/>
  <c r="X25" i="1"/>
  <c r="X53" i="1"/>
  <c r="X18" i="1"/>
  <c r="X3" i="1"/>
  <c r="X35" i="1"/>
  <c r="X30" i="1"/>
  <c r="X40" i="1"/>
  <c r="X12" i="1"/>
  <c r="X68" i="1"/>
  <c r="X20" i="1"/>
  <c r="X70" i="1"/>
  <c r="X52" i="1"/>
  <c r="X14" i="1"/>
  <c r="X36" i="1"/>
  <c r="X22" i="1"/>
  <c r="X58" i="1"/>
  <c r="X62" i="1"/>
  <c r="X17" i="1"/>
  <c r="X5" i="1"/>
  <c r="X8" i="1"/>
  <c r="X31" i="1"/>
  <c r="X64" i="1"/>
  <c r="X15" i="1"/>
  <c r="X49" i="1"/>
  <c r="X51" i="1"/>
  <c r="X28" i="1"/>
  <c r="X61" i="1"/>
  <c r="X57" i="1"/>
  <c r="X27" i="1"/>
  <c r="X55" i="1"/>
  <c r="X21" i="1"/>
  <c r="X7" i="1"/>
  <c r="X60" i="1"/>
  <c r="X19" i="1"/>
  <c r="X63" i="1"/>
  <c r="X75" i="1"/>
  <c r="X46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AC45" i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4" i="1" l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AC73" i="1"/>
  <c r="P74" i="1"/>
  <c r="N72" i="1"/>
  <c r="N73" i="1" s="1"/>
  <c r="L67" i="1"/>
  <c r="M61" i="1"/>
  <c r="G75" i="1" l="1"/>
  <c r="T75" i="1" s="1"/>
  <c r="AC51" i="1"/>
  <c r="P75" i="1"/>
  <c r="AC75" i="1" s="1"/>
  <c r="T4" i="1"/>
  <c r="T34" i="1"/>
  <c r="T47" i="1"/>
  <c r="T17" i="1"/>
  <c r="T48" i="1"/>
  <c r="T65" i="1"/>
  <c r="T36" i="1"/>
  <c r="T60" i="1"/>
  <c r="T13" i="1"/>
  <c r="T37" i="1"/>
  <c r="T23" i="1"/>
  <c r="T53" i="1"/>
  <c r="T27" i="1"/>
  <c r="T52" i="1"/>
  <c r="T14" i="1"/>
  <c r="T29" i="1"/>
  <c r="T56" i="1"/>
  <c r="T12" i="1"/>
  <c r="T30" i="1"/>
  <c r="T26" i="1"/>
  <c r="T63" i="1"/>
  <c r="T54" i="1"/>
  <c r="T45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T7" i="1" l="1"/>
  <c r="T8" i="1"/>
  <c r="T51" i="1"/>
  <c r="T24" i="1"/>
  <c r="T46" i="1"/>
  <c r="T44" i="1"/>
  <c r="T49" i="1"/>
  <c r="T58" i="1"/>
  <c r="T73" i="1"/>
  <c r="T3" i="1"/>
  <c r="T21" i="1"/>
  <c r="T42" i="1"/>
  <c r="T69" i="1"/>
  <c r="T32" i="1"/>
  <c r="T25" i="1"/>
  <c r="T16" i="1"/>
  <c r="T61" i="1"/>
  <c r="T55" i="1"/>
  <c r="T31" i="1"/>
  <c r="T22" i="1"/>
  <c r="T70" i="1"/>
  <c r="T59" i="1"/>
  <c r="T28" i="1"/>
  <c r="T35" i="1"/>
  <c r="T11" i="1"/>
  <c r="T10" i="1"/>
  <c r="T72" i="1"/>
  <c r="T39" i="1"/>
  <c r="T20" i="1"/>
  <c r="T43" i="1"/>
  <c r="T57" i="1"/>
  <c r="T67" i="1"/>
  <c r="T15" i="1"/>
  <c r="T9" i="1"/>
  <c r="T68" i="1"/>
  <c r="T33" i="1"/>
  <c r="T50" i="1"/>
  <c r="T66" i="1"/>
  <c r="T64" i="1"/>
  <c r="T40" i="1"/>
  <c r="T71" i="1"/>
  <c r="T74" i="1"/>
  <c r="T5" i="1"/>
  <c r="T6" i="1"/>
  <c r="AA44" i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L75" i="1" s="1"/>
  <c r="Y75" i="1" s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<sst xmlns="http://schemas.openxmlformats.org/spreadsheetml/2006/main" count="890" uniqueCount="537">
  <si>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</si>
  <si>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</si>
  <si>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</si>
  <si>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</si>
  <si>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</si>
  <si>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</si>
  <si>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</si>
  <si>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</si>
  <si>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</si>
  <si>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</si>
  <si>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</si>
  <si>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</si>
  <si>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</si>
  <si>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</si>
  <si>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</si>
  <si>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</si>
  <si>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</si>
  <si>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</si>
  <si>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</si>
  <si>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</si>
  <si>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</si>
  <si>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</si>
  <si>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</si>
  <si>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</si>
  <si>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</si>
  <si>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</si>
  <si>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</si>
  <si>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</si>
  <si>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</si>
  <si>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</si>
  <si>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</si>
  <si>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</si>
  <si>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</si>
  <si>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</si>
  <si>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</si>
  <si>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</si>
  <si>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</si>
  <si>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</si>
  <si>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</si>
  <si>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</si>
  <si>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</si>
  <si>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</si>
  <si>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</si>
  <si>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</si>
  <si>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</si>
  <si>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</si>
  <si>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</si>
  <si>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</si>
  <si>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</si>
  <si>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</si>
  <si>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</si>
  <si>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</si>
  <si>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</si>
  <si>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</si>
  <si>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</si>
  <si>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</si>
  <si>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</si>
  <si>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</si>
  <si>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</si>
  <si>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</si>
  <si>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</si>
  <si>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</si>
  <si>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</si>
  <si>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</si>
  <si>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</si>
  <si>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</si>
  <si>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</si>
  <si>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</si>
  <si>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</si>
  <si>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</si>
  <si>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</si>
  <si>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</si>
  <si>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</si>
  <si>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</si>
  <si>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</si>
  <si>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</si>
  <si>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</si>
  <si>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</si>
  <si>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</si>
  <si>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</si>
  <si>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</si>
  <si>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</si>
  <si>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</si>
  <si>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</si>
  <si>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</si>
  <si>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</si>
  <si>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</si>
  <si>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</si>
  <si>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</si>
  <si>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</si>
  <si>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</si>
  <si>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</si>
  <si>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</si>
  <si>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</si>
  <si>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</si>
  <si>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</si>
  <si>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</si>
  <si>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</si>
  <si>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</si>
  <si>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</si>
  <si>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</si>
  <si>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</si>
  <si>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</si>
  <si>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</si>
  <si>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</si>
  <si>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</si>
  <si>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</si>
  <si>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</si>
  <si>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</si>
  <si>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</si>
  <si>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</si>
  <si>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</si>
  <si>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</si>
  <si>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</si>
  <si>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</si>
  <si>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</si>
  <si>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</si>
  <si>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</si>
  <si>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</si>
  <si>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</si>
  <si>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</si>
  <si>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</si>
  <si>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</si>
  <si>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</si>
  <si>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</si>
  <si>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</si>
  <si>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</si>
  <si>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</si>
  <si>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</si>
  <si>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</si>
  <si>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</si>
  <si>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</si>
  <si>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</si>
  <si>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</si>
  <si>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</si>
  <si>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</si>
  <si>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</si>
  <si>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</si>
  <si>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</si>
  <si>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</si>
  <si>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</si>
  <si>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</si>
  <si>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</si>
  <si>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</si>
  <si>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</si>
  <si>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</si>
  <si>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</si>
  <si>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</si>
  <si>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</si>
  <si>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</si>
  <si>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</si>
  <si>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</si>
  <si>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</si>
  <si>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</si>
  <si>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</si>
  <si>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</si>
  <si>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</si>
  <si>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</si>
  <si>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</si>
  <si>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</si>
  <si>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</si>
  <si>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</si>
  <si>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</si>
  <si>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</si>
  <si>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</si>
  <si>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</si>
  <si>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</si>
  <si>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</si>
  <si>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</si>
  <si>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</si>
  <si>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</si>
  <si>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</si>
  <si>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</si>
  <si>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</si>
  <si>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</si>
  <si>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</si>
  <si>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</si>
  <si>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</si>
  <si>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</si>
  <si>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</si>
  <si>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</si>
  <si>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</si>
  <si>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</si>
  <si>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</si>
  <si>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</si>
  <si>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</si>
  <si>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</si>
  <si>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</si>
  <si>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</si>
  <si>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</si>
  <si>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</si>
  <si>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</si>
  <si>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</si>
  <si>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</si>
  <si>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</si>
  <si>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</si>
  <si>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</si>
  <si>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</si>
  <si>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</si>
  <si>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</si>
  <si>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</si>
  <si>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</si>
  <si>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</si>
  <si>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</si>
  <si>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</si>
  <si>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</si>
  <si>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</si>
  <si>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</si>
  <si>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</si>
  <si>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</si>
  <si>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</si>
  <si>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</si>
  <si>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</si>
  <si>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</si>
  <si>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</si>
  <si>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</si>
  <si>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</si>
  <si>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</si>
  <si>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</si>
  <si>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</si>
  <si>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</si>
  <si>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</si>
  <si>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</si>
  <si>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</si>
  <si>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</si>
  <si>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</si>
  <si>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</si>
  <si>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</si>
  <si>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</si>
  <si>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</si>
  <si>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</si>
  <si>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</si>
  <si>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</si>
  <si>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</si>
  <si>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</si>
  <si>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</si>
  <si>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</si>
  <si>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</si>
  <si>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</si>
  <si>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</si>
  <si>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</si>
  <si>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</si>
  <si>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</si>
  <si>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</si>
  <si>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</si>
  <si>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</si>
  <si>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</si>
  <si>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</si>
  <si>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</si>
  <si>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</si>
  <si>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</si>
  <si>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</si>
  <si>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</si>
  <si>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</si>
  <si>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</si>
  <si>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</si>
  <si>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</si>
  <si>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</si>
  <si>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</si>
  <si>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</si>
  <si>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</si>
  <si>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</si>
  <si>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</si>
  <si>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</si>
  <si>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</si>
  <si>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</si>
  <si>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</si>
  <si>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</si>
  <si>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</si>
  <si>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</si>
  <si>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</si>
  <si>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</si>
  <si>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</si>
  <si>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</si>
  <si>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</si>
  <si>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</si>
  <si>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</si>
  <si>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</si>
  <si>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</si>
  <si>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</si>
  <si>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</si>
  <si>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</si>
  <si>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</si>
  <si>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</si>
  <si>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</si>
  <si>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</si>
  <si>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</si>
  <si>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</si>
  <si>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</si>
  <si>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</si>
  <si>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</si>
  <si>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</si>
  <si>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</si>
  <si>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</si>
  <si>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</si>
  <si>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</si>
  <si>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</si>
  <si>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</si>
  <si>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</si>
  <si>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</si>
  <si>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</si>
  <si>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</si>
  <si>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</si>
  <si>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</si>
  <si>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</si>
  <si>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</si>
  <si>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</si>
  <si>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</si>
  <si>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</si>
  <si>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</si>
  <si>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</si>
  <si>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</si>
  <si>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</si>
  <si>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</si>
  <si>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</si>
  <si>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</si>
  <si>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</si>
  <si>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</si>
  <si>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</si>
  <si>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</si>
  <si>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</si>
  <si>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</si>
  <si>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</si>
  <si>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</si>
  <si>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</si>
  <si>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</si>
  <si>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</si>
  <si>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</si>
  <si>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</si>
  <si>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</si>
  <si>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</si>
  <si>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</si>
  <si>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</si>
  <si>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</si>
  <si>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</si>
  <si>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</si>
  <si>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</si>
  <si>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</si>
  <si>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</si>
  <si>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</si>
  <si>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</si>
  <si>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</si>
  <si>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</si>
  <si>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</si>
  <si>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</si>
  <si>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</si>
  <si>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</si>
  <si>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</si>
  <si>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</si>
  <si>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</si>
  <si>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</si>
  <si>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</si>
  <si>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</si>
  <si>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</si>
  <si>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</si>
  <si>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</si>
  <si>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</si>
  <si>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</si>
  <si>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</si>
  <si>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</si>
  <si>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</si>
  <si>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</si>
  <si>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</si>
  <si>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</si>
  <si>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</si>
  <si>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</si>
  <si>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</si>
  <si>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</si>
  <si>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</si>
  <si>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</si>
  <si>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</si>
  <si>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</si>
  <si>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</si>
  <si>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</si>
  <si>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</si>
  <si>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</si>
  <si>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</si>
  <si>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</si>
  <si>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</si>
  <si>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</si>
  <si>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</si>
  <si>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</si>
  <si>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</si>
  <si>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</si>
  <si>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</si>
  <si>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</si>
  <si>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</si>
  <si>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</si>
  <si>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</si>
  <si>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</si>
  <si>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</si>
  <si>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</si>
  <si>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</si>
  <si>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</si>
  <si>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</si>
  <si>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</si>
  <si>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</si>
  <si>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</si>
  <si>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</si>
  <si>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</si>
  <si>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</si>
  <si>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</si>
  <si>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</si>
  <si>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</si>
  <si>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</si>
  <si>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</si>
  <si>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</si>
  <si>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</si>
  <si>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</si>
  <si>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</si>
  <si>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</si>
  <si>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</si>
  <si>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</si>
  <si>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</si>
  <si>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</si>
  <si>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</si>
  <si>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</si>
  <si>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</si>
  <si>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</si>
  <si>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</si>
  <si>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</si>
  <si>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</si>
  <si>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</si>
  <si>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</si>
  <si>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</si>
  <si>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</si>
  <si>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</si>
  <si>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</si>
  <si>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</si>
  <si>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</si>
  <si>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</si>
  <si>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</si>
  <si>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</si>
  <si>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</si>
  <si>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</si>
  <si>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</si>
  <si>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</si>
  <si>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</si>
  <si>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</si>
  <si>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</si>
  <si>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</si>
  <si>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</si>
  <si>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</si>
  <si>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</si>
  <si>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</si>
  <si>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</si>
  <si>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</si>
  <si>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</si>
  <si>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</si>
  <si>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</si>
  <si>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</si>
  <si>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</si>
  <si>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</si>
  <si>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</si>
  <si>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</si>
  <si>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</si>
  <si>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</si>
  <si>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</si>
  <si>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</si>
  <si>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</si>
  <si>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</si>
  <si>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</si>
  <si>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</si>
  <si>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</si>
  <si>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</si>
  <si>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</si>
  <si>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</si>
  <si>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</si>
  <si>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</si>
  <si>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</si>
  <si>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</si>
  <si>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</si>
  <si>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</si>
  <si>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</si>
  <si>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</si>
  <si>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</si>
  <si>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</si>
  <si>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</si>
  <si>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</si>
  <si>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</si>
  <si>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</si>
  <si>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</si>
  <si>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</si>
  <si>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</si>
  <si>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</si>
  <si>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</si>
  <si>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</si>
  <si>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</si>
  <si>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</si>
  <si>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</si>
  <si>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</si>
  <si>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</si>
  <si>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</si>
  <si>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</si>
  <si>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</si>
  <si>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</si>
  <si>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</si>
  <si>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</si>
  <si>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</si>
  <si>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</si>
  <si>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</si>
  <si>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</si>
  <si>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</si>
  <si>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</si>
  <si>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</si>
  <si>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</si>
  <si>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</si>
  <si>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</si>
  <si>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</si>
  <si>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</si>
  <si>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</si>
  <si>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</si>
  <si>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</si>
  <si>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</si>
  <si>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</si>
  <si>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</si>
  <si>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</si>
  <si>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</si>
  <si>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</si>
  <si>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</si>
  <si>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</si>
  <si>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</si>
  <si>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</si>
  <si>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Правый</t>
  </si>
  <si>
    <t>50 ml</t>
  </si>
  <si>
    <t>Whisper LS</t>
  </si>
  <si>
    <t xml:space="preserve">проходим, контуры ровные </t>
  </si>
  <si>
    <t>20 ml</t>
  </si>
  <si>
    <t>Контроль места пункции, повязка  на руке до 6ч.</t>
  </si>
  <si>
    <t>15:48</t>
  </si>
  <si>
    <t>Пичкалов Ю.Л.</t>
  </si>
  <si>
    <t xml:space="preserve">ХТО на уровне дистального сегмента. ВТК и дистальный сегмент контрастируется ретроградно за счёт внутрисистемных коллатералей.   </t>
  </si>
  <si>
    <t>стенозы  проксимального сегмента до 50%, субокклюзирующий рестеноз в стенте среднего сегмента, стенозы дистального сегмента 50%. Антеградный  кровоток по дистальному сегменту ПКА и ЗБВ - пропульсивный TIMI II. ЗМЖВ контрастируется ретроградно за счёт межсистемных коллатералей ПНА.</t>
  </si>
  <si>
    <t xml:space="preserve">неровности контуров проксимального сегмента, пролонгированный стеноз среднего сегмента не менее 50%.  Стеноз устья крупной ДВ 50%.  Антеградный  кровоток ближе к   - TIMI III. </t>
  </si>
  <si>
    <t xml:space="preserve">Совместно с д/кардиологом  с учетом клинических данных, ЭКГ и КАГ принято решение в пользу стентирования ПКА </t>
  </si>
  <si>
    <t>Устье ПКА катетеризировано проводниковым катетером Launcher JR  4.0 6Fr. Коронарный проводник shunmei проведён в дистальный сегмент ПКА. Выполнена предилатация субокклюзирующего рестеноза БК Колибри 2.5-15.   В зону среднего сегмента с полным покрытием нестабильного значимого рестеноза ПКА и частичным покрытием проксимального сегмента имплантирован  DES Evermine50  3,5-40 мм, давлением 16 атм. Постдилатация и оптимизация стента среднего сегмента БК NC Аксиома 4.0 - 12, давлением от 16 до 22 атм. В зону проксимального сегмента с покрытием частично устья ПКА  имплантирован DES Калипсо 4.0-18, давлением 24 атм. Постдилатация и оптимизация стента проксимального сегмента БК NC Аксиома 5.0 - 8, давлением 16 атм.    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ПКА, ЗБВ и ЗМЖВ полностью восстановлен   -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</si>
  <si>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3,5 - 40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</si>
</sst>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16" zoomScaleNormal="100" zoomScaleSheetLayoutView="100" zoomScalePageLayoutView="90" workbookViewId="0">
      <selection activeCell="K44" sqref="K4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45471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0.78472222222222221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0.79166666666666663</v>
      </c>
      <c r="C10" s="55"/>
      <c r="D10" s="95" t="s">
        <v>173</v>
      </c>
      <c r="E10" s="93"/>
      <c r="F10" s="93"/>
      <c r="G10" s="24" t="s">
        <v>156</v>
      </c>
      <c r="H10" s="26"/>
    </row>
    <row r="11" spans="1:8" ht="17.25" thickTop="1" thickBot="1">
      <c r="A11" s="89" t="s">
        <v>192</v>
      </c>
      <c r="B11" s="203" t="s">
        <v>530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26653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51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18460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400</v>
      </c>
      <c r="H15" s="169" t="s">
        <v>529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402</v>
      </c>
      <c r="H16" s="164">
        <v>7900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389</v>
      </c>
      <c r="H17" s="168">
        <f>H16*0.0019</f>
        <v>15.01</v>
      </c>
    </row>
    <row r="18" spans="1:8" ht="14.45" customHeight="1">
      <c r="A18" s="57" t="s">
        <v>188</v>
      </c>
      <c r="B18" s="87" t="s">
        <v>523</v>
      </c>
      <c r="D18" s="28" t="s">
        <v>210</v>
      </c>
      <c r="E18" s="28"/>
      <c r="F18" s="28"/>
      <c r="G18" s="85" t="s">
        <v>189</v>
      </c>
      <c r="H18" s="86" t="s">
        <v>507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526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533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531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532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534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K36" sqref="K36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0">
        <v>2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2</v>
      </c>
      <c r="H11" s="39"/>
    </row>
    <row r="12" spans="1:8" ht="18.75">
      <c r="A12" s="75" t="s">
        <v>191</v>
      </c>
      <c r="B12" s="20">
        <f>КАГ!B8</f>
        <v>45471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0.79166666666666663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0.82638888888888884</v>
      </c>
      <c r="C14" s="12"/>
      <c r="D14" s="95" t="s">
        <v>173</v>
      </c>
      <c r="E14" s="93"/>
      <c r="F14" s="93"/>
      <c r="G14" s="80" t="str">
        <f>КАГ!G10</f>
        <v>Мешалкина И.В.</v>
      </c>
      <c r="H14" s="91" t="str">
        <f>IF(ISBLANK(КАГ!H10),"",КАГ!H10)</f>
        <v/>
      </c>
    </row>
    <row r="15" spans="1:8" ht="16.5" thickBot="1">
      <c r="A15" s="163" t="s">
        <v>388</v>
      </c>
      <c r="B15" s="188">
        <f>IF(B14&lt;B13,B14+1,B14)-B13</f>
        <v>3.472222222222221E-2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Пичкалов Ю.Л.</v>
      </c>
      <c r="C16" s="200">
        <f>LEN(КАГ!B11)</f>
        <v>13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26653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51</v>
      </c>
      <c r="H18" s="39"/>
    </row>
    <row r="19" spans="1:8" ht="14.45" customHeight="1">
      <c r="A19" s="15" t="s">
        <v>12</v>
      </c>
      <c r="B19" s="68">
        <f>КАГ!B14</f>
        <v>18460</v>
      </c>
      <c r="C19" s="69"/>
      <c r="D19" s="69"/>
      <c r="E19" s="69"/>
      <c r="F19" s="69"/>
      <c r="G19" s="165" t="s">
        <v>400</v>
      </c>
      <c r="H19" s="180" t="str">
        <f>КАГ!H15</f>
        <v>15:48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402</v>
      </c>
      <c r="H20" s="181">
        <f>КАГ!H16</f>
        <v>7900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389</v>
      </c>
      <c r="H21" s="168">
        <f>КАГ!H17</f>
        <v>15.01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392</v>
      </c>
      <c r="B23" s="172" t="s">
        <v>391</v>
      </c>
      <c r="C23" s="162"/>
      <c r="D23" s="162"/>
      <c r="E23" s="162"/>
      <c r="F23" s="162"/>
      <c r="H23" s="39"/>
    </row>
    <row r="24" spans="1:8" ht="14.45" customHeight="1">
      <c r="A24" s="183" t="s">
        <v>390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535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396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394</v>
      </c>
      <c r="B40" s="178" t="s">
        <v>527</v>
      </c>
      <c r="C40" s="120"/>
      <c r="D40" s="245" t="s">
        <v>528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522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372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tabSelected="1" showWhiteSpace="0" view="pageBreakPreview" zoomScaleNormal="90" zoomScaleSheetLayoutView="100" zoomScalePageLayoutView="80" workbookViewId="0">
      <selection activeCell="H22" sqref="H22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45471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Пичкалов Ю.Л.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26653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51</v>
      </c>
    </row>
    <row r="7" spans="1:4">
      <c r="A7" s="38"/>
      <c r="C7" s="101" t="s">
        <v>12</v>
      </c>
      <c r="D7" s="103">
        <f>КАГ!$B$14</f>
        <v>18460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45471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331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521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376</v>
      </c>
      <c r="C16" s="135" t="s">
        <v>411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516</v>
      </c>
      <c r="C17" s="135" t="s">
        <v>426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4" t="s">
        <v>516</v>
      </c>
      <c r="C18" s="135" t="s">
        <v>433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520</v>
      </c>
      <c r="C19" s="182" t="s">
        <v>536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519</v>
      </c>
      <c r="C20" s="135" t="s">
        <v>476</v>
      </c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518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25" zoomScaleNormal="100" workbookViewId="0">
      <selection activeCell="C29" sqref="C2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Shunmei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2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2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497</v>
      </c>
      <c r="AP2" s="128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490</v>
      </c>
      <c r="AO3" t="s">
        <v>498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503</v>
      </c>
      <c r="AO4" t="s">
        <v>500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499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496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516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1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v>19</v>
      </c>
      <c r="B20" t="s">
        <v>306</v>
      </c>
      <c r="C20" t="s">
        <v>506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v>21</v>
      </c>
      <c r="B22" t="s">
        <v>306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v>22</v>
      </c>
      <c r="B23" t="s">
        <v>306</v>
      </c>
      <c r="C23" s="1" t="s">
        <v>511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t="s">
        <v>513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s="1" t="s">
        <v>514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s="1" t="s">
        <v>515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Whisper MS</v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525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Whisper LS</v>
      </c>
      <c r="AA46" s="115" t="str">
        <f>IFERROR(INDEX(Расходка[Наименование расходного материала],MATCH(Расходка[[#This Row],[№]],Поиск_расходки[Индекс10],0)),"")</f>
        <v>Whisper LS</v>
      </c>
      <c r="AB46" s="115" t="str">
        <f>IFERROR(INDEX(Расходка[Наименование расходного материала],MATCH(Расходка[[#This Row],[№]],Поиск_расходки[Индекс11],0)),"")</f>
        <v>Whisper LS</v>
      </c>
      <c r="AC46" s="115" t="str">
        <f>IFERROR(INDEX(Расходка[Наименование расходного материала],MATCH(Расходка[[#This Row],[№]],Поиск_расходки[Индекс12],0)),"")</f>
        <v>Whisper LS</v>
      </c>
      <c r="AD46" s="115" t="str">
        <f>IFERROR(INDEX(Расходка[Наименование расходного материала],MATCH(Расходка[[#This Row],[№]],Поиск_расходки[Индекс13],0)),"")</f>
        <v>Whisper LS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363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v>48</v>
      </c>
      <c r="B49" t="s">
        <v>3</v>
      </c>
      <c r="C49" t="s">
        <v>512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v>50</v>
      </c>
      <c r="B51" t="s">
        <v>3</v>
      </c>
      <c r="C51" t="s">
        <v>510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v>51</v>
      </c>
      <c r="B52" t="s">
        <v>3</v>
      </c>
      <c r="C52" t="s">
        <v>521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1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450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451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452</v>
      </c>
    </row>
    <row r="58" spans="1:33">
      <c r="A58">
        <v>57</v>
      </c>
      <c r="B58" t="s">
        <v>6</v>
      </c>
      <c r="C58" s="161" t="s">
        <v>387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453</v>
      </c>
    </row>
    <row r="59" spans="1:33">
      <c r="A59">
        <v>58</v>
      </c>
      <c r="B59" t="s">
        <v>6</v>
      </c>
      <c r="C59" t="s">
        <v>386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454</v>
      </c>
    </row>
    <row r="60" spans="1:33">
      <c r="A60">
        <v>59</v>
      </c>
      <c r="B60" t="s">
        <v>6</v>
      </c>
      <c r="C60" t="s">
        <v>519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1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455</v>
      </c>
    </row>
    <row r="61" spans="1:33">
      <c r="A61">
        <v>60</v>
      </c>
      <c r="B61" t="s">
        <v>6</v>
      </c>
      <c r="C61" t="s">
        <v>520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1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416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456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0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/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0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/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0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/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463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0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/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464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/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419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1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0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/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465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0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/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420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0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/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466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467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468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469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48" sqref="C4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2024-06-28T17:21:43Z</cp:lastPrinted>
  <dcterms:created xsi:type="dcterms:W3CDTF">2015-06-05T18:19:34Z</dcterms:created>
  <dcterms:modified xsi:type="dcterms:W3CDTF">2024-06-28T17:23:22Z</dcterms:modified>
</cp:coreProperties>
</file>