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7" i="1"/>
  <c r="G78" i="1"/>
  <c r="H77" i="1"/>
  <c r="H78" i="1"/>
  <c r="I77" i="1"/>
  <c r="I78" i="1"/>
  <c r="J77" i="1"/>
  <c r="J78" i="1"/>
  <c r="K77" i="1"/>
  <c r="K78" i="1"/>
  <c r="L77" i="1"/>
  <c r="L78" i="1"/>
  <c r="M77" i="1"/>
  <c r="M78" i="1"/>
  <c r="N77" i="1"/>
  <c r="N78" i="1"/>
  <c r="O77" i="1"/>
  <c r="O78" i="1"/>
  <c r="P77" i="1"/>
  <c r="P78" i="1"/>
  <c r="Q77" i="1"/>
  <c r="Q78" i="1"/>
  <c r="R77" i="1"/>
  <c r="R78" i="1"/>
  <c r="S77" i="1"/>
  <c r="S78" i="1"/>
  <c r="T77" i="1"/>
  <c r="T78" i="1"/>
  <c r="U77" i="1"/>
  <c r="U78" i="1"/>
  <c r="V77" i="1"/>
  <c r="V78" i="1"/>
  <c r="W77" i="1"/>
  <c r="W78" i="1"/>
  <c r="X77" i="1"/>
  <c r="X78" i="1"/>
  <c r="Y77" i="1"/>
  <c r="Y78" i="1"/>
  <c r="Z77" i="1"/>
  <c r="Z78" i="1"/>
  <c r="AA77" i="1"/>
  <c r="AA78" i="1"/>
  <c r="AB77" i="1"/>
  <c r="AB78" i="1"/>
  <c r="AC77" i="1"/>
  <c r="AC78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5" i="1" l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D75" i="1" l="1"/>
  <c r="Q76" i="1"/>
  <c r="AD76" i="1" s="1"/>
  <c r="AB74" i="1"/>
  <c r="O75" i="1"/>
  <c r="AB73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AB75" i="1" l="1"/>
  <c r="O76" i="1"/>
  <c r="AB76" i="1" s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S56" i="1" s="1"/>
  <c r="P31" i="1"/>
  <c r="AC31" i="1" s="1"/>
  <c r="AC30" i="1"/>
  <c r="I72" i="1"/>
  <c r="J72" i="1"/>
  <c r="S67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S66" i="1" l="1"/>
  <c r="S76" i="1"/>
  <c r="S55" i="1"/>
  <c r="S44" i="1"/>
  <c r="S71" i="1"/>
  <c r="S48" i="1"/>
  <c r="S61" i="1"/>
  <c r="S70" i="1"/>
  <c r="S72" i="1"/>
  <c r="S52" i="1"/>
  <c r="S65" i="1"/>
  <c r="S45" i="1"/>
  <c r="S41" i="1"/>
  <c r="S51" i="1"/>
  <c r="S47" i="1"/>
  <c r="S64" i="1"/>
  <c r="S60" i="1"/>
  <c r="H75" i="1"/>
  <c r="S74" i="1"/>
  <c r="S75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 s="1"/>
  <c r="J73" i="1"/>
  <c r="I73" i="1"/>
  <c r="V2" i="1" s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H76" i="1" l="1"/>
  <c r="U49" i="1" s="1"/>
  <c r="U58" i="1"/>
  <c r="U54" i="1"/>
  <c r="U69" i="1"/>
  <c r="U59" i="1"/>
  <c r="U56" i="1"/>
  <c r="U64" i="1"/>
  <c r="U66" i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U74" i="1" l="1"/>
  <c r="U46" i="1"/>
  <c r="U51" i="1"/>
  <c r="U70" i="1"/>
  <c r="U45" i="1"/>
  <c r="U39" i="1"/>
  <c r="U75" i="1"/>
  <c r="U76" i="1"/>
  <c r="U71" i="1"/>
  <c r="U67" i="1"/>
  <c r="U50" i="1"/>
  <c r="U72" i="1"/>
  <c r="U57" i="1"/>
  <c r="U55" i="1"/>
  <c r="U47" i="1"/>
  <c r="U40" i="1"/>
  <c r="U44" i="1"/>
  <c r="U73" i="1"/>
  <c r="U52" i="1"/>
  <c r="U42" i="1"/>
  <c r="U61" i="1"/>
  <c r="U60" i="1"/>
  <c r="U41" i="1"/>
  <c r="U68" i="1"/>
  <c r="U65" i="1"/>
  <c r="U62" i="1"/>
  <c r="U48" i="1"/>
  <c r="U43" i="1"/>
  <c r="U63" i="1"/>
  <c r="U53" i="1"/>
  <c r="J75" i="1"/>
  <c r="I75" i="1"/>
  <c r="I76" i="1" s="1"/>
  <c r="V76" i="1" s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V59" i="1" l="1"/>
  <c r="V44" i="1"/>
  <c r="V69" i="1"/>
  <c r="V72" i="1"/>
  <c r="V65" i="1"/>
  <c r="V48" i="1"/>
  <c r="V42" i="1"/>
  <c r="V61" i="1"/>
  <c r="V55" i="1"/>
  <c r="V52" i="1"/>
  <c r="V67" i="1"/>
  <c r="V64" i="1"/>
  <c r="V74" i="1"/>
  <c r="V63" i="1"/>
  <c r="V73" i="1"/>
  <c r="V40" i="1"/>
  <c r="V57" i="1"/>
  <c r="V58" i="1"/>
  <c r="V47" i="1"/>
  <c r="V50" i="1"/>
  <c r="V49" i="1"/>
  <c r="V68" i="1"/>
  <c r="V54" i="1"/>
  <c r="V71" i="1"/>
  <c r="V43" i="1"/>
  <c r="V51" i="1"/>
  <c r="V70" i="1"/>
  <c r="V62" i="1"/>
  <c r="V45" i="1"/>
  <c r="V46" i="1"/>
  <c r="V66" i="1"/>
  <c r="J76" i="1"/>
  <c r="W75" i="1" s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W76" i="1" l="1"/>
  <c r="W50" i="1"/>
  <c r="W62" i="1"/>
  <c r="W39" i="1"/>
  <c r="W47" i="1"/>
  <c r="W55" i="1"/>
  <c r="W66" i="1"/>
  <c r="W65" i="1"/>
  <c r="W52" i="1"/>
  <c r="W70" i="1"/>
  <c r="W45" i="1"/>
  <c r="W41" i="1"/>
  <c r="W40" i="1"/>
  <c r="W44" i="1"/>
  <c r="W58" i="1"/>
  <c r="W56" i="1"/>
  <c r="W61" i="1"/>
  <c r="W59" i="1"/>
  <c r="W48" i="1"/>
  <c r="W42" i="1"/>
  <c r="W71" i="1"/>
  <c r="W54" i="1"/>
  <c r="W69" i="1"/>
  <c r="W57" i="1"/>
  <c r="W46" i="1"/>
  <c r="W64" i="1"/>
  <c r="W68" i="1"/>
  <c r="W49" i="1"/>
  <c r="W74" i="1"/>
  <c r="W67" i="1"/>
  <c r="W73" i="1"/>
  <c r="W63" i="1"/>
  <c r="W51" i="1"/>
  <c r="W60" i="1"/>
  <c r="W72" i="1"/>
  <c r="W43" i="1"/>
  <c r="W53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M51" i="1"/>
  <c r="M52" i="1" s="1"/>
  <c r="M53" i="1" s="1"/>
  <c r="L50" i="1"/>
  <c r="G63" i="1" l="1"/>
  <c r="G64" i="1" s="1"/>
  <c r="K75" i="1"/>
  <c r="P39" i="1"/>
  <c r="N69" i="1"/>
  <c r="M54" i="1"/>
  <c r="M55" i="1" s="1"/>
  <c r="L51" i="1"/>
  <c r="L52" i="1" s="1"/>
  <c r="L53" i="1" s="1"/>
  <c r="K76" i="1" l="1"/>
  <c r="X4" i="1" s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X29" i="1" l="1"/>
  <c r="X13" i="1"/>
  <c r="X5" i="1"/>
  <c r="X68" i="1"/>
  <c r="X19" i="1"/>
  <c r="X64" i="1"/>
  <c r="X3" i="1"/>
  <c r="X75" i="1"/>
  <c r="X6" i="1"/>
  <c r="X11" i="1"/>
  <c r="X46" i="1"/>
  <c r="X40" i="1"/>
  <c r="X49" i="1"/>
  <c r="X36" i="1"/>
  <c r="X35" i="1"/>
  <c r="X9" i="1"/>
  <c r="X48" i="1"/>
  <c r="X65" i="1"/>
  <c r="X23" i="1"/>
  <c r="X28" i="1"/>
  <c r="X20" i="1"/>
  <c r="X12" i="1"/>
  <c r="X63" i="1"/>
  <c r="X60" i="1"/>
  <c r="X15" i="1"/>
  <c r="X31" i="1"/>
  <c r="X14" i="1"/>
  <c r="X2" i="1"/>
  <c r="X76" i="1"/>
  <c r="X25" i="1"/>
  <c r="X33" i="1"/>
  <c r="X41" i="1"/>
  <c r="X32" i="1"/>
  <c r="X67" i="1"/>
  <c r="X56" i="1"/>
  <c r="X42" i="1"/>
  <c r="X43" i="1"/>
  <c r="X66" i="1"/>
  <c r="X38" i="1"/>
  <c r="X74" i="1"/>
  <c r="X47" i="1"/>
  <c r="X16" i="1"/>
  <c r="X50" i="1"/>
  <c r="X26" i="1"/>
  <c r="X34" i="1"/>
  <c r="X44" i="1"/>
  <c r="X45" i="1"/>
  <c r="X10" i="1"/>
  <c r="X30" i="1"/>
  <c r="X18" i="1"/>
  <c r="X39" i="1"/>
  <c r="X73" i="1"/>
  <c r="X59" i="1"/>
  <c r="X71" i="1"/>
  <c r="X54" i="1"/>
  <c r="X24" i="1"/>
  <c r="X37" i="1"/>
  <c r="X72" i="1"/>
  <c r="X61" i="1"/>
  <c r="X51" i="1"/>
  <c r="X7" i="1"/>
  <c r="X21" i="1"/>
  <c r="X55" i="1"/>
  <c r="X27" i="1"/>
  <c r="X57" i="1"/>
  <c r="X69" i="1"/>
  <c r="X52" i="1"/>
  <c r="X70" i="1"/>
  <c r="X17" i="1"/>
  <c r="X62" i="1"/>
  <c r="X58" i="1"/>
  <c r="X22" i="1"/>
  <c r="X8" i="1"/>
  <c r="X53" i="1"/>
  <c r="AC45" i="1"/>
  <c r="AC44" i="1"/>
  <c r="AA2" i="1"/>
  <c r="AC54" i="1"/>
  <c r="AC52" i="1"/>
  <c r="AC68" i="1"/>
  <c r="P69" i="1"/>
  <c r="P70" i="1" s="1"/>
  <c r="P71" i="1" s="1"/>
  <c r="P72" i="1" s="1"/>
  <c r="P73" i="1" s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AC73" i="1"/>
  <c r="P74" i="1"/>
  <c r="N72" i="1"/>
  <c r="N73" i="1" s="1"/>
  <c r="L67" i="1"/>
  <c r="M61" i="1"/>
  <c r="G76" i="1" l="1"/>
  <c r="T76" i="1" s="1"/>
  <c r="T2" i="1"/>
  <c r="AC51" i="1"/>
  <c r="P75" i="1"/>
  <c r="T6" i="1"/>
  <c r="T74" i="1"/>
  <c r="T66" i="1"/>
  <c r="T9" i="1"/>
  <c r="T67" i="1"/>
  <c r="T43" i="1"/>
  <c r="T20" i="1"/>
  <c r="T39" i="1"/>
  <c r="T72" i="1"/>
  <c r="T10" i="1"/>
  <c r="T11" i="1"/>
  <c r="T35" i="1"/>
  <c r="T28" i="1"/>
  <c r="T27" i="1"/>
  <c r="T52" i="1"/>
  <c r="T14" i="1"/>
  <c r="T29" i="1"/>
  <c r="T56" i="1"/>
  <c r="T12" i="1"/>
  <c r="T30" i="1"/>
  <c r="T26" i="1"/>
  <c r="T63" i="1"/>
  <c r="T54" i="1"/>
  <c r="T45" i="1"/>
  <c r="T19" i="1"/>
  <c r="T18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T57" i="1" l="1"/>
  <c r="T15" i="1"/>
  <c r="T33" i="1"/>
  <c r="T40" i="1"/>
  <c r="T5" i="1"/>
  <c r="T68" i="1"/>
  <c r="T50" i="1"/>
  <c r="T64" i="1"/>
  <c r="T71" i="1"/>
  <c r="T41" i="1"/>
  <c r="T62" i="1"/>
  <c r="T21" i="1"/>
  <c r="T42" i="1"/>
  <c r="T69" i="1"/>
  <c r="T32" i="1"/>
  <c r="T25" i="1"/>
  <c r="T16" i="1"/>
  <c r="T61" i="1"/>
  <c r="T55" i="1"/>
  <c r="T31" i="1"/>
  <c r="T22" i="1"/>
  <c r="T70" i="1"/>
  <c r="T59" i="1"/>
  <c r="T23" i="1"/>
  <c r="T37" i="1"/>
  <c r="T7" i="1"/>
  <c r="T13" i="1"/>
  <c r="T8" i="1"/>
  <c r="T60" i="1"/>
  <c r="T51" i="1"/>
  <c r="T36" i="1"/>
  <c r="T24" i="1"/>
  <c r="T65" i="1"/>
  <c r="T46" i="1"/>
  <c r="T48" i="1"/>
  <c r="T44" i="1"/>
  <c r="T17" i="1"/>
  <c r="T49" i="1"/>
  <c r="T47" i="1"/>
  <c r="T58" i="1"/>
  <c r="T34" i="1"/>
  <c r="T73" i="1"/>
  <c r="T4" i="1"/>
  <c r="T3" i="1"/>
  <c r="T75" i="1"/>
  <c r="T53" i="1"/>
  <c r="AC75" i="1"/>
  <c r="P76" i="1"/>
  <c r="AA44" i="1"/>
  <c r="N75" i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AC76" i="1" l="1"/>
  <c r="AC53" i="1"/>
  <c r="AA75" i="1"/>
  <c r="N76" i="1"/>
  <c r="AA76" i="1" s="1"/>
  <c r="L70" i="1"/>
  <c r="M67" i="1"/>
  <c r="AA53" i="1" l="1"/>
  <c r="L71" i="1"/>
  <c r="L72" i="1" s="1"/>
  <c r="L73" i="1" s="1"/>
  <c r="M68" i="1"/>
  <c r="L74" i="1" l="1"/>
  <c r="L75" i="1" s="1"/>
  <c r="M69" i="1"/>
  <c r="Y75" i="1" l="1"/>
  <c r="L76" i="1"/>
  <c r="Y76" i="1" s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M75" i="1" s="1"/>
  <c r="M76" i="1" l="1"/>
  <c r="Z76" i="1" s="1"/>
  <c r="Z2" i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  <c r="Z75" i="1" l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<sst xmlns="http://schemas.openxmlformats.org/spreadsheetml/2006/main" count="884" uniqueCount="536">
  <si>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</si>
  <si>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</si>
  <si>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</si>
  <si>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</si>
  <si>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</si>
  <si>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</si>
  <si>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</si>
  <si>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</si>
  <si>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</si>
  <si>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</si>
  <si>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</si>
  <si>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</si>
  <si>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</si>
  <si>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</si>
  <si>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</si>
  <si>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</si>
  <si>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</si>
  <si>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</si>
  <si>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</si>
  <si>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</si>
  <si>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</si>
  <si>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</si>
  <si>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</si>
  <si>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</si>
  <si>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</si>
  <si>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</si>
  <si>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</si>
  <si>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</si>
  <si>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</si>
  <si>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</si>
  <si>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</si>
  <si>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</si>
  <si>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</si>
  <si>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</si>
  <si>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</si>
  <si>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</si>
  <si>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</si>
  <si>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</si>
  <si>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</si>
  <si>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</si>
  <si>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</si>
  <si>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</si>
  <si>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</si>
  <si>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</si>
  <si>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</si>
  <si>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</si>
  <si>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</si>
  <si>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</si>
  <si>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</si>
  <si>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</si>
  <si>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</si>
  <si>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</si>
  <si>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</si>
  <si>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</si>
  <si>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</si>
  <si>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</si>
  <si>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</si>
  <si>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</si>
  <si>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</si>
  <si>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</si>
  <si>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</si>
  <si>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</si>
  <si>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</si>
  <si>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</si>
  <si>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</si>
  <si>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</si>
  <si>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</si>
  <si>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</si>
  <si>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</si>
  <si>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</si>
  <si>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</si>
  <si>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</si>
  <si>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</si>
  <si>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</si>
  <si>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</si>
  <si>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</si>
  <si>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</si>
  <si>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</si>
  <si>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</si>
  <si>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</si>
  <si>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</si>
  <si>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</si>
  <si>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</si>
  <si>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</si>
  <si>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</si>
  <si>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</si>
  <si>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</si>
  <si>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</si>
  <si>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</si>
  <si>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</si>
  <si>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</si>
  <si>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</si>
  <si>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</si>
  <si>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</si>
  <si>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</si>
  <si>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</si>
  <si>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</si>
  <si>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</si>
  <si>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</si>
  <si>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</si>
  <si>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</si>
  <si>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</si>
  <si>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</si>
  <si>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</si>
  <si>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</si>
  <si>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</si>
  <si>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</si>
  <si>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</si>
  <si>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</si>
  <si>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</si>
  <si>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</si>
  <si>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</si>
  <si>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</si>
  <si>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</si>
  <si>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</si>
  <si>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</si>
  <si>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</si>
  <si>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</si>
  <si>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</si>
  <si>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</si>
  <si>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</si>
  <si>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</si>
  <si>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</si>
  <si>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</si>
  <si>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</si>
  <si>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</si>
  <si>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</si>
  <si>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</si>
  <si>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</si>
  <si>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</si>
  <si>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</si>
  <si>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</si>
  <si>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</si>
  <si>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</si>
  <si>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</si>
  <si>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</si>
  <si>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</si>
  <si>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</si>
  <si>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</si>
  <si>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</si>
  <si>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</si>
  <si>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</si>
  <si>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</si>
  <si>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</si>
  <si>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</si>
  <si>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</si>
  <si>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</si>
  <si>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</si>
  <si>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</si>
  <si>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</si>
  <si>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</si>
  <si>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</si>
  <si>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</si>
  <si>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</si>
  <si>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</si>
  <si>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</si>
  <si>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</si>
  <si>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</si>
  <si>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</si>
  <si>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</si>
  <si>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</si>
  <si>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</si>
  <si>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</si>
  <si>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</si>
  <si>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</si>
  <si>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</si>
  <si>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</si>
  <si>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</si>
  <si>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</si>
  <si>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</si>
  <si>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</si>
  <si>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</si>
  <si>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</si>
  <si>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</si>
  <si>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</si>
  <si>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</si>
  <si>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</si>
  <si>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</si>
  <si>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</si>
  <si>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</si>
  <si>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</si>
  <si>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</si>
  <si>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</si>
  <si>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</si>
  <si>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</si>
  <si>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</si>
  <si>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</si>
  <si>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</si>
  <si>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</si>
  <si>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</si>
  <si>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</si>
  <si>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</si>
  <si>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</si>
  <si>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</si>
  <si>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</si>
  <si>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</si>
  <si>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</si>
  <si>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</si>
  <si>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</si>
  <si>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</si>
  <si>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</si>
  <si>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</si>
  <si>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</si>
  <si>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</si>
  <si>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</si>
  <si>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</si>
  <si>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</si>
  <si>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</si>
  <si>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</si>
  <si>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</si>
  <si>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</si>
  <si>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</si>
  <si>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</si>
  <si>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</si>
  <si>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</si>
  <si>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</si>
  <si>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</si>
  <si>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</si>
  <si>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</si>
  <si>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</si>
  <si>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</si>
  <si>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</si>
  <si>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</si>
  <si>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</si>
  <si>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</si>
  <si>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</si>
  <si>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</si>
  <si>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</si>
  <si>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</si>
  <si>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</si>
  <si>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</si>
  <si>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</si>
  <si>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</si>
  <si>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</si>
  <si>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</si>
  <si>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</si>
  <si>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</si>
  <si>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</si>
  <si>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</si>
  <si>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</si>
  <si>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</si>
  <si>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</si>
  <si>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</si>
  <si>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</si>
  <si>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</si>
  <si>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</si>
  <si>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</si>
  <si>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</si>
  <si>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</si>
  <si>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</si>
  <si>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</si>
  <si>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</si>
  <si>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</si>
  <si>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</si>
  <si>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</si>
  <si>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</si>
  <si>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</si>
  <si>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</si>
  <si>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</si>
  <si>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</si>
  <si>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</si>
  <si>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</si>
  <si>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</si>
  <si>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</si>
  <si>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</si>
  <si>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</si>
  <si>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</si>
  <si>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</si>
  <si>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</si>
  <si>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</si>
  <si>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</si>
  <si>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</si>
  <si>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</si>
  <si>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</si>
  <si>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</si>
  <si>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</si>
  <si>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</si>
  <si>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</si>
  <si>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</si>
  <si>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</si>
  <si>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</si>
  <si>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</si>
  <si>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</si>
  <si>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</si>
  <si>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</si>
  <si>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</si>
  <si>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</si>
  <si>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</si>
  <si>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</si>
  <si>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</si>
  <si>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</si>
  <si>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</si>
  <si>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</si>
  <si>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</si>
  <si>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</si>
  <si>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</si>
  <si>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</si>
  <si>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</si>
  <si>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</si>
  <si>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</si>
  <si>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</si>
  <si>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</si>
  <si>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</si>
  <si>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</si>
  <si>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</si>
  <si>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</si>
  <si>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</si>
  <si>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</si>
  <si>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</si>
  <si>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</si>
  <si>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</si>
  <si>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</si>
  <si>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</si>
  <si>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</si>
  <si>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</si>
  <si>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</si>
  <si>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</si>
  <si>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</si>
  <si>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</si>
  <si>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</si>
  <si>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</si>
  <si>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</si>
  <si>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</si>
  <si>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</si>
  <si>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</si>
  <si>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</si>
  <si>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</si>
  <si>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</si>
  <si>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</si>
  <si>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</si>
  <si>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</si>
  <si>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</si>
  <si>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</si>
  <si>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</si>
  <si>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</si>
  <si>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</si>
  <si>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</si>
  <si>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</si>
  <si>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</si>
  <si>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</si>
  <si>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</si>
  <si>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</si>
  <si>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</si>
  <si>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</si>
  <si>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</si>
  <si>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</si>
  <si>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</si>
  <si>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</si>
  <si>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</si>
  <si>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</si>
  <si>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</si>
  <si>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</si>
  <si>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</si>
  <si>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</si>
  <si>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</si>
  <si>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</si>
  <si>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</si>
  <si>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</si>
  <si>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</si>
  <si>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</si>
  <si>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</si>
  <si>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</si>
  <si>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</si>
  <si>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</si>
  <si>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</si>
  <si>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</si>
  <si>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</si>
  <si>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</si>
  <si>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</si>
  <si>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</si>
  <si>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</si>
  <si>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</si>
  <si>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</si>
  <si>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</si>
  <si>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</si>
  <si>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</si>
  <si>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</si>
  <si>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</si>
  <si>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</si>
  <si>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</si>
  <si>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</si>
  <si>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</si>
  <si>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</si>
  <si>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</si>
  <si>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</si>
  <si>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</si>
  <si>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</si>
  <si>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</si>
  <si>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</si>
  <si>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</si>
  <si>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</si>
  <si>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</si>
  <si>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</si>
  <si>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</si>
  <si>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</si>
  <si>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</si>
  <si>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</si>
  <si>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</si>
  <si>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</si>
  <si>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</si>
  <si>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</si>
  <si>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</si>
  <si>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</si>
  <si>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</si>
  <si>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</si>
  <si>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</si>
  <si>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</si>
  <si>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</si>
  <si>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</si>
  <si>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</si>
  <si>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</si>
  <si>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</si>
  <si>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</si>
  <si>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</si>
  <si>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</si>
  <si>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</si>
  <si>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</si>
  <si>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</si>
  <si>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</si>
  <si>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</si>
  <si>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</si>
  <si>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</si>
  <si>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</si>
  <si>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</si>
  <si>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</si>
  <si>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</si>
  <si>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</si>
  <si>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</si>
  <si>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</si>
  <si>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</si>
  <si>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</si>
  <si>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</si>
  <si>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</si>
  <si>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</si>
  <si>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</si>
  <si>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</si>
  <si>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</si>
  <si>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</si>
  <si>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</si>
  <si>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</si>
  <si>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</si>
  <si>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</si>
  <si>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</si>
  <si>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</si>
  <si>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</si>
  <si>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</si>
  <si>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</si>
  <si>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</si>
  <si>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</si>
  <si>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</si>
  <si>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</si>
  <si>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</si>
  <si>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</si>
  <si>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</si>
  <si>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</si>
  <si>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</si>
  <si>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</si>
  <si>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</si>
  <si>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</si>
  <si>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</si>
  <si>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</si>
  <si>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</si>
  <si>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</si>
  <si>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</si>
  <si>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</si>
  <si>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</si>
  <si>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</si>
  <si>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</si>
  <si>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</si>
  <si>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</si>
  <si>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</si>
  <si>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</si>
  <si>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</si>
  <si>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</si>
  <si>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</si>
  <si>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</si>
  <si>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</si>
  <si>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</si>
  <si>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</si>
  <si>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</si>
  <si>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</si>
  <si>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</si>
  <si>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</si>
  <si>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</si>
  <si>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</si>
  <si>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</si>
  <si>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</si>
  <si>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</si>
  <si>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</si>
  <si>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</si>
  <si>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</si>
  <si>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</si>
  <si>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</si>
  <si>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</si>
  <si>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</si>
  <si>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</si>
  <si>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</si>
  <si>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</si>
  <si>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</si>
  <si>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</si>
  <si>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</si>
  <si>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</si>
  <si>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</si>
  <si>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</si>
  <si>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</si>
  <si>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</si>
  <si>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</si>
  <si>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</si>
  <si>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</si>
  <si>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</si>
  <si>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</si>
  <si>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</si>
  <si>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</si>
  <si>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</si>
  <si>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</si>
  <si>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</si>
  <si>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</si>
  <si>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</si>
  <si>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</si>
  <si>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100 ml</t>
  </si>
  <si>
    <t>Правый</t>
  </si>
  <si>
    <t>Abbot Whisper MS</t>
  </si>
  <si>
    <t>Abbot Whisper LS</t>
  </si>
  <si>
    <t>Pilot 150</t>
  </si>
  <si>
    <t>лучевой</t>
  </si>
  <si>
    <t>Извлечён</t>
  </si>
  <si>
    <t>15:12</t>
  </si>
  <si>
    <t>Суркина Л.А.</t>
  </si>
  <si>
    <t xml:space="preserve">кальциноз, неровности контуров. </t>
  </si>
  <si>
    <t xml:space="preserve">выраженный кальциноз проксимального и среднего сегментов. Тяжёлое коронарное поражение - диффузные стенотические изменения на протяжении проксимального и среднего сегментов со стенозом устья 98%, футлярный кальцинированный стеноз проксимального смегмента 75%, пролонгированный стеноз среднего сегмента 80% и локальный стеноз 90% (d. ветки на данном участке менее 2.0 мм)   Антеградный  кровоток пропульсивный - TIMI II. </t>
  </si>
  <si>
    <t xml:space="preserve">Тяжёлое коронарное поражение - диффузные стенотические изменения на протяжении проксимального и дистального сегментов: стеноз устья 70%, проксимального сегмента 80%, дистального сегмента 80% (артерия истончена, d менее 2.0 мм).  Антеградный  кровоток TIMI III. </t>
  </si>
  <si>
    <t>артерия крупная, стеноз проксимального сегмента 80%, неровности контуров среднего сегмента, стенозы дистального сегмента 40%, стеноз устья ЗБВ 50%. Антеградный  кровоток TIMI III.</t>
  </si>
  <si>
    <t>Совместно с д/кардиологом: с учетом клинических данных, ЭКГ и КАГ рекомендовано ЧКВ бассена ПНА</t>
  </si>
  <si>
    <t xml:space="preserve">Проводниковым катетером Launcher EBU  3.5 6Fr катетеризировано устье ствола ЛКА. Удалось завести коронарный проводник   fielder  в дистальный сегмента ПНА (Whisper LS  провести не удалось). БК Колибри 2.75-15 удалось позиционировать в зоне устья ПНА, в зону кальцинированного стеноза проксимального сегмента ПНА провести баллонный катер не удалось.  Выполнена эффективная ангиопластика устья ПНА.   Ангиографический результат субоптимальный, кровоток по ПНА восстановлен до TIMI III, резидуальный стеноз до 50%.  Пациенка в тяжёлом состоянии транспортируется в ПРИТ для дальнейшего наблюдения и лечения.состоянии транспортируется в ПРИТ для дальнейшего наблюдения и лечения. </t>
  </si>
  <si>
    <t>20 ml</t>
  </si>
  <si>
    <t xml:space="preserve">1)Контроль места пункции, повязка  на руке до 6 ч. 2) инфузия блокаторов IIb/IIIa рецепторов тромбоцитов в течении не менее 12ч.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</si>
</sst>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  <font>
      <sz val="10"/>
      <color theme="1"/>
      <name val="Arial Narrow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56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6" fillId="0" borderId="35" xfId="0" applyFont="1" applyBorder="1" applyAlignment="1" applyProtection="1">
      <alignment horizontal="center" vertical="center"/>
      <protection locked="0"/>
    </xf>
    <xf numFmtId="0" fontId="56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5" fillId="8" borderId="37" xfId="6" applyFont="1" applyBorder="1" applyAlignment="1">
      <alignment horizontal="left" vertical="center"/>
    </xf>
    <xf numFmtId="14" fontId="55" fillId="9" borderId="38" xfId="7" applyNumberFormat="1" applyFont="1" applyBorder="1" applyAlignment="1">
      <alignment horizontal="left" vertical="center"/>
    </xf>
    <xf numFmtId="14" fontId="48" fillId="9" borderId="39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5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71" fillId="0" borderId="5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6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N13" sqref="N1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7" t="s">
        <v>213</v>
      </c>
      <c r="B6" s="218"/>
      <c r="C6" s="218"/>
      <c r="D6" s="218"/>
      <c r="E6" s="218"/>
      <c r="F6" s="218"/>
      <c r="G6" s="218"/>
      <c r="H6" s="219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45454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0.4236111111111111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0.43055555555555558</v>
      </c>
      <c r="C10" s="55"/>
      <c r="D10" s="95" t="s">
        <v>173</v>
      </c>
      <c r="E10" s="93"/>
      <c r="F10" s="93"/>
      <c r="G10" s="24" t="s">
        <v>159</v>
      </c>
      <c r="H10" s="26"/>
    </row>
    <row r="11" spans="1:8" ht="17.25" thickTop="1" thickBot="1">
      <c r="A11" s="89" t="s">
        <v>192</v>
      </c>
      <c r="B11" s="203" t="s">
        <v>527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14831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83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16647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398</v>
      </c>
      <c r="H15" s="169" t="s">
        <v>526</v>
      </c>
    </row>
    <row r="16" spans="1:8" ht="15.6" customHeight="1">
      <c r="A16" s="15" t="s">
        <v>106</v>
      </c>
      <c r="B16" s="19" t="s">
        <v>311</v>
      </c>
      <c r="D16" s="36"/>
      <c r="E16" s="36"/>
      <c r="F16" s="36"/>
      <c r="G16" s="166" t="s">
        <v>400</v>
      </c>
      <c r="H16" s="164">
        <v>4550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387</v>
      </c>
      <c r="H17" s="168">
        <f>H16*0.0019</f>
        <v>8.6449999999999996</v>
      </c>
    </row>
    <row r="18" spans="1:8" ht="14.45" customHeight="1">
      <c r="A18" s="57" t="s">
        <v>188</v>
      </c>
      <c r="B18" s="87" t="s">
        <v>520</v>
      </c>
      <c r="D18" s="28" t="s">
        <v>210</v>
      </c>
      <c r="E18" s="28"/>
      <c r="F18" s="28"/>
      <c r="G18" s="85" t="s">
        <v>189</v>
      </c>
      <c r="H18" s="86" t="s">
        <v>524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20" t="s">
        <v>528</v>
      </c>
      <c r="C20" s="221"/>
      <c r="D20" s="221"/>
      <c r="E20" s="221"/>
      <c r="F20" s="221"/>
      <c r="G20" s="221"/>
      <c r="H20" s="222"/>
    </row>
    <row r="21" spans="1:8">
      <c r="A21" s="58"/>
      <c r="B21" s="223"/>
      <c r="C21" s="223"/>
      <c r="D21" s="223"/>
      <c r="E21" s="223"/>
      <c r="F21" s="223"/>
      <c r="G21" s="223"/>
      <c r="H21" s="224"/>
    </row>
    <row r="22" spans="1:8" ht="15.6" customHeight="1">
      <c r="A22" s="59" t="s">
        <v>271</v>
      </c>
      <c r="B22" s="225" t="s">
        <v>529</v>
      </c>
      <c r="C22" s="226"/>
      <c r="D22" s="226"/>
      <c r="E22" s="226"/>
      <c r="F22" s="226"/>
      <c r="G22" s="226"/>
      <c r="H22" s="227"/>
    </row>
    <row r="23" spans="1:8" ht="14.45" customHeight="1">
      <c r="A23" s="38"/>
      <c r="B23" s="228"/>
      <c r="C23" s="228"/>
      <c r="D23" s="228"/>
      <c r="E23" s="228"/>
      <c r="F23" s="228"/>
      <c r="G23" s="228"/>
      <c r="H23" s="229"/>
    </row>
    <row r="24" spans="1:8" ht="14.45" customHeight="1">
      <c r="A24" s="6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38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40"/>
      <c r="B26" s="230"/>
      <c r="C26" s="230"/>
      <c r="D26" s="230"/>
      <c r="E26" s="230"/>
      <c r="F26" s="230"/>
      <c r="G26" s="230"/>
      <c r="H26" s="231"/>
    </row>
    <row r="27" spans="1:8" ht="14.45" customHeight="1">
      <c r="A27" s="59" t="s">
        <v>272</v>
      </c>
      <c r="B27" s="226" t="s">
        <v>530</v>
      </c>
      <c r="C27" s="226"/>
      <c r="D27" s="226"/>
      <c r="E27" s="226"/>
      <c r="F27" s="226"/>
      <c r="G27" s="226"/>
      <c r="H27" s="227"/>
    </row>
    <row r="28" spans="1:8" ht="15.6" customHeight="1">
      <c r="A28" s="38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38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32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33"/>
      <c r="B31" s="230"/>
      <c r="C31" s="230"/>
      <c r="D31" s="230"/>
      <c r="E31" s="230"/>
      <c r="F31" s="230"/>
      <c r="G31" s="230"/>
      <c r="H31" s="231"/>
    </row>
    <row r="32" spans="1:8" ht="14.45" customHeight="1">
      <c r="A32" s="59" t="s">
        <v>273</v>
      </c>
      <c r="B32" s="226" t="s">
        <v>531</v>
      </c>
      <c r="C32" s="226"/>
      <c r="D32" s="226"/>
      <c r="E32" s="226"/>
      <c r="F32" s="226"/>
      <c r="G32" s="226"/>
      <c r="H32" s="227"/>
    </row>
    <row r="33" spans="1:8" ht="14.45" customHeight="1">
      <c r="A33" s="38"/>
      <c r="B33" s="228"/>
      <c r="C33" s="228"/>
      <c r="D33" s="228"/>
      <c r="E33" s="228"/>
      <c r="F33" s="228"/>
      <c r="G33" s="228"/>
      <c r="H33" s="229"/>
    </row>
    <row r="34" spans="1:8" ht="15.6" customHeight="1">
      <c r="A34" s="38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38"/>
      <c r="B35" s="228"/>
      <c r="C35" s="228"/>
      <c r="D35" s="228"/>
      <c r="E35" s="228"/>
      <c r="F35" s="228"/>
      <c r="G35" s="228"/>
      <c r="H35" s="229"/>
    </row>
    <row r="36" spans="1:8" ht="15.6" customHeight="1">
      <c r="A36" s="38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38"/>
      <c r="D37" s="213" t="str">
        <f>IF($A$6=Вмешательства!$D$3,Вмешательства!$F$18,"")</f>
        <v/>
      </c>
      <c r="E37" s="213"/>
      <c r="F37" s="119"/>
      <c r="G37" s="119"/>
      <c r="H37" s="123"/>
    </row>
    <row r="38" spans="1:8" ht="14.45" customHeight="1">
      <c r="A38" s="38"/>
      <c r="C38" s="124"/>
      <c r="D38" s="214"/>
      <c r="E38" s="215"/>
      <c r="F38" s="215"/>
      <c r="G38" s="215"/>
      <c r="H38" s="216"/>
    </row>
    <row r="39" spans="1:8" ht="14.45" customHeight="1">
      <c r="A39" s="35"/>
      <c r="B39" s="119"/>
      <c r="C39" s="124"/>
      <c r="D39" s="215"/>
      <c r="E39" s="215"/>
      <c r="F39" s="215"/>
      <c r="G39" s="215"/>
      <c r="H39" s="216"/>
    </row>
    <row r="40" spans="1:8" ht="14.45" customHeight="1">
      <c r="A40" s="35"/>
      <c r="B40" s="119"/>
      <c r="C40" s="124"/>
      <c r="D40" s="215"/>
      <c r="E40" s="215"/>
      <c r="F40" s="215"/>
      <c r="G40" s="215"/>
      <c r="H40" s="216"/>
    </row>
    <row r="41" spans="1:8" ht="14.45" customHeight="1">
      <c r="A41" s="35"/>
      <c r="B41" s="119"/>
      <c r="C41" s="124"/>
      <c r="D41" s="215"/>
      <c r="E41" s="215"/>
      <c r="F41" s="215"/>
      <c r="G41" s="215"/>
      <c r="H41" s="216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10" t="s">
        <v>532</v>
      </c>
      <c r="E43" s="211"/>
      <c r="F43" s="211"/>
      <c r="G43" s="211"/>
      <c r="H43" s="212"/>
    </row>
    <row r="44" spans="1:8" ht="14.45" customHeight="1">
      <c r="A44" s="35"/>
      <c r="B44" s="119"/>
      <c r="C44" s="126"/>
      <c r="D44" s="211"/>
      <c r="E44" s="211"/>
      <c r="F44" s="211"/>
      <c r="G44" s="211"/>
      <c r="H44" s="212"/>
    </row>
    <row r="45" spans="1:8" ht="14.45" customHeight="1">
      <c r="A45" s="35"/>
      <c r="B45" s="119"/>
      <c r="C45" s="126"/>
      <c r="D45" s="211"/>
      <c r="E45" s="211"/>
      <c r="F45" s="211"/>
      <c r="G45" s="211"/>
      <c r="H45" s="212"/>
    </row>
    <row r="46" spans="1:8">
      <c r="A46" s="35"/>
      <c r="B46" s="119"/>
      <c r="C46" s="126"/>
      <c r="D46" s="211"/>
      <c r="E46" s="211"/>
      <c r="F46" s="211"/>
      <c r="G46" s="211"/>
      <c r="H46" s="212"/>
    </row>
    <row r="47" spans="1:8">
      <c r="A47" s="38"/>
      <c r="C47" s="126"/>
      <c r="D47" s="211"/>
      <c r="E47" s="211"/>
      <c r="F47" s="211"/>
      <c r="G47" s="211"/>
      <c r="H47" s="212"/>
    </row>
    <row r="48" spans="1:8">
      <c r="A48" s="38"/>
      <c r="C48" s="126"/>
      <c r="D48" s="211"/>
      <c r="E48" s="211"/>
      <c r="F48" s="211"/>
      <c r="G48" s="211"/>
      <c r="H48" s="212"/>
    </row>
    <row r="49" spans="1:13">
      <c r="A49" s="38"/>
      <c r="B49" s="205"/>
      <c r="C49" s="206"/>
      <c r="D49" s="211"/>
      <c r="E49" s="211"/>
      <c r="F49" s="211"/>
      <c r="G49" s="211"/>
      <c r="H49" s="212"/>
    </row>
    <row r="50" spans="1:13">
      <c r="A50" s="38"/>
      <c r="D50" s="211"/>
      <c r="E50" s="211"/>
      <c r="F50" s="211"/>
      <c r="G50" s="211"/>
      <c r="H50" s="212"/>
      <c r="M50" t="s">
        <v>211</v>
      </c>
    </row>
    <row r="51" spans="1:13">
      <c r="A51" s="62" t="s">
        <v>199</v>
      </c>
      <c r="B51" s="63" t="s">
        <v>519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525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14" zoomScaleNormal="100" zoomScaleSheetLayoutView="100" zoomScalePageLayoutView="90" workbookViewId="0">
      <selection activeCell="J44" sqref="J44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42" t="s">
        <v>399</v>
      </c>
      <c r="B6" s="243"/>
      <c r="C6" s="243"/>
      <c r="D6" s="243"/>
      <c r="E6" s="243"/>
      <c r="F6" s="243"/>
      <c r="G6" s="243"/>
      <c r="H6" s="244"/>
    </row>
    <row r="7" spans="1:8" ht="21.6" customHeight="1">
      <c r="A7" s="242"/>
      <c r="B7" s="243"/>
      <c r="C7" s="243"/>
      <c r="D7" s="243"/>
      <c r="E7" s="243"/>
      <c r="F7" s="243"/>
      <c r="G7" s="243"/>
      <c r="H7" s="244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</v>
      </c>
      <c r="C8" s="241" t="s">
        <v>221</v>
      </c>
      <c r="D8" s="241"/>
      <c r="E8" s="241"/>
      <c r="F8" s="190"/>
      <c r="G8" s="118"/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41"/>
      <c r="D9" s="241"/>
      <c r="E9" s="241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5"/>
      <c r="D10" s="245"/>
      <c r="E10" s="245"/>
      <c r="F10" s="193"/>
      <c r="G10" s="118"/>
      <c r="H10" s="39"/>
    </row>
    <row r="11" spans="1:8">
      <c r="A11" s="192"/>
      <c r="B11" s="196"/>
      <c r="C11" s="199">
        <f>SUM(F8:F10)</f>
        <v>0</v>
      </c>
      <c r="H11" s="39"/>
    </row>
    <row r="12" spans="1:8" ht="18.75">
      <c r="A12" s="75" t="s">
        <v>191</v>
      </c>
      <c r="B12" s="20">
        <f>КАГ!B8</f>
        <v>45454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0.43055555555555558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0.47222222222222227</v>
      </c>
      <c r="C14" s="12"/>
      <c r="D14" s="95" t="s">
        <v>173</v>
      </c>
      <c r="E14" s="93"/>
      <c r="F14" s="93"/>
      <c r="G14" s="80" t="str">
        <f>КАГ!G10</f>
        <v>Нефёдова А.А.</v>
      </c>
      <c r="H14" s="91" t="str">
        <f>IF(ISBLANK(КАГ!H10),"",КАГ!H10)</f>
        <v/>
      </c>
    </row>
    <row r="15" spans="1:8" ht="16.5" thickBot="1">
      <c r="A15" s="163" t="s">
        <v>386</v>
      </c>
      <c r="B15" s="188">
        <f>IF(B14&lt;B13,B14+1,B14)-B13</f>
        <v>4.1666666666666685E-2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Суркина Л.А.</v>
      </c>
      <c r="C16" s="200">
        <f>LEN(КАГ!B11)</f>
        <v>12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14831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83</v>
      </c>
      <c r="H18" s="39"/>
    </row>
    <row r="19" spans="1:8" ht="14.45" customHeight="1">
      <c r="A19" s="15" t="s">
        <v>12</v>
      </c>
      <c r="B19" s="68">
        <f>КАГ!B14</f>
        <v>16647</v>
      </c>
      <c r="C19" s="69"/>
      <c r="D19" s="69"/>
      <c r="E19" s="69"/>
      <c r="F19" s="69"/>
      <c r="G19" s="165" t="s">
        <v>398</v>
      </c>
      <c r="H19" s="180" t="str">
        <f>КАГ!H15</f>
        <v>15:12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400</v>
      </c>
      <c r="H20" s="181">
        <f>КАГ!H16</f>
        <v>4550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387</v>
      </c>
      <c r="H21" s="168">
        <f>КАГ!H17</f>
        <v>8.6449999999999996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390</v>
      </c>
      <c r="B23" s="172" t="s">
        <v>389</v>
      </c>
      <c r="C23" s="162"/>
      <c r="D23" s="162"/>
      <c r="E23" s="162"/>
      <c r="F23" s="162"/>
      <c r="H23" s="39"/>
    </row>
    <row r="24" spans="1:8" ht="14.45" customHeight="1">
      <c r="A24" s="183" t="s">
        <v>388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9" t="s">
        <v>533</v>
      </c>
      <c r="B25" s="250"/>
      <c r="C25" s="250"/>
      <c r="D25" s="250"/>
      <c r="E25" s="250"/>
      <c r="F25" s="250"/>
      <c r="G25" s="250"/>
      <c r="H25" s="251"/>
    </row>
    <row r="26" spans="1:8" ht="14.45" customHeight="1">
      <c r="A26" s="252"/>
      <c r="B26" s="250"/>
      <c r="C26" s="250"/>
      <c r="D26" s="250"/>
      <c r="E26" s="250"/>
      <c r="F26" s="250"/>
      <c r="G26" s="250"/>
      <c r="H26" s="251"/>
    </row>
    <row r="27" spans="1:8" ht="14.45" customHeight="1">
      <c r="A27" s="252"/>
      <c r="B27" s="250"/>
      <c r="C27" s="250"/>
      <c r="D27" s="250"/>
      <c r="E27" s="250"/>
      <c r="F27" s="250"/>
      <c r="G27" s="250"/>
      <c r="H27" s="251"/>
    </row>
    <row r="28" spans="1:8" ht="14.45" customHeight="1">
      <c r="A28" s="252"/>
      <c r="B28" s="250"/>
      <c r="C28" s="250"/>
      <c r="D28" s="250"/>
      <c r="E28" s="250"/>
      <c r="F28" s="250"/>
      <c r="G28" s="250"/>
      <c r="H28" s="251"/>
    </row>
    <row r="29" spans="1:8" ht="14.45" customHeight="1">
      <c r="A29" s="252"/>
      <c r="B29" s="250"/>
      <c r="C29" s="250"/>
      <c r="D29" s="250"/>
      <c r="E29" s="250"/>
      <c r="F29" s="250"/>
      <c r="G29" s="250"/>
      <c r="H29" s="251"/>
    </row>
    <row r="30" spans="1:8" ht="14.45" customHeight="1">
      <c r="A30" s="252"/>
      <c r="B30" s="250"/>
      <c r="C30" s="250"/>
      <c r="D30" s="250"/>
      <c r="E30" s="250"/>
      <c r="F30" s="250"/>
      <c r="G30" s="250"/>
      <c r="H30" s="251"/>
    </row>
    <row r="31" spans="1:8" ht="14.45" customHeight="1">
      <c r="A31" s="252"/>
      <c r="B31" s="250"/>
      <c r="C31" s="250"/>
      <c r="D31" s="250"/>
      <c r="E31" s="250"/>
      <c r="F31" s="250"/>
      <c r="G31" s="250"/>
      <c r="H31" s="251"/>
    </row>
    <row r="32" spans="1:8" ht="14.45" customHeight="1">
      <c r="A32" s="252"/>
      <c r="B32" s="250"/>
      <c r="C32" s="250"/>
      <c r="D32" s="250"/>
      <c r="E32" s="250"/>
      <c r="F32" s="250"/>
      <c r="G32" s="250"/>
      <c r="H32" s="251"/>
    </row>
    <row r="33" spans="1:12" ht="14.45" customHeight="1">
      <c r="A33" s="252"/>
      <c r="B33" s="250"/>
      <c r="C33" s="250"/>
      <c r="D33" s="250"/>
      <c r="E33" s="250"/>
      <c r="F33" s="250"/>
      <c r="G33" s="250"/>
      <c r="H33" s="251"/>
    </row>
    <row r="34" spans="1:12" ht="14.45" customHeight="1">
      <c r="A34" s="252"/>
      <c r="B34" s="250"/>
      <c r="C34" s="250"/>
      <c r="D34" s="250"/>
      <c r="E34" s="250"/>
      <c r="F34" s="250"/>
      <c r="G34" s="250"/>
      <c r="H34" s="251"/>
    </row>
    <row r="35" spans="1:12" ht="14.45" customHeight="1">
      <c r="A35" s="252"/>
      <c r="B35" s="250"/>
      <c r="C35" s="250"/>
      <c r="D35" s="250"/>
      <c r="E35" s="250"/>
      <c r="F35" s="250"/>
      <c r="G35" s="250"/>
      <c r="H35" s="251"/>
    </row>
    <row r="36" spans="1:12" ht="14.45" customHeight="1">
      <c r="A36" s="252"/>
      <c r="B36" s="250"/>
      <c r="C36" s="250"/>
      <c r="D36" s="250"/>
      <c r="E36" s="250"/>
      <c r="F36" s="250"/>
      <c r="G36" s="250"/>
      <c r="H36" s="251"/>
    </row>
    <row r="37" spans="1:12" ht="14.45" customHeight="1">
      <c r="A37" s="252"/>
      <c r="B37" s="250"/>
      <c r="C37" s="250"/>
      <c r="D37" s="250"/>
      <c r="E37" s="250"/>
      <c r="F37" s="250"/>
      <c r="G37" s="250"/>
      <c r="H37" s="251"/>
    </row>
    <row r="38" spans="1:12" ht="14.45" customHeight="1">
      <c r="A38" s="177" t="s">
        <v>394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-----</v>
      </c>
      <c r="F38" s="176"/>
      <c r="G38" s="179"/>
    </row>
    <row r="39" spans="1:12" ht="15.75">
      <c r="A39" s="173" t="s">
        <v>391</v>
      </c>
      <c r="B39" s="70" t="s">
        <v>393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392</v>
      </c>
      <c r="B40" s="178" t="s">
        <v>534</v>
      </c>
      <c r="C40" s="120"/>
      <c r="D40" s="246" t="s">
        <v>535</v>
      </c>
      <c r="E40" s="247"/>
      <c r="F40" s="247"/>
      <c r="G40" s="247"/>
      <c r="H40" s="248"/>
    </row>
    <row r="41" spans="1:12" ht="14.45" customHeight="1">
      <c r="A41" s="32"/>
      <c r="B41" s="28"/>
      <c r="C41" s="120"/>
      <c r="D41" s="247"/>
      <c r="E41" s="247"/>
      <c r="F41" s="247"/>
      <c r="G41" s="247"/>
      <c r="H41" s="248"/>
    </row>
    <row r="42" spans="1:12" ht="14.45" customHeight="1">
      <c r="A42" s="32"/>
      <c r="B42" s="28"/>
      <c r="C42" s="120"/>
      <c r="D42" s="247"/>
      <c r="E42" s="247"/>
      <c r="F42" s="247"/>
      <c r="G42" s="247"/>
      <c r="H42" s="248"/>
    </row>
    <row r="43" spans="1:12" ht="14.45" customHeight="1">
      <c r="A43" s="32"/>
      <c r="B43" s="28"/>
      <c r="C43" s="120"/>
      <c r="D43" s="247"/>
      <c r="E43" s="247"/>
      <c r="F43" s="247"/>
      <c r="G43" s="247"/>
      <c r="H43" s="248"/>
    </row>
    <row r="44" spans="1:12" ht="14.45" customHeight="1">
      <c r="A44" s="32"/>
      <c r="B44" s="28"/>
      <c r="C44" s="120"/>
      <c r="D44" s="247"/>
      <c r="E44" s="247"/>
      <c r="F44" s="247"/>
      <c r="G44" s="247"/>
      <c r="H44" s="248"/>
      <c r="L44" s="160"/>
    </row>
    <row r="45" spans="1:12" ht="14.45" customHeight="1">
      <c r="A45" s="32"/>
      <c r="B45" s="28"/>
      <c r="C45" s="120"/>
      <c r="D45" s="247"/>
      <c r="E45" s="247"/>
      <c r="F45" s="247"/>
      <c r="G45" s="247"/>
      <c r="H45" s="248"/>
    </row>
    <row r="46" spans="1:12" ht="14.45" customHeight="1">
      <c r="A46" s="32"/>
      <c r="B46" s="28"/>
      <c r="C46" s="120"/>
      <c r="D46" s="247"/>
      <c r="E46" s="247"/>
      <c r="F46" s="247"/>
      <c r="G46" s="247"/>
      <c r="H46" s="248"/>
    </row>
    <row r="47" spans="1:12" ht="14.45" customHeight="1">
      <c r="A47" s="38"/>
      <c r="C47" s="120"/>
      <c r="D47" s="247"/>
      <c r="E47" s="247"/>
      <c r="F47" s="247"/>
      <c r="G47" s="247"/>
      <c r="H47" s="248"/>
    </row>
    <row r="48" spans="1:12" ht="14.45" customHeight="1">
      <c r="A48" s="38"/>
      <c r="C48" s="120"/>
      <c r="D48" s="247"/>
      <c r="E48" s="247"/>
      <c r="F48" s="247"/>
      <c r="G48" s="247"/>
      <c r="H48" s="248"/>
    </row>
    <row r="49" spans="1:8" ht="14.45" customHeight="1">
      <c r="A49" s="38"/>
      <c r="C49" s="120"/>
      <c r="D49" s="247"/>
      <c r="E49" s="247"/>
      <c r="F49" s="247"/>
      <c r="G49" s="247"/>
      <c r="H49" s="248"/>
    </row>
    <row r="50" spans="1:8">
      <c r="A50" s="62" t="s">
        <v>199</v>
      </c>
      <c r="B50" s="63" t="s">
        <v>519</v>
      </c>
      <c r="H50" s="39"/>
    </row>
    <row r="51" spans="1:8">
      <c r="A51" s="65" t="s">
        <v>206</v>
      </c>
      <c r="B51" s="66" t="s">
        <v>525</v>
      </c>
      <c r="G51" s="74" t="str">
        <f>$G$13</f>
        <v>Щербаков А.С.</v>
      </c>
      <c r="H51" s="64"/>
    </row>
    <row r="52" spans="1:8">
      <c r="A52" s="232" t="s">
        <v>370</v>
      </c>
      <c r="B52" s="233"/>
      <c r="C52" s="233"/>
      <c r="D52" s="233"/>
      <c r="E52" s="233"/>
      <c r="F52" s="234"/>
      <c r="H52" s="39"/>
    </row>
    <row r="53" spans="1:8" ht="15" customHeight="1">
      <c r="A53" s="235"/>
      <c r="B53" s="236"/>
      <c r="C53" s="236"/>
      <c r="D53" s="236"/>
      <c r="E53" s="236"/>
      <c r="F53" s="237"/>
      <c r="G53" s="74" t="str">
        <f>IF(ISBLANK(H13),"",H13)</f>
        <v/>
      </c>
      <c r="H53" s="64"/>
    </row>
    <row r="54" spans="1:8">
      <c r="A54" s="238"/>
      <c r="B54" s="239"/>
      <c r="C54" s="239"/>
      <c r="D54" s="239"/>
      <c r="E54" s="239"/>
      <c r="F54" s="240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18" sqref="G18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45454</v>
      </c>
      <c r="C2" s="152" t="str">
        <f>IF(ЧКВ!A6=Вмешательства!D4,Вмешательства!F20,IF(ЧКВ!A6=Вмешательства!D36,Вмешательства!F20,Вмешательства!F22))</f>
        <v>ОМС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Суркина Л.А.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14831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</v>
      </c>
      <c r="B6" s="134" t="str">
        <f>ЧКВ!A6</f>
        <v xml:space="preserve">Транслюминальная баллонная ангиопластика коронарных артерий. </v>
      </c>
      <c r="C6" s="131" t="s">
        <v>10</v>
      </c>
      <c r="D6" s="103">
        <f>DATEDIF(D5,D10,"y")</f>
        <v>83</v>
      </c>
    </row>
    <row r="7" spans="1:4">
      <c r="A7" s="38"/>
      <c r="C7" s="101" t="s">
        <v>12</v>
      </c>
      <c r="D7" s="103">
        <f>КАГ!$B$14</f>
        <v>16647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45454</v>
      </c>
    </row>
    <row r="11" spans="1:4">
      <c r="A11" s="27"/>
      <c r="B11" s="112"/>
      <c r="C11" s="112"/>
      <c r="D11" s="113"/>
    </row>
    <row r="12" spans="1:4" ht="18.75" customHeight="1">
      <c r="A12" s="136" t="s">
        <v>335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4" t="s">
        <v>522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314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374</v>
      </c>
      <c r="C16" s="135" t="s">
        <v>410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7" s="154" t="s">
        <v>325</v>
      </c>
      <c r="C17" s="135"/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54"/>
      <c r="C18" s="135"/>
      <c r="D18" s="140"/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4"/>
      <c r="C19" s="182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5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4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4"/>
      <c r="C22" s="135"/>
      <c r="D22" s="142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376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515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485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484</v>
      </c>
      <c r="G3" s="3" t="s">
        <v>485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311</v>
      </c>
      <c r="G4" s="3" t="s">
        <v>485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399</v>
      </c>
      <c r="F5" t="s">
        <v>131</v>
      </c>
      <c r="G5" s="3" t="s">
        <v>485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485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485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485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485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486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484</v>
      </c>
      <c r="G13" s="3" t="s">
        <v>486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311</v>
      </c>
      <c r="G14" s="3" t="s">
        <v>486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486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394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395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487</v>
      </c>
      <c r="V17" t="s">
        <v>396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336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337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347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502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M64" sqref="AM6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499</v>
      </c>
      <c r="AN1" s="2" t="s">
        <v>493</v>
      </c>
      <c r="AO1" t="s">
        <v>356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1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Abbot Whisper LS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Колибри</v>
      </c>
      <c r="V2" s="115" t="str">
        <f>IFERROR(INDEX(Расходка[Наименование расходного материала],MATCH(Расходка[[#This Row],[№]],Поиск_расходки[Индекс5],0)),"")</f>
        <v>Launcher 6F EBU 3.5</v>
      </c>
      <c r="W2" s="115" t="str">
        <f>IFERROR(INDEX(Расходка[Наименование расходного материала],MATCH(Расходка[[#This Row],[№]],Поиск_расходки[Индекс6],0)),"")</f>
        <v>Hunter® 6F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401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495</v>
      </c>
      <c r="AP2" s="128"/>
    </row>
    <row r="3" spans="1:42">
      <c r="A3">
        <v>2</v>
      </c>
      <c r="B3" t="s">
        <v>94</v>
      </c>
      <c r="C3" t="s">
        <v>369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2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 xml:space="preserve">NC Колибри </v>
      </c>
      <c r="V3" s="115" t="str">
        <f>IFERROR(INDEX(Расходка[Наименование расходного материала],MATCH(Расходка[[#This Row],[№]],Поиск_расходки[Индекс5],0)),"")</f>
        <v/>
      </c>
      <c r="W3" s="115" t="str">
        <f>IFERROR(INDEX(Расходка[Наименование расходного материала],MATCH(Расходка[[#This Row],[№]],Поиск_расходки[Индекс6],0)),"")</f>
        <v xml:space="preserve">Medtronic Export Advance </v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402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488</v>
      </c>
      <c r="AO3" t="s">
        <v>496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3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>Euphora</v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403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501</v>
      </c>
      <c r="AO4" t="s">
        <v>498</v>
      </c>
      <c r="AP4" s="129"/>
    </row>
    <row r="5" spans="1:42">
      <c r="A5">
        <v>4</v>
      </c>
      <c r="B5" t="s">
        <v>5</v>
      </c>
      <c r="C5" t="s">
        <v>312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4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>NC Accuforce</v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404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497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5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>NC Euphora</v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405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500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6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>Sapphire</v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406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494</v>
      </c>
    </row>
    <row r="8" spans="1:42">
      <c r="A8">
        <v>7</v>
      </c>
      <c r="B8" t="s">
        <v>5</v>
      </c>
      <c r="C8" t="s">
        <v>313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7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>Sprinter Legend</v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407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358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8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>SubMarine Rapido, Invatec</v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408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374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1</v>
      </c>
      <c r="I10" s="116">
        <f>IF(ISNUMBER(SEARCH('Карта учёта'!$B$17,Расходка[[#This Row],[Наименование расходного материала]])),MAX($I$1:I9)+1,0)</f>
        <v>0</v>
      </c>
      <c r="J10" s="116">
        <f>IF(ISNUMBER(SEARCH('Карта учёта'!$B$18,Расходка[[#This Row],[Наименование расходного материала]])),MAX($J$1:J9)+1,0)</f>
        <v>9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>Колибри</v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409</v>
      </c>
      <c r="AI10" t="s">
        <v>355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397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2</v>
      </c>
      <c r="I11" s="116">
        <f>IF(ISNUMBER(SEARCH('Карта учёта'!$B$17,Расходка[[#This Row],[Наименование расходного материала]])),MAX($I$1:I10)+1,0)</f>
        <v>0</v>
      </c>
      <c r="J11" s="116">
        <f>IF(ISNUMBER(SEARCH('Карта учёта'!$B$18,Расходка[[#This Row],[Наименование расходного материала]])),MAX($J$1:J10)+1,0)</f>
        <v>10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410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513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11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>NC АКСИОМА</v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411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333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12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>Nitrex 260</v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412</v>
      </c>
      <c r="AI13" t="s">
        <v>6</v>
      </c>
      <c r="AN13" s="2"/>
    </row>
    <row r="14" spans="1:42">
      <c r="A14">
        <v>13</v>
      </c>
      <c r="B14" t="s">
        <v>308</v>
      </c>
      <c r="C14" t="s">
        <v>365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13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>RadiFocus</v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491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332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14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>BasixCOMPAK</v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413</v>
      </c>
      <c r="AI15" t="s">
        <v>94</v>
      </c>
    </row>
    <row r="16" spans="1:42">
      <c r="A16">
        <v>15</v>
      </c>
      <c r="B16" t="s">
        <v>306</v>
      </c>
      <c r="C16" t="s">
        <v>362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15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>BasixTOUCH</v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414</v>
      </c>
      <c r="AI16" t="s">
        <v>306</v>
      </c>
    </row>
    <row r="17" spans="1:35">
      <c r="A17">
        <v>16</v>
      </c>
      <c r="B17" t="s">
        <v>306</v>
      </c>
      <c r="C17" t="s">
        <v>354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16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>Dolphin</v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415</v>
      </c>
      <c r="AI17" t="s">
        <v>206</v>
      </c>
    </row>
    <row r="18" spans="1:35">
      <c r="A18">
        <v>17</v>
      </c>
      <c r="B18" t="s">
        <v>306</v>
      </c>
      <c r="C18" t="s">
        <v>375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17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>Lepu Medical</v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416</v>
      </c>
      <c r="AI18" t="s">
        <v>95</v>
      </c>
    </row>
    <row r="19" spans="1:35">
      <c r="A19">
        <v>18</v>
      </c>
      <c r="B19" t="s">
        <v>306</v>
      </c>
      <c r="C19" t="s">
        <v>367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18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>Perouse Medical FLAMINGO</v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417</v>
      </c>
      <c r="AI19" t="s">
        <v>301</v>
      </c>
    </row>
    <row r="20" spans="1:35">
      <c r="A20">
        <v>19</v>
      </c>
      <c r="B20" t="s">
        <v>306</v>
      </c>
      <c r="C20" t="s">
        <v>504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19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>Demax</v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418</v>
      </c>
      <c r="AI20" t="s">
        <v>308</v>
      </c>
    </row>
    <row r="21" spans="1:35">
      <c r="A21">
        <v>20</v>
      </c>
      <c r="B21" t="s">
        <v>206</v>
      </c>
      <c r="C21" s="1" t="s">
        <v>338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20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>Oscor 7F</v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419</v>
      </c>
    </row>
    <row r="22" spans="1:35">
      <c r="A22">
        <v>21</v>
      </c>
      <c r="B22" t="s">
        <v>306</v>
      </c>
      <c r="C22" s="1" t="s">
        <v>506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21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>"МИМ". Тюмень</v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420</v>
      </c>
    </row>
    <row r="23" spans="1:35">
      <c r="A23">
        <v>22</v>
      </c>
      <c r="B23" t="s">
        <v>306</v>
      </c>
      <c r="C23" s="1" t="s">
        <v>508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22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>Поток CTЗ по ТУ</v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421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23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>Индефлятор</v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422</v>
      </c>
    </row>
    <row r="25" spans="1:35">
      <c r="A25">
        <v>24</v>
      </c>
      <c r="B25" t="s">
        <v>3</v>
      </c>
      <c r="C25" t="s">
        <v>321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24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>Cougar LS Hydro-Track®</v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423</v>
      </c>
    </row>
    <row r="26" spans="1:35">
      <c r="A26">
        <v>25</v>
      </c>
      <c r="B26" t="s">
        <v>3</v>
      </c>
      <c r="C26" t="s">
        <v>342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25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>Cougar XT Hydro-Track®</v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424</v>
      </c>
    </row>
    <row r="27" spans="1:35">
      <c r="A27">
        <v>26</v>
      </c>
      <c r="B27" t="s">
        <v>3</v>
      </c>
      <c r="C27" t="s">
        <v>314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26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>Fielder</v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425</v>
      </c>
    </row>
    <row r="28" spans="1:35">
      <c r="A28">
        <v>27</v>
      </c>
      <c r="B28" t="s">
        <v>3</v>
      </c>
      <c r="C28" t="s">
        <v>372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27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>Fielder XT-A</v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426</v>
      </c>
    </row>
    <row r="29" spans="1:35">
      <c r="A29">
        <v>28</v>
      </c>
      <c r="B29" t="s">
        <v>3</v>
      </c>
      <c r="C29" t="s">
        <v>373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28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>Fielder XT-R</v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427</v>
      </c>
    </row>
    <row r="30" spans="1:35">
      <c r="A30">
        <v>29</v>
      </c>
      <c r="B30" t="s">
        <v>3</v>
      </c>
      <c r="C30" t="s">
        <v>510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29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>Asahi Gaia First</v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489</v>
      </c>
    </row>
    <row r="31" spans="1:35">
      <c r="A31">
        <v>30</v>
      </c>
      <c r="B31" t="s">
        <v>3</v>
      </c>
      <c r="C31" s="1" t="s">
        <v>511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30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>Asahi Gaia Second</v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428</v>
      </c>
    </row>
    <row r="32" spans="1:35">
      <c r="A32">
        <v>31</v>
      </c>
      <c r="B32" t="s">
        <v>3</v>
      </c>
      <c r="C32" s="1" t="s">
        <v>512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31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>Asahi Gaia Third</v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429</v>
      </c>
    </row>
    <row r="33" spans="1:33">
      <c r="A33">
        <v>32</v>
      </c>
      <c r="B33" t="s">
        <v>3</v>
      </c>
      <c r="C33" s="1" t="s">
        <v>322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32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>Intuition</v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430</v>
      </c>
    </row>
    <row r="34" spans="1:33">
      <c r="A34">
        <v>33</v>
      </c>
      <c r="B34" t="s">
        <v>3</v>
      </c>
      <c r="C34" t="s">
        <v>318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33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>ProVia 3 Hydro-Track®</v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431</v>
      </c>
    </row>
    <row r="35" spans="1:33">
      <c r="A35">
        <v>34</v>
      </c>
      <c r="B35" t="s">
        <v>3</v>
      </c>
      <c r="C35" t="s">
        <v>319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34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>ProVia 6 Hydro-Track®</v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490</v>
      </c>
    </row>
    <row r="36" spans="1:33">
      <c r="A36">
        <v>35</v>
      </c>
      <c r="B36" t="s">
        <v>3</v>
      </c>
      <c r="C36" t="s">
        <v>320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35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>ProVia 9 Hydro-Track®</v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432</v>
      </c>
    </row>
    <row r="37" spans="1:33">
      <c r="A37">
        <v>36</v>
      </c>
      <c r="B37" t="s">
        <v>3</v>
      </c>
      <c r="C37" t="s">
        <v>316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36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>Rinato</v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405</v>
      </c>
    </row>
    <row r="38" spans="1:33">
      <c r="A38">
        <v>37</v>
      </c>
      <c r="B38" t="s">
        <v>3</v>
      </c>
      <c r="C38" s="1" t="s">
        <v>353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37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>Runthrough NS (Floppy)</v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492</v>
      </c>
    </row>
    <row r="39" spans="1:33">
      <c r="A39">
        <v>38</v>
      </c>
      <c r="B39" t="s">
        <v>3</v>
      </c>
      <c r="C39" s="1" t="s">
        <v>360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38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>Runthrough NS Hypercoat</v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433</v>
      </c>
    </row>
    <row r="40" spans="1:33">
      <c r="A40">
        <v>39</v>
      </c>
      <c r="B40" t="s">
        <v>3</v>
      </c>
      <c r="C40" s="1" t="s">
        <v>359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39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>Runthrough NS Intermediate</v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434</v>
      </c>
    </row>
    <row r="41" spans="1:33">
      <c r="A41">
        <v>40</v>
      </c>
      <c r="B41" t="s">
        <v>3</v>
      </c>
      <c r="C41" t="s">
        <v>315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40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>Sion</v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435</v>
      </c>
    </row>
    <row r="42" spans="1:33">
      <c r="A42">
        <v>41</v>
      </c>
      <c r="B42" t="s">
        <v>3</v>
      </c>
      <c r="C42" t="s">
        <v>377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41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>Sion Black</v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436</v>
      </c>
    </row>
    <row r="43" spans="1:33">
      <c r="A43">
        <v>42</v>
      </c>
      <c r="B43" t="s">
        <v>3</v>
      </c>
      <c r="C43" s="1" t="s">
        <v>371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42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>Sion Blue</v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409</v>
      </c>
    </row>
    <row r="44" spans="1:33">
      <c r="A44">
        <v>43</v>
      </c>
      <c r="B44" t="s">
        <v>3</v>
      </c>
      <c r="C44" t="s">
        <v>317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43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>Thunder</v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437</v>
      </c>
    </row>
    <row r="45" spans="1:33">
      <c r="A45">
        <v>44</v>
      </c>
      <c r="B45" t="s">
        <v>3</v>
      </c>
      <c r="C45" t="s">
        <v>521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44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>Abbot Whisper MS</v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438</v>
      </c>
    </row>
    <row r="46" spans="1:33">
      <c r="A46">
        <v>45</v>
      </c>
      <c r="B46" t="s">
        <v>3</v>
      </c>
      <c r="C46" t="s">
        <v>522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1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45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>Abbot Whisper LS</v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439</v>
      </c>
    </row>
    <row r="47" spans="1:33">
      <c r="A47">
        <v>46</v>
      </c>
      <c r="B47" t="s">
        <v>3</v>
      </c>
      <c r="C47" t="s">
        <v>361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46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>Winn 200T</v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440</v>
      </c>
    </row>
    <row r="48" spans="1:33">
      <c r="A48">
        <v>47</v>
      </c>
      <c r="B48" t="s">
        <v>3</v>
      </c>
      <c r="C48" t="s">
        <v>346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47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>Проводник коронарный  1g, Angioline</v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441</v>
      </c>
    </row>
    <row r="49" spans="1:33">
      <c r="A49">
        <v>48</v>
      </c>
      <c r="B49" t="s">
        <v>3</v>
      </c>
      <c r="C49" t="s">
        <v>509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48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>Проводник коронарный  0,8g, Angioline</v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442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49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>Проводник коронарный  3g, Angioline</v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443</v>
      </c>
    </row>
    <row r="51" spans="1:33">
      <c r="A51">
        <v>50</v>
      </c>
      <c r="B51" t="s">
        <v>3</v>
      </c>
      <c r="C51" t="s">
        <v>507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50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 xml:space="preserve">Balancium </v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444</v>
      </c>
    </row>
    <row r="52" spans="1:33">
      <c r="A52">
        <v>51</v>
      </c>
      <c r="B52" t="s">
        <v>3</v>
      </c>
      <c r="C52" t="s">
        <v>518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51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>Shunmei</v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445</v>
      </c>
    </row>
    <row r="53" spans="1:33">
      <c r="A53">
        <v>52</v>
      </c>
      <c r="B53" t="s">
        <v>3</v>
      </c>
      <c r="C53" t="s">
        <v>523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52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>Pilot 150</v>
      </c>
      <c r="X53" s="115" t="str">
        <f>IFERROR(INDEX(Расходка[Наименование расходного материала],MATCH(Расходка[[#This Row],[№]],Поиск_расходки[Индекс7],0)),"")</f>
        <v>Pilot 150</v>
      </c>
      <c r="Y53" s="115" t="str">
        <f>IFERROR(INDEX(Расходка[Наименование расходного материала],MATCH(Расходка[[#This Row],[№]],Поиск_расходки[Индекс8],0)),"")</f>
        <v>Pilot 150</v>
      </c>
      <c r="Z53" s="115" t="str">
        <f>IFERROR(INDEX(Расходка[Наименование расходного материала],MATCH(Расходка[[#This Row],[№]],Поиск_расходки[Индекс9],0)),"")</f>
        <v>Pilot 150</v>
      </c>
      <c r="AA53" s="115" t="str">
        <f>IFERROR(INDEX(Расходка[Наименование расходного материала],MATCH(Расходка[[#This Row],[№]],Поиск_расходки[Индекс10],0)),"")</f>
        <v>Pilot 150</v>
      </c>
      <c r="AB53" s="115" t="str">
        <f>IFERROR(INDEX(Расходка[Наименование расходного материала],MATCH(Расходка[[#This Row],[№]],Поиск_расходки[Индекс11],0)),"")</f>
        <v>Pilot 150</v>
      </c>
      <c r="AC53" s="115" t="str">
        <f>IFERROR(INDEX(Расходка[Наименование расходного материала],MATCH(Расходка[[#This Row],[№]],Поиск_расходки[Индекс12],0)),"")</f>
        <v>Pilot 150</v>
      </c>
      <c r="AD53" s="115" t="str">
        <f>IFERROR(INDEX(Расходка[Наименование расходного материала],MATCH(Расходка[[#This Row],[№]],Поиск_расходки[Индекс13],0)),"")</f>
        <v>Pilot 150</v>
      </c>
      <c r="AF53" s="4" t="s">
        <v>6</v>
      </c>
      <c r="AG53" s="4" t="s">
        <v>446</v>
      </c>
    </row>
    <row r="54" spans="1:33">
      <c r="A54">
        <v>53</v>
      </c>
      <c r="B54" t="s">
        <v>6</v>
      </c>
      <c r="C54" s="1" t="s">
        <v>278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53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>BMS, Integtity</v>
      </c>
      <c r="X54" s="115" t="str">
        <f>IFERROR(INDEX(Расходка[Наименование расходного материала],MATCH(Расходка[[#This Row],[№]],Поиск_расходки[Индекс7],0)),"")</f>
        <v>BMS, Integtity</v>
      </c>
      <c r="Y54" s="115" t="str">
        <f>IFERROR(INDEX(Расходка[Наименование расходного материала],MATCH(Расходка[[#This Row],[№]],Поиск_расходки[Индекс8],0)),"")</f>
        <v>BMS, Integtity</v>
      </c>
      <c r="Z54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4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4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4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4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4" s="4" t="s">
        <v>6</v>
      </c>
      <c r="AG54" s="4" t="s">
        <v>447</v>
      </c>
    </row>
    <row r="55" spans="1:33">
      <c r="A55">
        <v>54</v>
      </c>
      <c r="B55" t="s">
        <v>6</v>
      </c>
      <c r="C55" s="157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54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>DES, Calipso</v>
      </c>
      <c r="X55" s="115" t="str">
        <f>IFERROR(INDEX(Расходка[Наименование расходного материала],MATCH(Расходка[[#This Row],[№]],Поиск_расходки[Индекс7],0)),"")</f>
        <v>DES, Calipso</v>
      </c>
      <c r="Y55" s="115" t="str">
        <f>IFERROR(INDEX(Расходка[Наименование расходного материала],MATCH(Расходка[[#This Row],[№]],Поиск_расходки[Индекс8],0)),"")</f>
        <v>DES, Calipso</v>
      </c>
      <c r="Z55" s="115" t="str">
        <f>IFERROR(INDEX(Расходка[Наименование расходного материала],MATCH(Расходка[[#This Row],[№]],Поиск_расходки[Индекс9],0)),"")</f>
        <v>DES, Calipso</v>
      </c>
      <c r="AA55" s="115" t="str">
        <f>IFERROR(INDEX(Расходка[Наименование расходного материала],MATCH(Расходка[[#This Row],[№]],Поиск_расходки[Индекс10],0)),"")</f>
        <v>DES, Calipso</v>
      </c>
      <c r="AB55" s="115" t="str">
        <f>IFERROR(INDEX(Расходка[Наименование расходного материала],MATCH(Расходка[[#This Row],[№]],Поиск_расходки[Индекс11],0)),"")</f>
        <v>DES, Calipso</v>
      </c>
      <c r="AC55" s="115" t="str">
        <f>IFERROR(INDEX(Расходка[Наименование расходного материала],MATCH(Расходка[[#This Row],[№]],Поиск_расходки[Индекс12],0)),"")</f>
        <v>DES, Calipso</v>
      </c>
      <c r="AD55" s="115" t="str">
        <f>IFERROR(INDEX(Расходка[Наименование расходного материала],MATCH(Расходка[[#This Row],[№]],Поиск_расходки[Индекс13],0)),"")</f>
        <v>DES, Calipso</v>
      </c>
      <c r="AF55" s="4" t="s">
        <v>6</v>
      </c>
      <c r="AG55" s="4" t="s">
        <v>448</v>
      </c>
    </row>
    <row r="56" spans="1:33">
      <c r="A56">
        <v>55</v>
      </c>
      <c r="B56" t="s">
        <v>6</v>
      </c>
      <c r="C56" s="157" t="s">
        <v>344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55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>DES, NanoMed</v>
      </c>
      <c r="X56" s="115" t="str">
        <f>IFERROR(INDEX(Расходка[Наименование расходного материала],MATCH(Расходка[[#This Row],[№]],Поиск_расходки[Индекс7],0)),"")</f>
        <v>DES, NanoMed</v>
      </c>
      <c r="Y56" s="115" t="str">
        <f>IFERROR(INDEX(Расходка[Наименование расходного материала],MATCH(Расходка[[#This Row],[№]],Поиск_расходки[Индекс8],0)),"")</f>
        <v>DES, NanoMed</v>
      </c>
      <c r="Z56" s="115" t="str">
        <f>IFERROR(INDEX(Расходка[Наименование расходного материала],MATCH(Расходка[[#This Row],[№]],Поиск_расходки[Индекс9],0)),"")</f>
        <v>DES, NanoMed</v>
      </c>
      <c r="AA56" s="115" t="str">
        <f>IFERROR(INDEX(Расходка[Наименование расходного материала],MATCH(Расходка[[#This Row],[№]],Поиск_расходки[Индекс10],0)),"")</f>
        <v>DES, NanoMed</v>
      </c>
      <c r="AB56" s="115" t="str">
        <f>IFERROR(INDEX(Расходка[Наименование расходного материала],MATCH(Расходка[[#This Row],[№]],Поиск_расходки[Индекс11],0)),"")</f>
        <v>DES, NanoMed</v>
      </c>
      <c r="AC56" s="115" t="str">
        <f>IFERROR(INDEX(Расходка[Наименование расходного материала],MATCH(Расходка[[#This Row],[№]],Поиск_расходки[Индекс12],0)),"")</f>
        <v>DES, NanoMed</v>
      </c>
      <c r="AD56" s="115" t="str">
        <f>IFERROR(INDEX(Расходка[Наименование расходного материала],MATCH(Расходка[[#This Row],[№]],Поиск_расходки[Индекс13],0)),"")</f>
        <v>DES, NanoMed</v>
      </c>
      <c r="AF56" s="4" t="s">
        <v>6</v>
      </c>
      <c r="AG56" s="4" t="s">
        <v>449</v>
      </c>
    </row>
    <row r="57" spans="1:33">
      <c r="A57">
        <v>56</v>
      </c>
      <c r="B57" t="s">
        <v>6</v>
      </c>
      <c r="C57" s="130" t="s">
        <v>323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56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57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7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7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7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7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7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7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7" s="4" t="s">
        <v>6</v>
      </c>
      <c r="AG57" s="4" t="s">
        <v>450</v>
      </c>
    </row>
    <row r="58" spans="1:33">
      <c r="A58">
        <v>57</v>
      </c>
      <c r="B58" t="s">
        <v>6</v>
      </c>
      <c r="C58" t="s">
        <v>357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57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>DES, Yukon Chrome PC</v>
      </c>
      <c r="X58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8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8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8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8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8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8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8" s="4" t="s">
        <v>6</v>
      </c>
      <c r="AG58" s="4" t="s">
        <v>451</v>
      </c>
    </row>
    <row r="59" spans="1:33">
      <c r="A59">
        <v>58</v>
      </c>
      <c r="B59" t="s">
        <v>6</v>
      </c>
      <c r="C59" s="161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58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>DES, Firehawk</v>
      </c>
      <c r="X59" s="115" t="str">
        <f>IFERROR(INDEX(Расходка[Наименование расходного материала],MATCH(Расходка[[#This Row],[№]],Поиск_расходки[Индекс7],0)),"")</f>
        <v>DES, Firehawk</v>
      </c>
      <c r="Y59" s="115" t="str">
        <f>IFERROR(INDEX(Расходка[Наименование расходного материала],MATCH(Расходка[[#This Row],[№]],Поиск_расходки[Индекс8],0)),"")</f>
        <v>DES, Firehawk</v>
      </c>
      <c r="Z59" s="115" t="str">
        <f>IFERROR(INDEX(Расходка[Наименование расходного материала],MATCH(Расходка[[#This Row],[№]],Поиск_расходки[Индекс9],0)),"")</f>
        <v>DES, Firehawk</v>
      </c>
      <c r="AA59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9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9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9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9" s="4" t="s">
        <v>6</v>
      </c>
      <c r="AG59" s="4" t="s">
        <v>452</v>
      </c>
    </row>
    <row r="60" spans="1:33">
      <c r="A60">
        <v>59</v>
      </c>
      <c r="B60" t="s">
        <v>6</v>
      </c>
      <c r="C60" t="s">
        <v>384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59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>DES, Resolute Onyx</v>
      </c>
      <c r="X60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60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60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60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60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60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60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60" s="4" t="s">
        <v>6</v>
      </c>
      <c r="AG60" s="4" t="s">
        <v>453</v>
      </c>
    </row>
    <row r="61" spans="1:33">
      <c r="A61">
        <v>60</v>
      </c>
      <c r="B61" t="s">
        <v>6</v>
      </c>
      <c r="C61" t="s">
        <v>516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60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61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1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1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1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1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1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1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1" s="4" t="s">
        <v>6</v>
      </c>
      <c r="AG61" s="4" t="s">
        <v>414</v>
      </c>
    </row>
    <row r="62" spans="1:33">
      <c r="A62">
        <v>61</v>
      </c>
      <c r="B62" t="s">
        <v>6</v>
      </c>
      <c r="C62" t="s">
        <v>517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61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>Meril Evermine50™</v>
      </c>
      <c r="X62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2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2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2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2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2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2" s="4" t="s">
        <v>6</v>
      </c>
      <c r="AG62" s="4" t="s">
        <v>454</v>
      </c>
    </row>
    <row r="63" spans="1:33">
      <c r="A63">
        <v>62</v>
      </c>
      <c r="B63" t="s">
        <v>95</v>
      </c>
      <c r="C63" s="1" t="s">
        <v>324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62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>Guidezilla™ II 6F</v>
      </c>
      <c r="X63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3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3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3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3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3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3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3" s="4" t="s">
        <v>6</v>
      </c>
      <c r="AG63" s="4" t="s">
        <v>455</v>
      </c>
    </row>
    <row r="64" spans="1:33">
      <c r="A64">
        <v>63</v>
      </c>
      <c r="B64" t="s">
        <v>95</v>
      </c>
      <c r="C64" s="1" t="s">
        <v>343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63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>Telescope ™ II 6F</v>
      </c>
      <c r="X64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4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4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4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4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4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4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4" s="4" t="s">
        <v>6</v>
      </c>
      <c r="AG64" s="4" t="s">
        <v>456</v>
      </c>
    </row>
    <row r="65" spans="1:33">
      <c r="A65">
        <v>64</v>
      </c>
      <c r="B65" t="s">
        <v>4</v>
      </c>
      <c r="C65" t="s">
        <v>350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64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>Launcher 6F AL 1</v>
      </c>
      <c r="X65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5" s="4" t="s">
        <v>6</v>
      </c>
      <c r="AG65" s="4" t="s">
        <v>457</v>
      </c>
    </row>
    <row r="66" spans="1:33">
      <c r="A66">
        <v>65</v>
      </c>
      <c r="B66" t="s">
        <v>4</v>
      </c>
      <c r="C66" t="s">
        <v>351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65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>Launcher 6F AL 2</v>
      </c>
      <c r="X66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6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6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6" s="4" t="s">
        <v>6</v>
      </c>
      <c r="AG66" s="4" t="s">
        <v>458</v>
      </c>
    </row>
    <row r="67" spans="1:33">
      <c r="A67">
        <v>66</v>
      </c>
      <c r="B67" t="s">
        <v>4</v>
      </c>
      <c r="C67" t="s">
        <v>325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1</v>
      </c>
      <c r="J67" s="197">
        <f>IF(ISNUMBER(SEARCH('Карта учёта'!$B$18,Расходка[[#This Row],[Наименование расходного материала]])),MAX($J$1:J66)+1,0)</f>
        <v>66</v>
      </c>
      <c r="K67" s="197">
        <f>IF(ISNUMBER(SEARCH('Карта учёта'!$B$19,Расходка[[#This Row],[Наименование расходного материала]])),MAX($K$1:K66)+1,0)</f>
        <v>66</v>
      </c>
      <c r="L67" s="197">
        <f>IF(ISNUMBER(SEARCH('Карта учёта'!$B$20,Расходка[[#This Row],[Наименование расходного материала]])),MAX($L$1:L66)+1,0)</f>
        <v>66</v>
      </c>
      <c r="M67" s="197">
        <f>IF(ISNUMBER(SEARCH('Карта учёта'!$B$21,Расходка[[#This Row],[Наименование расходного материала]])),MAX($M$1:M66)+1,0)</f>
        <v>66</v>
      </c>
      <c r="N67" s="197">
        <f>IF(ISNUMBER(SEARCH('Карта учёта'!$B$22,Расходка[[#This Row],[Наименование расходного материала]])),MAX($N$1:N66)+1,0)</f>
        <v>66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>Launcher 6F EBU 3.5</v>
      </c>
      <c r="X67" s="198" t="str">
        <f>IFERROR(INDEX(Расходка[Наименование расходного материала],MATCH(Расходка[[#This Row],[№]],Поиск_расходки[Индекс7],0)),"")</f>
        <v>Launcher 6F EBU 3.5</v>
      </c>
      <c r="Y67" s="198" t="str">
        <f>IFERROR(INDEX(Расходка[Наименование расходного материала],MATCH(Расходка[[#This Row],[№]],Поиск_расходки[Индекс8],0)),"")</f>
        <v>Launcher 6F EBU 3.5</v>
      </c>
      <c r="Z67" s="198" t="str">
        <f>IFERROR(INDEX(Расходка[Наименование расходного материала],MATCH(Расходка[[#This Row],[№]],Поиск_расходки[Индекс9],0)),"")</f>
        <v>Launcher 6F EBU 3.5</v>
      </c>
      <c r="AA67" s="198" t="str">
        <f>IFERROR(INDEX(Расходка[Наименование расходного материала],MATCH(Расходка[[#This Row],[№]],Поиск_расходки[Индекс10],0)),"")</f>
        <v>Launcher 6F EBU 3.5</v>
      </c>
      <c r="AB67" s="198" t="str">
        <f>IFERROR(INDEX(Расходка[Наименование расходного материала],MATCH(Расходка[[#This Row],[№]],Поиск_расходки[Индекс11],0)),"")</f>
        <v>Launcher 6F EBU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EBU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EBU 3.5</v>
      </c>
      <c r="AF67" s="4" t="s">
        <v>6</v>
      </c>
      <c r="AG67" s="4" t="s">
        <v>459</v>
      </c>
    </row>
    <row r="68" spans="1:33">
      <c r="A68">
        <v>67</v>
      </c>
      <c r="B68" t="s">
        <v>4</v>
      </c>
      <c r="C68" t="s">
        <v>326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67</v>
      </c>
      <c r="K68" s="197">
        <f>IF(ISNUMBER(SEARCH('Карта учёта'!$B$19,Расходка[[#This Row],[Наименование расходного материала]])),MAX($K$1:K67)+1,0)</f>
        <v>67</v>
      </c>
      <c r="L68" s="197">
        <f>IF(ISNUMBER(SEARCH('Карта учёта'!$B$20,Расходка[[#This Row],[Наименование расходного материала]])),MAX($L$1:L67)+1,0)</f>
        <v>67</v>
      </c>
      <c r="M68" s="197">
        <f>IF(ISNUMBER(SEARCH('Карта учёта'!$B$21,Расходка[[#This Row],[Наименование расходного материала]])),MAX($M$1:M67)+1,0)</f>
        <v>67</v>
      </c>
      <c r="N68" s="197">
        <f>IF(ISNUMBER(SEARCH('Карта учёта'!$B$22,Расходка[[#This Row],[Наименование расходного материала]])),MAX($N$1:N67)+1,0)</f>
        <v>67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>Launcher 6F EBU 4.0</v>
      </c>
      <c r="X68" s="198" t="str">
        <f>IFERROR(INDEX(Расходка[Наименование расходного материала],MATCH(Расходка[[#This Row],[№]],Поиск_расходки[Индекс7],0)),"")</f>
        <v>Launcher 6F EBU 4.0</v>
      </c>
      <c r="Y68" s="198" t="str">
        <f>IFERROR(INDEX(Расходка[Наименование расходного материала],MATCH(Расходка[[#This Row],[№]],Поиск_расходки[Индекс8],0)),"")</f>
        <v>Launcher 6F EBU 4.0</v>
      </c>
      <c r="Z68" s="198" t="str">
        <f>IFERROR(INDEX(Расходка[Наименование расходного материала],MATCH(Расходка[[#This Row],[№]],Поиск_расходки[Индекс9],0)),"")</f>
        <v>Launcher 6F EBU 4.0</v>
      </c>
      <c r="AA68" s="198" t="str">
        <f>IFERROR(INDEX(Расходка[Наименование расходного материала],MATCH(Расходка[[#This Row],[№]],Поиск_расходки[Индекс10],0)),"")</f>
        <v>Launcher 6F EBU 4.0</v>
      </c>
      <c r="AB68" s="198" t="str">
        <f>IFERROR(INDEX(Расходка[Наименование расходного материала],MATCH(Расходка[[#This Row],[№]],Поиск_расходки[Индекс11],0)),"")</f>
        <v>Launcher 6F EBU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EBU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EBU 4.0</v>
      </c>
      <c r="AF68" s="4" t="s">
        <v>6</v>
      </c>
      <c r="AG68" s="4" t="s">
        <v>460</v>
      </c>
    </row>
    <row r="69" spans="1:33">
      <c r="A69">
        <v>68</v>
      </c>
      <c r="B69" t="s">
        <v>4</v>
      </c>
      <c r="C69" t="s">
        <v>327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68</v>
      </c>
      <c r="K69" s="197">
        <f>IF(ISNUMBER(SEARCH('Карта учёта'!$B$19,Расходка[[#This Row],[Наименование расходного материала]])),MAX($K$1:K68)+1,0)</f>
        <v>68</v>
      </c>
      <c r="L69" s="197">
        <f>IF(ISNUMBER(SEARCH('Карта учёта'!$B$20,Расходка[[#This Row],[Наименование расходного материала]])),MAX($L$1:L68)+1,0)</f>
        <v>68</v>
      </c>
      <c r="M69" s="197">
        <f>IF(ISNUMBER(SEARCH('Карта учёта'!$B$21,Расходка[[#This Row],[Наименование расходного материала]])),MAX($M$1:M68)+1,0)</f>
        <v>68</v>
      </c>
      <c r="N69" s="197">
        <f>IF(ISNUMBER(SEARCH('Карта учёта'!$B$22,Расходка[[#This Row],[Наименование расходного материала]])),MAX($N$1:N68)+1,0)</f>
        <v>68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>Launcher 6F JL 3.5</v>
      </c>
      <c r="X69" s="198" t="str">
        <f>IFERROR(INDEX(Расходка[Наименование расходного материала],MATCH(Расходка[[#This Row],[№]],Поиск_расходки[Индекс7],0)),"")</f>
        <v>Launcher 6F JL 3.5</v>
      </c>
      <c r="Y69" s="198" t="str">
        <f>IFERROR(INDEX(Расходка[Наименование расходного материала],MATCH(Расходка[[#This Row],[№]],Поиск_расходки[Индекс8],0)),"")</f>
        <v>Launcher 6F JL 3.5</v>
      </c>
      <c r="Z69" s="198" t="str">
        <f>IFERROR(INDEX(Расходка[Наименование расходного материала],MATCH(Расходка[[#This Row],[№]],Поиск_расходки[Индекс9],0)),"")</f>
        <v>Launcher 6F JL 3.5</v>
      </c>
      <c r="AA69" s="198" t="str">
        <f>IFERROR(INDEX(Расходка[Наименование расходного материала],MATCH(Расходка[[#This Row],[№]],Поиск_расходки[Индекс10],0)),"")</f>
        <v>Launcher 6F JL 3.5</v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9" s="4" t="s">
        <v>6</v>
      </c>
      <c r="AG69" s="4" t="s">
        <v>461</v>
      </c>
    </row>
    <row r="70" spans="1:33">
      <c r="A70">
        <v>69</v>
      </c>
      <c r="B70" t="s">
        <v>4</v>
      </c>
      <c r="C70" t="s">
        <v>328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69</v>
      </c>
      <c r="K70" s="197">
        <f>IF(ISNUMBER(SEARCH('Карта учёта'!$B$19,Расходка[[#This Row],[Наименование расходного материала]])),MAX($K$1:K69)+1,0)</f>
        <v>69</v>
      </c>
      <c r="L70" s="197">
        <f>IF(ISNUMBER(SEARCH('Карта учёта'!$B$20,Расходка[[#This Row],[Наименование расходного материала]])),MAX($L$1:L69)+1,0)</f>
        <v>69</v>
      </c>
      <c r="M70" s="197">
        <f>IF(ISNUMBER(SEARCH('Карта учёта'!$B$21,Расходка[[#This Row],[Наименование расходного материала]])),MAX($M$1:M69)+1,0)</f>
        <v>69</v>
      </c>
      <c r="N70" s="197">
        <f>IF(ISNUMBER(SEARCH('Карта учёта'!$B$22,Расходка[[#This Row],[Наименование расходного материала]])),MAX($N$1:N69)+1,0)</f>
        <v>69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>Launcher 6F JL 4.0</v>
      </c>
      <c r="X70" s="198" t="str">
        <f>IFERROR(INDEX(Расходка[Наименование расходного материала],MATCH(Расходка[[#This Row],[№]],Поиск_расходки[Индекс7],0)),"")</f>
        <v>Launcher 6F JL 4.0</v>
      </c>
      <c r="Y70" s="198" t="str">
        <f>IFERROR(INDEX(Расходка[Наименование расходного материала],MATCH(Расходка[[#This Row],[№]],Поиск_расходки[Индекс8],0)),"")</f>
        <v>Launcher 6F JL 4.0</v>
      </c>
      <c r="Z70" s="198" t="str">
        <f>IFERROR(INDEX(Расходка[Наименование расходного материала],MATCH(Расходка[[#This Row],[№]],Поиск_расходки[Индекс9],0)),"")</f>
        <v>Launcher 6F JL 4.0</v>
      </c>
      <c r="AA70" s="198" t="str">
        <f>IFERROR(INDEX(Расходка[Наименование расходного материала],MATCH(Расходка[[#This Row],[№]],Поиск_расходки[Индекс10],0)),"")</f>
        <v>Launcher 6F JL 4.0</v>
      </c>
      <c r="AB70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70" s="4" t="s">
        <v>6</v>
      </c>
      <c r="AG70" s="4" t="s">
        <v>462</v>
      </c>
    </row>
    <row r="71" spans="1:33">
      <c r="A71">
        <v>70</v>
      </c>
      <c r="B71" t="s">
        <v>4</v>
      </c>
      <c r="C71" t="s">
        <v>334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70</v>
      </c>
      <c r="K71" s="197">
        <f>IF(ISNUMBER(SEARCH('Карта учёта'!$B$19,Расходка[[#This Row],[Наименование расходного материала]])),MAX($K$1:K70)+1,0)</f>
        <v>70</v>
      </c>
      <c r="L71" s="197">
        <f>IF(ISNUMBER(SEARCH('Карта учёта'!$B$20,Расходка[[#This Row],[Наименование расходного материала]])),MAX($L$1:L70)+1,0)</f>
        <v>70</v>
      </c>
      <c r="M71" s="197">
        <f>IF(ISNUMBER(SEARCH('Карта учёта'!$B$21,Расходка[[#This Row],[Наименование расходного материала]])),MAX($M$1:M70)+1,0)</f>
        <v>70</v>
      </c>
      <c r="N71" s="197">
        <f>IF(ISNUMBER(SEARCH('Карта учёта'!$B$22,Расходка[[#This Row],[Наименование расходного материала]])),MAX($N$1:N70)+1,0)</f>
        <v>70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>Launcher 6F JL 4.5</v>
      </c>
      <c r="X71" s="198" t="str">
        <f>IFERROR(INDEX(Расходка[Наименование расходного материала],MATCH(Расходка[[#This Row],[№]],Поиск_расходки[Индекс7],0)),"")</f>
        <v>Launcher 6F JL 4.5</v>
      </c>
      <c r="Y71" s="198" t="str">
        <f>IFERROR(INDEX(Расходка[Наименование расходного материала],MATCH(Расходка[[#This Row],[№]],Поиск_расходки[Индекс8],0)),"")</f>
        <v>Launcher 6F JL 4.5</v>
      </c>
      <c r="Z71" s="198" t="str">
        <f>IFERROR(INDEX(Расходка[Наименование расходного материала],MATCH(Расходка[[#This Row],[№]],Поиск_расходки[Индекс9],0)),"")</f>
        <v>Launcher 6F JL 4.5</v>
      </c>
      <c r="AA71" s="198" t="str">
        <f>IFERROR(INDEX(Расходка[Наименование расходного материала],MATCH(Расходка[[#This Row],[№]],Поиск_расходки[Индекс10],0)),"")</f>
        <v>Launcher 6F JL 4.5</v>
      </c>
      <c r="AB71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71" s="4" t="s">
        <v>6</v>
      </c>
      <c r="AG71" s="4" t="s">
        <v>417</v>
      </c>
    </row>
    <row r="72" spans="1:33">
      <c r="A72">
        <v>71</v>
      </c>
      <c r="B72" t="s">
        <v>4</v>
      </c>
      <c r="C72" t="s">
        <v>329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71</v>
      </c>
      <c r="K72" s="197">
        <f>IF(ISNUMBER(SEARCH('Карта учёта'!$B$19,Расходка[[#This Row],[Наименование расходного материала]])),MAX($K$1:K71)+1,0)</f>
        <v>71</v>
      </c>
      <c r="L72" s="197">
        <f>IF(ISNUMBER(SEARCH('Карта учёта'!$B$20,Расходка[[#This Row],[Наименование расходного материала]])),MAX($L$1:L71)+1,0)</f>
        <v>71</v>
      </c>
      <c r="M72" s="197">
        <f>IF(ISNUMBER(SEARCH('Карта учёта'!$B$21,Расходка[[#This Row],[Наименование расходного материала]])),MAX($M$1:M71)+1,0)</f>
        <v>71</v>
      </c>
      <c r="N72" s="197">
        <f>IF(ISNUMBER(SEARCH('Карта учёта'!$B$22,Расходка[[#This Row],[Наименование расходного материала]])),MAX($N$1:N71)+1,0)</f>
        <v>71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>Launcher 6F JR 3.5</v>
      </c>
      <c r="X72" s="198" t="str">
        <f>IFERROR(INDEX(Расходка[Наименование расходного материала],MATCH(Расходка[[#This Row],[№]],Поиск_расходки[Индекс7],0)),"")</f>
        <v>Launcher 6F JR 3.5</v>
      </c>
      <c r="Y72" s="198" t="str">
        <f>IFERROR(INDEX(Расходка[Наименование расходного материала],MATCH(Расходка[[#This Row],[№]],Поиск_расходки[Индекс8],0)),"")</f>
        <v>Launcher 6F JR 3.5</v>
      </c>
      <c r="Z72" s="198" t="str">
        <f>IFERROR(INDEX(Расходка[Наименование расходного материала],MATCH(Расходка[[#This Row],[№]],Поиск_расходки[Индекс9],0)),"")</f>
        <v>Launcher 6F JR 3.5</v>
      </c>
      <c r="AA72" s="198" t="str">
        <f>IFERROR(INDEX(Расходка[Наименование расходного материала],MATCH(Расходка[[#This Row],[№]],Поиск_расходки[Индекс10],0)),"")</f>
        <v>Launcher 6F JR 3.5</v>
      </c>
      <c r="AB72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2" s="4" t="s">
        <v>6</v>
      </c>
      <c r="AG72" s="4" t="s">
        <v>463</v>
      </c>
    </row>
    <row r="73" spans="1:33">
      <c r="A73">
        <v>72</v>
      </c>
      <c r="B73" t="s">
        <v>4</v>
      </c>
      <c r="C73" t="s">
        <v>330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72</v>
      </c>
      <c r="K73" s="197">
        <f>IF(ISNUMBER(SEARCH('Карта учёта'!$B$19,Расходка[[#This Row],[Наименование расходного материала]])),MAX($K$1:K72)+1,0)</f>
        <v>72</v>
      </c>
      <c r="L73" s="197">
        <f>IF(ISNUMBER(SEARCH('Карта учёта'!$B$20,Расходка[[#This Row],[Наименование расходного материала]])),MAX($L$1:L72)+1,0)</f>
        <v>72</v>
      </c>
      <c r="M73" s="197">
        <f>IF(ISNUMBER(SEARCH('Карта учёта'!$B$21,Расходка[[#This Row],[Наименование расходного материала]])),MAX($M$1:M72)+1,0)</f>
        <v>72</v>
      </c>
      <c r="N73" s="197">
        <f>IF(ISNUMBER(SEARCH('Карта учёта'!$B$22,Расходка[[#This Row],[Наименование расходного материала]])),MAX($N$1:N72)+1,0)</f>
        <v>72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>Launcher 6F JR 4.0</v>
      </c>
      <c r="X73" s="198" t="str">
        <f>IFERROR(INDEX(Расходка[Наименование расходного материала],MATCH(Расходка[[#This Row],[№]],Поиск_расходки[Индекс7],0)),"")</f>
        <v>Launcher 6F JR 4.0</v>
      </c>
      <c r="Y73" s="198" t="str">
        <f>IFERROR(INDEX(Расходка[Наименование расходного материала],MATCH(Расходка[[#This Row],[№]],Поиск_расходки[Индекс8],0)),"")</f>
        <v>Launcher 6F JR 4.0</v>
      </c>
      <c r="Z73" s="198" t="str">
        <f>IFERROR(INDEX(Расходка[Наименование расходного материала],MATCH(Расходка[[#This Row],[№]],Поиск_расходки[Индекс9],0)),"")</f>
        <v>Launcher 6F JR 4.0</v>
      </c>
      <c r="AA73" s="198" t="str">
        <f>IFERROR(INDEX(Расходка[Наименование расходного материала],MATCH(Расходка[[#This Row],[№]],Поиск_расходки[Индекс10],0)),"")</f>
        <v>Launcher 6F JR 4.0</v>
      </c>
      <c r="AB73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3" s="4" t="s">
        <v>6</v>
      </c>
      <c r="AG73" s="4" t="s">
        <v>418</v>
      </c>
    </row>
    <row r="74" spans="1:33">
      <c r="A74">
        <v>73</v>
      </c>
      <c r="B74" t="s">
        <v>4</v>
      </c>
      <c r="C74" t="s">
        <v>340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73</v>
      </c>
      <c r="K74" s="197">
        <f>IF(ISNUMBER(SEARCH('Карта учёта'!$B$19,Расходка[[#This Row],[Наименование расходного материала]])),MAX($K$1:K73)+1,0)</f>
        <v>73</v>
      </c>
      <c r="L74" s="197">
        <f>IF(ISNUMBER(SEARCH('Карта учёта'!$B$20,Расходка[[#This Row],[Наименование расходного материала]])),MAX($L$1:L73)+1,0)</f>
        <v>73</v>
      </c>
      <c r="M74" s="197">
        <f>IF(ISNUMBER(SEARCH('Карта учёта'!$B$21,Расходка[[#This Row],[Наименование расходного материала]])),MAX($M$1:M73)+1,0)</f>
        <v>73</v>
      </c>
      <c r="N74" s="197">
        <f>IF(ISNUMBER(SEARCH('Карта учёта'!$B$22,Расходка[[#This Row],[Наименование расходного материала]])),MAX($N$1:N73)+1,0)</f>
        <v>73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>Launcher 7F JL 3.5</v>
      </c>
      <c r="X74" s="198" t="str">
        <f>IFERROR(INDEX(Расходка[Наименование расходного материала],MATCH(Расходка[[#This Row],[№]],Поиск_расходки[Индекс7],0)),"")</f>
        <v>Launcher 7F JL 3.5</v>
      </c>
      <c r="Y74" s="198" t="str">
        <f>IFERROR(INDEX(Расходка[Наименование расходного материала],MATCH(Расходка[[#This Row],[№]],Поиск_расходки[Индекс8],0)),"")</f>
        <v>Launcher 7F JL 3.5</v>
      </c>
      <c r="Z74" s="198" t="str">
        <f>IFERROR(INDEX(Расходка[Наименование расходного материала],MATCH(Расходка[[#This Row],[№]],Поиск_расходки[Индекс9],0)),"")</f>
        <v>Launcher 7F JL 3.5</v>
      </c>
      <c r="AA74" s="198" t="str">
        <f>IFERROR(INDEX(Расходка[Наименование расходного материала],MATCH(Расходка[[#This Row],[№]],Поиск_расходки[Индекс10],0)),"")</f>
        <v>Launcher 7F JL 3.5</v>
      </c>
      <c r="AB74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4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4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4" s="4" t="s">
        <v>6</v>
      </c>
      <c r="AG74" s="4" t="s">
        <v>464</v>
      </c>
    </row>
    <row r="75" spans="1:33">
      <c r="A75">
        <v>74</v>
      </c>
      <c r="B75" t="s">
        <v>4</v>
      </c>
      <c r="C75" t="s">
        <v>339</v>
      </c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74</v>
      </c>
      <c r="K75" s="197">
        <f>IF(ISNUMBER(SEARCH('Карта учёта'!$B$19,Расходка[[#This Row],[Наименование расходного материала]])),MAX($K$1:K74)+1,0)</f>
        <v>74</v>
      </c>
      <c r="L75" s="197">
        <f>IF(ISNUMBER(SEARCH('Карта учёта'!$B$20,Расходка[[#This Row],[Наименование расходного материала]])),MAX($L$1:L74)+1,0)</f>
        <v>74</v>
      </c>
      <c r="M75" s="197">
        <f>IF(ISNUMBER(SEARCH('Карта учёта'!$B$21,Расходка[[#This Row],[Наименование расходного материала]])),MAX($M$1:M74)+1,0)</f>
        <v>74</v>
      </c>
      <c r="N75" s="197">
        <f>IF(ISNUMBER(SEARCH('Карта учёта'!$B$22,Расходка[[#This Row],[Наименование расходного материала]])),MAX($N$1:N74)+1,0)</f>
        <v>74</v>
      </c>
      <c r="O75" s="197">
        <f>IF(ISNUMBER(SEARCH('Карта учёта'!$B$23,Расходка[[#This Row],[Наименование расходного материала]])),MAX($O$1:O74)+1,0)</f>
        <v>74</v>
      </c>
      <c r="P75" s="197">
        <f>IF(ISNUMBER(SEARCH('Карта учёта'!$B$24,Расходка[[#This Row],[Наименование расходного материала]])),MAX($P$1:P74)+1,0)</f>
        <v>74</v>
      </c>
      <c r="Q75" s="197">
        <f>IF(ISNUMBER(SEARCH('Карта учёта'!$B$25,Расходка[[#This Row],[Наименование расходного материала]])),MAX($Q$1:Q74)+1,0)</f>
        <v>74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>Launcher 7F JL 4.0</v>
      </c>
      <c r="X75" s="198" t="str">
        <f>IFERROR(INDEX(Расходка[Наименование расходного материала],MATCH(Расходка[[#This Row],[№]],Поиск_расходки[Индекс7],0)),"")</f>
        <v>Launcher 7F JL 4.0</v>
      </c>
      <c r="Y75" s="198" t="str">
        <f>IFERROR(INDEX(Расходка[Наименование расходного материала],MATCH(Расходка[[#This Row],[№]],Поиск_расходки[Индекс8],0)),"")</f>
        <v>Launcher 7F JL 4.0</v>
      </c>
      <c r="Z75" s="198" t="str">
        <f>IFERROR(INDEX(Расходка[Наименование расходного материала],MATCH(Расходка[[#This Row],[№]],Поиск_расходки[Индекс9],0)),"")</f>
        <v>Launcher 7F JL 4.0</v>
      </c>
      <c r="AA75" s="198" t="str">
        <f>IFERROR(INDEX(Расходка[Наименование расходного материала],MATCH(Расходка[[#This Row],[№]],Поиск_расходки[Индекс10],0)),"")</f>
        <v>Launcher 7F JL 4.0</v>
      </c>
      <c r="AB75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5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5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5" s="4" t="s">
        <v>6</v>
      </c>
      <c r="AG75" s="4" t="s">
        <v>465</v>
      </c>
    </row>
    <row r="76" spans="1:33">
      <c r="A76">
        <v>75</v>
      </c>
      <c r="B76" t="s">
        <v>301</v>
      </c>
      <c r="C76" s="1" t="s">
        <v>331</v>
      </c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75</v>
      </c>
      <c r="K76" s="197">
        <f>IF(ISNUMBER(SEARCH('Карта учёта'!$B$19,Расходка[[#This Row],[Наименование расходного материала]])),MAX($K$1:K75)+1,0)</f>
        <v>75</v>
      </c>
      <c r="L76" s="197">
        <f>IF(ISNUMBER(SEARCH('Карта учёта'!$B$20,Расходка[[#This Row],[Наименование расходного материала]])),MAX($L$1:L75)+1,0)</f>
        <v>75</v>
      </c>
      <c r="M76" s="197">
        <f>IF(ISNUMBER(SEARCH('Карта учёта'!$B$21,Расходка[[#This Row],[Наименование расходного материала]])),MAX($M$1:M75)+1,0)</f>
        <v>75</v>
      </c>
      <c r="N76" s="197">
        <f>IF(ISNUMBER(SEARCH('Карта учёта'!$B$22,Расходка[[#This Row],[Наименование расходного материала]])),MAX($N$1:N75)+1,0)</f>
        <v>75</v>
      </c>
      <c r="O76" s="197">
        <f>IF(ISNUMBER(SEARCH('Карта учёта'!$B$23,Расходка[[#This Row],[Наименование расходного материала]])),MAX($O$1:O75)+1,0)</f>
        <v>75</v>
      </c>
      <c r="P76" s="197">
        <f>IF(ISNUMBER(SEARCH('Карта учёта'!$B$24,Расходка[[#This Row],[Наименование расходного материала]])),MAX($P$1:P75)+1,0)</f>
        <v>75</v>
      </c>
      <c r="Q76" s="197">
        <f>IF(ISNUMBER(SEARCH('Карта учёта'!$B$25,Расходка[[#This Row],[Наименование расходного материала]])),MAX($Q$1:Q75)+1,0)</f>
        <v>75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>Angio-Seal™ VIP</v>
      </c>
      <c r="X76" s="198" t="str">
        <f>IFERROR(INDEX(Расходка[Наименование расходного материала],MATCH(Расходка[[#This Row],[№]],Поиск_расходки[Индекс7],0)),"")</f>
        <v>Angio-Seal™ VIP</v>
      </c>
      <c r="Y76" s="198" t="str">
        <f>IFERROR(INDEX(Расходка[Наименование расходного материала],MATCH(Расходка[[#This Row],[№]],Поиск_расходки[Индекс8],0)),"")</f>
        <v>Angio-Seal™ VIP</v>
      </c>
      <c r="Z76" s="198" t="str">
        <f>IFERROR(INDEX(Расходка[Наименование расходного материала],MATCH(Расходка[[#This Row],[№]],Поиск_расходки[Индекс9],0)),"")</f>
        <v>Angio-Seal™ VIP</v>
      </c>
      <c r="AA76" s="198" t="str">
        <f>IFERROR(INDEX(Расходка[Наименование расходного материала],MATCH(Расходка[[#This Row],[№]],Поиск_расходки[Индекс10],0)),"")</f>
        <v>Angio-Seal™ VIP</v>
      </c>
      <c r="AB76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6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6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6" s="4" t="s">
        <v>6</v>
      </c>
      <c r="AG76" s="4" t="s">
        <v>466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467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468</v>
      </c>
    </row>
    <row r="79" spans="1:33">
      <c r="AF79" s="4" t="s">
        <v>6</v>
      </c>
      <c r="AG79" s="4" t="s">
        <v>469</v>
      </c>
    </row>
    <row r="80" spans="1:33">
      <c r="AF80" s="4" t="s">
        <v>6</v>
      </c>
      <c r="AG80" s="4" t="s">
        <v>470</v>
      </c>
    </row>
    <row r="81" spans="32:33">
      <c r="AF81" s="4" t="s">
        <v>6</v>
      </c>
      <c r="AG81" s="4" t="s">
        <v>471</v>
      </c>
    </row>
    <row r="82" spans="32:33">
      <c r="AF82" s="4" t="s">
        <v>6</v>
      </c>
      <c r="AG82" s="4" t="s">
        <v>472</v>
      </c>
    </row>
    <row r="83" spans="32:33">
      <c r="AF83" s="4" t="s">
        <v>6</v>
      </c>
      <c r="AG83" s="4" t="s">
        <v>473</v>
      </c>
    </row>
    <row r="84" spans="32:33">
      <c r="AF84" s="4" t="s">
        <v>6</v>
      </c>
      <c r="AG84" s="4" t="s">
        <v>424</v>
      </c>
    </row>
    <row r="85" spans="32:33">
      <c r="AF85" s="4" t="s">
        <v>6</v>
      </c>
      <c r="AG85" s="4" t="s">
        <v>425</v>
      </c>
    </row>
    <row r="86" spans="32:33">
      <c r="AF86" s="4" t="s">
        <v>6</v>
      </c>
      <c r="AG86" s="4" t="s">
        <v>474</v>
      </c>
    </row>
    <row r="87" spans="32:33">
      <c r="AF87" s="4" t="s">
        <v>6</v>
      </c>
      <c r="AG87" s="4" t="s">
        <v>475</v>
      </c>
    </row>
    <row r="88" spans="32:33">
      <c r="AF88" s="4" t="s">
        <v>6</v>
      </c>
      <c r="AG88" s="4" t="s">
        <v>476</v>
      </c>
    </row>
    <row r="89" spans="32:33">
      <c r="AF89" s="4" t="s">
        <v>6</v>
      </c>
      <c r="AG89" s="4" t="s">
        <v>477</v>
      </c>
    </row>
    <row r="90" spans="32:33">
      <c r="AF90" s="4" t="s">
        <v>6</v>
      </c>
      <c r="AG90" s="4" t="s">
        <v>478</v>
      </c>
    </row>
    <row r="91" spans="32:33">
      <c r="AF91" s="4" t="s">
        <v>6</v>
      </c>
      <c r="AG91" s="4" t="s">
        <v>479</v>
      </c>
    </row>
    <row r="92" spans="32:33">
      <c r="AF92" s="4" t="s">
        <v>6</v>
      </c>
      <c r="AG92" s="4" t="s">
        <v>480</v>
      </c>
    </row>
    <row r="93" spans="32:33">
      <c r="AF93" s="4" t="s">
        <v>6</v>
      </c>
      <c r="AG93" s="4" t="s">
        <v>481</v>
      </c>
    </row>
    <row r="94" spans="32:33">
      <c r="AF94" s="4" t="s">
        <v>6</v>
      </c>
      <c r="AG94" s="4" t="s">
        <v>428</v>
      </c>
    </row>
    <row r="95" spans="32:33">
      <c r="AF95" s="4" t="s">
        <v>6</v>
      </c>
      <c r="AG95" s="4" t="s">
        <v>429</v>
      </c>
    </row>
    <row r="96" spans="32:33">
      <c r="AF96" s="4" t="s">
        <v>6</v>
      </c>
      <c r="AG96" s="4" t="s">
        <v>482</v>
      </c>
    </row>
    <row r="97" spans="32:33">
      <c r="AF97" s="4" t="s">
        <v>6</v>
      </c>
      <c r="AG97" s="4" t="s">
        <v>483</v>
      </c>
    </row>
  </sheetData>
  <sheetProtection formatCells="0" formatColumns="0"/>
  <phoneticPr fontId="14" type="noConversion"/>
  <dataValidations count="1">
    <dataValidation type="list" allowBlank="1" showInputMessage="1" showErrorMessage="1" sqref="B2:B7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514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349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348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352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363</v>
      </c>
    </row>
    <row r="39" spans="1:2">
      <c r="A39" t="s">
        <v>170</v>
      </c>
      <c r="B39" t="s">
        <v>505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503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368</v>
      </c>
    </row>
    <row r="55" spans="1:2">
      <c r="A55" t="s">
        <v>303</v>
      </c>
      <c r="B55" t="s">
        <v>364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341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366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381</v>
      </c>
    </row>
    <row r="2" spans="1:1">
      <c r="A2" t="s">
        <v>378</v>
      </c>
    </row>
    <row r="3" spans="1:1">
      <c r="A3" t="s">
        <v>382</v>
      </c>
    </row>
    <row r="4" spans="1:1">
      <c r="A4" t="s">
        <v>383</v>
      </c>
    </row>
    <row r="5" spans="1:1">
      <c r="A5" t="s">
        <v>379</v>
      </c>
    </row>
    <row r="6" spans="1:1">
      <c r="A6" t="s">
        <v>380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2024-06-11T08:43:15Z</cp:lastPrinted>
  <dcterms:created xsi:type="dcterms:W3CDTF">2015-06-05T18:19:34Z</dcterms:created>
  <dcterms:modified xsi:type="dcterms:W3CDTF">2024-06-11T08:43:24Z</dcterms:modified>
</cp:coreProperties>
</file>