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6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5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9" i="1" l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P19" i="1"/>
  <c r="E68" i="1"/>
  <c r="R75" i="1" s="1"/>
  <c r="Q67" i="1"/>
  <c r="AD66" i="1"/>
  <c r="AD67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72" i="1"/>
  <c r="AB70" i="1"/>
  <c r="AB69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O73" i="1"/>
  <c r="AB73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AB74" i="1" l="1"/>
  <c r="O75" i="1"/>
  <c r="AB75" i="1" s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P30" i="1" l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/>
  <c r="AC30" i="1"/>
  <c r="I72" i="1"/>
  <c r="J72" i="1"/>
  <c r="S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4" i="1" l="1"/>
  <c r="S75" i="1"/>
  <c r="H75" i="1"/>
  <c r="U74" i="1" s="1"/>
  <c r="S56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S66" i="1"/>
  <c r="U65" i="1"/>
  <c r="U48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U62" i="1" l="1"/>
  <c r="U49" i="1"/>
  <c r="U68" i="1"/>
  <c r="U58" i="1"/>
  <c r="U41" i="1"/>
  <c r="U39" i="1"/>
  <c r="U60" i="1"/>
  <c r="U54" i="1"/>
  <c r="U61" i="1"/>
  <c r="U55" i="1"/>
  <c r="U64" i="1"/>
  <c r="U57" i="1"/>
  <c r="U66" i="1"/>
  <c r="U72" i="1"/>
  <c r="U59" i="1"/>
  <c r="U44" i="1"/>
  <c r="U51" i="1"/>
  <c r="U40" i="1"/>
  <c r="U56" i="1"/>
  <c r="U47" i="1"/>
  <c r="U45" i="1"/>
  <c r="U42" i="1"/>
  <c r="U69" i="1"/>
  <c r="U52" i="1"/>
  <c r="U70" i="1"/>
  <c r="U73" i="1"/>
  <c r="U53" i="1"/>
  <c r="U67" i="1"/>
  <c r="U50" i="1"/>
  <c r="U71" i="1"/>
  <c r="U63" i="1"/>
  <c r="U43" i="1"/>
  <c r="U75" i="1"/>
  <c r="U46" i="1"/>
  <c r="J74" i="1"/>
  <c r="I74" i="1"/>
  <c r="V60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V66" i="1" l="1"/>
  <c r="I75" i="1"/>
  <c r="V75" i="1" s="1"/>
  <c r="W48" i="1"/>
  <c r="J75" i="1"/>
  <c r="W75" i="1" s="1"/>
  <c r="V53" i="1"/>
  <c r="V56" i="1"/>
  <c r="V41" i="1"/>
  <c r="V39" i="1"/>
  <c r="W50" i="1"/>
  <c r="W42" i="1"/>
  <c r="W62" i="1"/>
  <c r="W71" i="1"/>
  <c r="W39" i="1"/>
  <c r="W54" i="1"/>
  <c r="W47" i="1"/>
  <c r="W69" i="1"/>
  <c r="W55" i="1"/>
  <c r="W57" i="1"/>
  <c r="V46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73" i="1"/>
  <c r="V45" i="1"/>
  <c r="V63" i="1"/>
  <c r="V62" i="1"/>
  <c r="V42" i="1"/>
  <c r="V70" i="1"/>
  <c r="V74" i="1"/>
  <c r="V51" i="1"/>
  <c r="V69" i="1"/>
  <c r="V43" i="1"/>
  <c r="V64" i="1"/>
  <c r="V71" i="1"/>
  <c r="V48" i="1"/>
  <c r="V54" i="1"/>
  <c r="V67" i="1"/>
  <c r="V68" i="1"/>
  <c r="V59" i="1"/>
  <c r="V49" i="1"/>
  <c r="V52" i="1"/>
  <c r="V50" i="1"/>
  <c r="V65" i="1"/>
  <c r="V47" i="1"/>
  <c r="V55" i="1"/>
  <c r="V58" i="1"/>
  <c r="V44" i="1"/>
  <c r="V57" i="1"/>
  <c r="V61" i="1"/>
  <c r="V40" i="1"/>
  <c r="V7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P35" i="1" l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K74" i="1"/>
  <c r="P38" i="1"/>
  <c r="AC38" i="1" s="1"/>
  <c r="X14" i="1"/>
  <c r="X63" i="1"/>
  <c r="X8" i="1"/>
  <c r="X57" i="1"/>
  <c r="X36" i="1"/>
  <c r="X40" i="1"/>
  <c r="X22" i="1"/>
  <c r="X27" i="1"/>
  <c r="X31" i="1"/>
  <c r="X12" i="1"/>
  <c r="X58" i="1"/>
  <c r="X55" i="1"/>
  <c r="X64" i="1"/>
  <c r="X68" i="1"/>
  <c r="X62" i="1"/>
  <c r="X21" i="1"/>
  <c r="X15" i="1"/>
  <c r="X20" i="1"/>
  <c r="X17" i="1"/>
  <c r="X7" i="1"/>
  <c r="X49" i="1"/>
  <c r="X70" i="1"/>
  <c r="X2" i="1"/>
  <c r="X60" i="1"/>
  <c r="X51" i="1"/>
  <c r="X52" i="1"/>
  <c r="X28" i="1"/>
  <c r="X19" i="1"/>
  <c r="X61" i="1"/>
  <c r="X69" i="1"/>
  <c r="X5" i="1"/>
  <c r="N68" i="1"/>
  <c r="G62" i="1"/>
  <c r="G63" i="1" s="1"/>
  <c r="M51" i="1"/>
  <c r="M52" i="1" s="1"/>
  <c r="M53" i="1" s="1"/>
  <c r="L50" i="1"/>
  <c r="X30" i="1" l="1"/>
  <c r="K75" i="1"/>
  <c r="X35" i="1"/>
  <c r="X25" i="1"/>
  <c r="X3" i="1"/>
  <c r="X33" i="1"/>
  <c r="X18" i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X75" i="1" l="1"/>
  <c r="X46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AC45" i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4" i="1" l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L75" i="1" s="1"/>
  <c r="Y75" i="1" s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<sst xmlns="http://schemas.openxmlformats.org/spreadsheetml/2006/main" count="882" uniqueCount="536">
  <si>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</si>
  <si>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</si>
  <si>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</si>
  <si>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</si>
  <si>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</si>
  <si>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</si>
  <si>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</si>
  <si>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</si>
  <si>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</si>
  <si>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</si>
  <si>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</si>
  <si>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</si>
  <si>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</si>
  <si>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</si>
  <si>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</si>
  <si>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</si>
  <si>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</si>
  <si>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</si>
  <si>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</si>
  <si>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</si>
  <si>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</si>
  <si>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</si>
  <si>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</si>
  <si>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</si>
  <si>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</si>
  <si>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</si>
  <si>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</si>
  <si>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</si>
  <si>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</si>
  <si>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</si>
  <si>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</si>
  <si>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</si>
  <si>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</si>
  <si>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</si>
  <si>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</si>
  <si>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</si>
  <si>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</si>
  <si>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</si>
  <si>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</si>
  <si>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</si>
  <si>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</si>
  <si>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</si>
  <si>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</si>
  <si>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</si>
  <si>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</si>
  <si>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</si>
  <si>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</si>
  <si>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</si>
  <si>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</si>
  <si>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</si>
  <si>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</si>
  <si>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</si>
  <si>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</si>
  <si>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</si>
  <si>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</si>
  <si>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</si>
  <si>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</si>
  <si>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</si>
  <si>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</si>
  <si>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</si>
  <si>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</si>
  <si>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</si>
  <si>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</si>
  <si>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</si>
  <si>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</si>
  <si>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</si>
  <si>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</si>
  <si>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</si>
  <si>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</si>
  <si>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</si>
  <si>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</si>
  <si>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</si>
  <si>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</si>
  <si>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</si>
  <si>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</si>
  <si>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</si>
  <si>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</si>
  <si>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</si>
  <si>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</si>
  <si>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</si>
  <si>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</si>
  <si>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</si>
  <si>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</si>
  <si>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</si>
  <si>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</si>
  <si>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</si>
  <si>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</si>
  <si>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</si>
  <si>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</si>
  <si>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</si>
  <si>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</si>
  <si>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</si>
  <si>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</si>
  <si>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</si>
  <si>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</si>
  <si>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</si>
  <si>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</si>
  <si>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</si>
  <si>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</si>
  <si>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</si>
  <si>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</si>
  <si>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</si>
  <si>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</si>
  <si>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</si>
  <si>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</si>
  <si>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</si>
  <si>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</si>
  <si>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</si>
  <si>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</si>
  <si>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</si>
  <si>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</si>
  <si>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</si>
  <si>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</si>
  <si>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</si>
  <si>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</si>
  <si>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</si>
  <si>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</si>
  <si>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</si>
  <si>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</si>
  <si>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</si>
  <si>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</si>
  <si>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</si>
  <si>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</si>
  <si>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</si>
  <si>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</si>
  <si>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</si>
  <si>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</si>
  <si>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</si>
  <si>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</si>
  <si>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</si>
  <si>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</si>
  <si>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</si>
  <si>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</si>
  <si>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</si>
  <si>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</si>
  <si>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</si>
  <si>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</si>
  <si>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</si>
  <si>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</si>
  <si>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</si>
  <si>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</si>
  <si>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</si>
  <si>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</si>
  <si>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</si>
  <si>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</si>
  <si>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</si>
  <si>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</si>
  <si>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</si>
  <si>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</si>
  <si>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</si>
  <si>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</si>
  <si>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</si>
  <si>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</si>
  <si>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</si>
  <si>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</si>
  <si>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</si>
  <si>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</si>
  <si>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</si>
  <si>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</si>
  <si>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</si>
  <si>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</si>
  <si>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</si>
  <si>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</si>
  <si>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</si>
  <si>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</si>
  <si>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</si>
  <si>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</si>
  <si>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</si>
  <si>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</si>
  <si>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</si>
  <si>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</si>
  <si>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</si>
  <si>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</si>
  <si>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</si>
  <si>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</si>
  <si>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</si>
  <si>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</si>
  <si>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</si>
  <si>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</si>
  <si>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</si>
  <si>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</si>
  <si>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</si>
  <si>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</si>
  <si>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</si>
  <si>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</si>
  <si>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</si>
  <si>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</si>
  <si>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</si>
  <si>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</si>
  <si>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</si>
  <si>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</si>
  <si>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</si>
  <si>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</si>
  <si>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</si>
  <si>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</si>
  <si>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</si>
  <si>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</si>
  <si>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</si>
  <si>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</si>
  <si>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</si>
  <si>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</si>
  <si>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</si>
  <si>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</si>
  <si>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</si>
  <si>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</si>
  <si>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</si>
  <si>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</si>
  <si>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</si>
  <si>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</si>
  <si>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</si>
  <si>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</si>
  <si>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</si>
  <si>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</si>
  <si>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</si>
  <si>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</si>
  <si>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</si>
  <si>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</si>
  <si>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</si>
  <si>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</si>
  <si>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</si>
  <si>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</si>
  <si>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</si>
  <si>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</si>
  <si>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</si>
  <si>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</si>
  <si>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</si>
  <si>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</si>
  <si>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</si>
  <si>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</si>
  <si>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</si>
  <si>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</si>
  <si>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</si>
  <si>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</si>
  <si>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</si>
  <si>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</si>
  <si>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</si>
  <si>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</si>
  <si>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</si>
  <si>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</si>
  <si>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</si>
  <si>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</si>
  <si>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</si>
  <si>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</si>
  <si>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</si>
  <si>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</si>
  <si>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</si>
  <si>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</si>
  <si>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</si>
  <si>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</si>
  <si>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</si>
  <si>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</si>
  <si>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</si>
  <si>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</si>
  <si>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</si>
  <si>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</si>
  <si>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</si>
  <si>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</si>
  <si>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</si>
  <si>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</si>
  <si>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</si>
  <si>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</si>
  <si>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</si>
  <si>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</si>
  <si>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</si>
  <si>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</si>
  <si>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</si>
  <si>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</si>
  <si>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</si>
  <si>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</si>
  <si>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</si>
  <si>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</si>
  <si>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</si>
  <si>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</si>
  <si>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</si>
  <si>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</si>
  <si>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</si>
  <si>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</si>
  <si>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</si>
  <si>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</si>
  <si>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</si>
  <si>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</si>
  <si>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</si>
  <si>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</si>
  <si>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</si>
  <si>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</si>
  <si>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</si>
  <si>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</si>
  <si>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</si>
  <si>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</si>
  <si>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</si>
  <si>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</si>
  <si>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</si>
  <si>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</si>
  <si>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</si>
  <si>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</si>
  <si>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</si>
  <si>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</si>
  <si>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</si>
  <si>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</si>
  <si>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</si>
  <si>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</si>
  <si>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</si>
  <si>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</si>
  <si>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</si>
  <si>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</si>
  <si>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</si>
  <si>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</si>
  <si>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</si>
  <si>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</si>
  <si>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</si>
  <si>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</si>
  <si>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</si>
  <si>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</si>
  <si>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</si>
  <si>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</si>
  <si>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</si>
  <si>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</si>
  <si>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</si>
  <si>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</si>
  <si>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</si>
  <si>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</si>
  <si>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</si>
  <si>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</si>
  <si>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</si>
  <si>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</si>
  <si>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</si>
  <si>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</si>
  <si>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</si>
  <si>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</si>
  <si>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</si>
  <si>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</si>
  <si>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</si>
  <si>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</si>
  <si>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</si>
  <si>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</si>
  <si>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</si>
  <si>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</si>
  <si>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</si>
  <si>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</si>
  <si>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</si>
  <si>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</si>
  <si>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</si>
  <si>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</si>
  <si>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</si>
  <si>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</si>
  <si>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</si>
  <si>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</si>
  <si>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</si>
  <si>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</si>
  <si>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</si>
  <si>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</si>
  <si>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</si>
  <si>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</si>
  <si>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</si>
  <si>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</si>
  <si>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</si>
  <si>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</si>
  <si>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</si>
  <si>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</si>
  <si>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</si>
  <si>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</si>
  <si>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</si>
  <si>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</si>
  <si>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</si>
  <si>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</si>
  <si>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</si>
  <si>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</si>
  <si>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</si>
  <si>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</si>
  <si>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</si>
  <si>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</si>
  <si>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</si>
  <si>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</si>
  <si>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</si>
  <si>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</si>
  <si>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</si>
  <si>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</si>
  <si>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</si>
  <si>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</si>
  <si>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</si>
  <si>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</si>
  <si>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</si>
  <si>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</si>
  <si>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</si>
  <si>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</si>
  <si>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</si>
  <si>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</si>
  <si>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</si>
  <si>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</si>
  <si>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</si>
  <si>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</si>
  <si>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</si>
  <si>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</si>
  <si>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</si>
  <si>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</si>
  <si>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</si>
  <si>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</si>
  <si>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</si>
  <si>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</si>
  <si>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</si>
  <si>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</si>
  <si>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</si>
  <si>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</si>
  <si>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</si>
  <si>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</si>
  <si>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</si>
  <si>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</si>
  <si>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</si>
  <si>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</si>
  <si>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</si>
  <si>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</si>
  <si>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</si>
  <si>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</si>
  <si>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</si>
  <si>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</si>
  <si>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</si>
  <si>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</si>
  <si>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</si>
  <si>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</si>
  <si>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</si>
  <si>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</si>
  <si>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</si>
  <si>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</si>
  <si>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</si>
  <si>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</si>
  <si>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</si>
  <si>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</si>
  <si>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</si>
  <si>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</si>
  <si>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</si>
  <si>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</si>
  <si>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</si>
  <si>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</si>
  <si>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</si>
  <si>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</si>
  <si>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</si>
  <si>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</si>
  <si>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</si>
  <si>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</si>
  <si>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</si>
  <si>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</si>
  <si>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</si>
  <si>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</si>
  <si>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</si>
  <si>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</si>
  <si>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</si>
  <si>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</si>
  <si>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</si>
  <si>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</si>
  <si>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</si>
  <si>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</si>
  <si>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</si>
  <si>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</si>
  <si>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</si>
  <si>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</si>
  <si>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</si>
  <si>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</si>
  <si>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</si>
  <si>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</si>
  <si>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</si>
  <si>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</si>
  <si>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</si>
  <si>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</si>
  <si>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</si>
  <si>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</si>
  <si>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</si>
  <si>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</si>
  <si>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</si>
  <si>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</si>
  <si>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</si>
  <si>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</si>
  <si>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</si>
  <si>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</si>
  <si>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</si>
  <si>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</si>
  <si>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</si>
  <si>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</si>
  <si>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</si>
  <si>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</si>
  <si>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</si>
  <si>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</si>
  <si>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</si>
  <si>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</si>
  <si>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</si>
  <si>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</si>
  <si>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</si>
  <si>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</si>
  <si>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</si>
  <si>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</si>
  <si>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</si>
  <si>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</si>
  <si>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</si>
  <si>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</si>
  <si>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</si>
  <si>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</si>
  <si>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</si>
  <si>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</si>
  <si>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</si>
  <si>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</si>
  <si>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</si>
  <si>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</si>
  <si>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</si>
  <si>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</si>
  <si>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</si>
  <si>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</si>
  <si>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</si>
  <si>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</si>
  <si>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</si>
  <si>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</si>
  <si>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</si>
  <si>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</si>
  <si>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</si>
  <si>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</si>
  <si>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</si>
  <si>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</si>
  <si>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</si>
  <si>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</si>
  <si>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</si>
  <si>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</si>
  <si>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</si>
  <si>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</si>
  <si>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</si>
  <si>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</si>
  <si>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Правый</t>
  </si>
  <si>
    <t>50 ml</t>
  </si>
  <si>
    <t>05:06</t>
  </si>
  <si>
    <t>Филимонова В.Б.</t>
  </si>
  <si>
    <t>Whisper LS</t>
  </si>
  <si>
    <t xml:space="preserve">проходим, контуры ровные </t>
  </si>
  <si>
    <t xml:space="preserve">неровности контуров, на границе проксимального и среднего сегментов субокклюзирующий пролонгированный стеноз 90%, стенозы среднего и дистального сегментов 30%  . Антеградный  кровоток ближе к   - TIMI III. </t>
  </si>
  <si>
    <t xml:space="preserve">стеноз проксимальной трети крупной ВТК_1  - 40%, неровности контуров прокс/3 ВТК_2, неровности контуров средней трети ОА. Антеградный  кровоток TIMI III. </t>
  </si>
  <si>
    <t xml:space="preserve">стеноз пролонгированный проксимального сегмента 40%, неровности контуров среднего сегмента, стенозы дистального сегмента 30%. Антеградный  кровоток TIMI III. </t>
  </si>
  <si>
    <t xml:space="preserve">Совместно с д/кардиологом  с учетом клинических данных, ЭКГ и КАГ принято решение в пользу стентирования ПНА </t>
  </si>
  <si>
    <t>20 ml</t>
  </si>
  <si>
    <t>Контроль места пункции, повязка  на руке до 6ч.</t>
  </si>
  <si>
    <t>Устье ствола ЛКА  катетеризировано проводниковым катетером Launcher EBU  4.0 6Fr. Коронарный проводник whisper ls проведён в дистальный сегмент ПНА.   В зону среднего сегмента с полным покрытием нестабильного значимого стеноза ПНА и частичным покрытием проксимального сегмента имплантирован  DES Evermine50  3,5-24 мм, давлением 14 атм. 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 и  ДВ  - TIMI III.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</si>
</sst>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49</xdr:row>
      <xdr:rowOff>45285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64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L18" sqref="L1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45471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0.53472222222222221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0.54166666666666663</v>
      </c>
      <c r="C10" s="55"/>
      <c r="D10" s="95" t="s">
        <v>173</v>
      </c>
      <c r="E10" s="93"/>
      <c r="F10" s="93"/>
      <c r="G10" s="24" t="s">
        <v>168</v>
      </c>
      <c r="H10" s="26"/>
    </row>
    <row r="11" spans="1:8" ht="17.25" thickTop="1" thickBot="1">
      <c r="A11" s="89" t="s">
        <v>192</v>
      </c>
      <c r="B11" s="203" t="s">
        <v>526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18931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72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18429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400</v>
      </c>
      <c r="H15" s="169" t="s">
        <v>525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402</v>
      </c>
      <c r="H16" s="164">
        <v>2380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389</v>
      </c>
      <c r="H17" s="168">
        <f>H16*0.0019</f>
        <v>4.5220000000000002</v>
      </c>
    </row>
    <row r="18" spans="1:8" ht="14.45" customHeight="1">
      <c r="A18" s="57" t="s">
        <v>188</v>
      </c>
      <c r="B18" s="87" t="s">
        <v>523</v>
      </c>
      <c r="D18" s="28" t="s">
        <v>210</v>
      </c>
      <c r="E18" s="28"/>
      <c r="F18" s="28"/>
      <c r="G18" s="85" t="s">
        <v>189</v>
      </c>
      <c r="H18" s="86" t="s">
        <v>507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528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529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530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531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532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524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L23" sqref="L23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221</v>
      </c>
      <c r="D8" s="240"/>
      <c r="E8" s="240"/>
      <c r="F8" s="190">
        <v>1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1</v>
      </c>
      <c r="H11" s="39"/>
    </row>
    <row r="12" spans="1:8" ht="18.75">
      <c r="A12" s="75" t="s">
        <v>191</v>
      </c>
      <c r="B12" s="20">
        <f>КАГ!B8</f>
        <v>45471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0.54166666666666663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0.56944444444444442</v>
      </c>
      <c r="C14" s="12"/>
      <c r="D14" s="95" t="s">
        <v>173</v>
      </c>
      <c r="E14" s="93"/>
      <c r="F14" s="93"/>
      <c r="G14" s="80" t="str">
        <f>КАГ!G10</f>
        <v>Тарасова Н.В.</v>
      </c>
      <c r="H14" s="91" t="str">
        <f>IF(ISBLANK(КАГ!H10),"",КАГ!H10)</f>
        <v/>
      </c>
    </row>
    <row r="15" spans="1:8" ht="16.5" thickBot="1">
      <c r="A15" s="163" t="s">
        <v>388</v>
      </c>
      <c r="B15" s="188">
        <f>IF(B14&lt;B13,B14+1,B14)-B13</f>
        <v>2.777777777777779E-2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Филимонова В.Б.</v>
      </c>
      <c r="C16" s="200">
        <f>LEN(КАГ!B11)</f>
        <v>15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18931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72</v>
      </c>
      <c r="H18" s="39"/>
    </row>
    <row r="19" spans="1:8" ht="14.45" customHeight="1">
      <c r="A19" s="15" t="s">
        <v>12</v>
      </c>
      <c r="B19" s="68">
        <f>КАГ!B14</f>
        <v>18429</v>
      </c>
      <c r="C19" s="69"/>
      <c r="D19" s="69"/>
      <c r="E19" s="69"/>
      <c r="F19" s="69"/>
      <c r="G19" s="165" t="s">
        <v>400</v>
      </c>
      <c r="H19" s="180" t="str">
        <f>КАГ!H15</f>
        <v>05:06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402</v>
      </c>
      <c r="H20" s="181">
        <f>КАГ!H16</f>
        <v>2380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389</v>
      </c>
      <c r="H21" s="168">
        <f>КАГ!H17</f>
        <v>4.5220000000000002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392</v>
      </c>
      <c r="B23" s="172" t="s">
        <v>391</v>
      </c>
      <c r="C23" s="162"/>
      <c r="D23" s="162"/>
      <c r="E23" s="162"/>
      <c r="F23" s="162"/>
      <c r="H23" s="39"/>
    </row>
    <row r="24" spans="1:8" ht="14.45" customHeight="1">
      <c r="A24" s="183" t="s">
        <v>390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7" t="s">
        <v>535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7" t="s">
        <v>396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393</v>
      </c>
      <c r="B39" s="70" t="s">
        <v>395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394</v>
      </c>
      <c r="B40" s="178" t="s">
        <v>533</v>
      </c>
      <c r="C40" s="120"/>
      <c r="D40" s="251" t="s">
        <v>534</v>
      </c>
      <c r="E40" s="245"/>
      <c r="F40" s="245"/>
      <c r="G40" s="245"/>
      <c r="H40" s="246"/>
    </row>
    <row r="41" spans="1:12" ht="14.45" customHeight="1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>
      <c r="A44" s="32"/>
      <c r="B44" s="28"/>
      <c r="C44" s="120"/>
      <c r="D44" s="245"/>
      <c r="E44" s="245"/>
      <c r="F44" s="245"/>
      <c r="G44" s="245"/>
      <c r="H44" s="246"/>
      <c r="L44" s="160"/>
    </row>
    <row r="45" spans="1:12" ht="14.45" customHeight="1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>
      <c r="A47" s="38"/>
      <c r="C47" s="120"/>
      <c r="D47" s="245"/>
      <c r="E47" s="245"/>
      <c r="F47" s="245"/>
      <c r="G47" s="245"/>
      <c r="H47" s="246"/>
    </row>
    <row r="48" spans="1:12" ht="14.45" customHeight="1">
      <c r="A48" s="38"/>
      <c r="C48" s="120"/>
      <c r="D48" s="245"/>
      <c r="E48" s="245"/>
      <c r="F48" s="245"/>
      <c r="G48" s="245"/>
      <c r="H48" s="246"/>
    </row>
    <row r="49" spans="1:8" ht="14.45" customHeight="1">
      <c r="A49" s="38"/>
      <c r="C49" s="120"/>
      <c r="D49" s="245"/>
      <c r="E49" s="245"/>
      <c r="F49" s="245"/>
      <c r="G49" s="245"/>
      <c r="H49" s="246"/>
    </row>
    <row r="50" spans="1:8">
      <c r="A50" s="62" t="s">
        <v>199</v>
      </c>
      <c r="B50" s="63" t="s">
        <v>522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372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B18" sqref="B18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45471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Филимонова В.Б.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18931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72</v>
      </c>
    </row>
    <row r="7" spans="1:4">
      <c r="A7" s="38"/>
      <c r="C7" s="101" t="s">
        <v>12</v>
      </c>
      <c r="D7" s="103">
        <f>КАГ!$B$14</f>
        <v>18429</v>
      </c>
    </row>
    <row r="8" spans="1:4">
      <c r="A8" s="194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45471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327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527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4" t="s">
        <v>520</v>
      </c>
      <c r="C16" s="135" t="s">
        <v>468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4"/>
      <c r="C17" s="135"/>
      <c r="D17" s="140"/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4"/>
      <c r="C18" s="135"/>
      <c r="D18" s="140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518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25" zoomScaleNormal="100" workbookViewId="0">
      <selection activeCell="C29" sqref="C2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1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4.0</v>
      </c>
      <c r="T2" s="115" t="str">
        <f>IFERROR(INDEX(Расходка[Наименование расходного материала],MATCH(Расходка[[#This Row],[№]],Поиск_расходки[Индекс3],0)),"")</f>
        <v>Whisper LS</v>
      </c>
      <c r="U2" s="115" t="str">
        <f>IFERROR(INDEX(Расходка[Наименование расходного материала],MATCH(Расходка[[#This Row],[№]],Поиск_расходки[Индекс4],0)),"")</f>
        <v>Meril Evermine50™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497</v>
      </c>
      <c r="AP2" s="128"/>
    </row>
    <row r="3" spans="1:42">
      <c r="A3">
        <v>2</v>
      </c>
      <c r="B3" t="s">
        <v>94</v>
      </c>
      <c r="C3" t="s">
        <v>371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2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490</v>
      </c>
      <c r="AO3" t="s">
        <v>498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3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503</v>
      </c>
      <c r="AO4" t="s">
        <v>500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4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499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5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502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6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496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7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8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9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10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516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11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12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Nitrex 260</v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13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RadiFocus</v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14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BasixCOMPAK</v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15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BasixTOUCH</v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16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Dolphin</v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17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Lepu Medical</v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18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v>19</v>
      </c>
      <c r="B20" t="s">
        <v>306</v>
      </c>
      <c r="C20" t="s">
        <v>506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19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Demax</v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20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Oscor 7F</v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v>21</v>
      </c>
      <c r="B22" t="s">
        <v>306</v>
      </c>
      <c r="C22" s="1" t="s">
        <v>509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21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v>22</v>
      </c>
      <c r="B23" t="s">
        <v>306</v>
      </c>
      <c r="C23" s="1" t="s">
        <v>511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22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Поток CTЗ по ТУ</v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23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Индефлятор</v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24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25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26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</v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v>27</v>
      </c>
      <c r="B28" t="s">
        <v>3</v>
      </c>
      <c r="C28" t="s">
        <v>374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27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Fielder XT-A</v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v>28</v>
      </c>
      <c r="B29" t="s">
        <v>3</v>
      </c>
      <c r="C29" t="s">
        <v>375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28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Fielder XT-R</v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v>29</v>
      </c>
      <c r="B30" t="s">
        <v>3</v>
      </c>
      <c r="C30" t="s">
        <v>513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29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Asahi Gaia First</v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v>30</v>
      </c>
      <c r="B31" t="s">
        <v>3</v>
      </c>
      <c r="C31" s="1" t="s">
        <v>514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30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Asahi Gaia Second</v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v>31</v>
      </c>
      <c r="B32" t="s">
        <v>3</v>
      </c>
      <c r="C32" s="1" t="s">
        <v>515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31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Asahi Gaia Third</v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32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Intuition</v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33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34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35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36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Rinato</v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37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38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39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40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</v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v>41</v>
      </c>
      <c r="B42" t="s">
        <v>3</v>
      </c>
      <c r="C42" t="s">
        <v>379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41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Sion Black</v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v>42</v>
      </c>
      <c r="B43" t="s">
        <v>3</v>
      </c>
      <c r="C43" s="1" t="s">
        <v>373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42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Sion Blue</v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43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Thunder</v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v>44</v>
      </c>
      <c r="B45" t="s">
        <v>3</v>
      </c>
      <c r="C45" t="s">
        <v>362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44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Whisper MS</v>
      </c>
      <c r="W45" s="115" t="str">
        <f>IFERROR(INDEX(Расходка[Наименование расходного материала],MATCH(Расходка[[#This Row],[№]],Поиск_расходки[Индекс6],0)),"")</f>
        <v>Whisper MS</v>
      </c>
      <c r="X45" s="115" t="str">
        <f>IFERROR(INDEX(Расходка[Наименование расходного материала],MATCH(Расходка[[#This Row],[№]],Поиск_расходки[Индекс7],0)),"")</f>
        <v>Whisper MS</v>
      </c>
      <c r="Y45" s="115" t="str">
        <f>IFERROR(INDEX(Расходка[Наименование расходного материала],MATCH(Расходка[[#This Row],[№]],Поиск_расходки[Индекс8],0)),"")</f>
        <v>Whisper MS</v>
      </c>
      <c r="Z45" s="115" t="str">
        <f>IFERROR(INDEX(Расходка[Наименование расходного материала],MATCH(Расходка[[#This Row],[№]],Поиск_расходки[Индекс9],0)),"")</f>
        <v>Whisper MS</v>
      </c>
      <c r="AA45" s="115" t="str">
        <f>IFERROR(INDEX(Расходка[Наименование расходного материала],MATCH(Расходка[[#This Row],[№]],Поиск_расходки[Индекс10],0)),"")</f>
        <v>Whisper MS</v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440</v>
      </c>
    </row>
    <row r="46" spans="1:33">
      <c r="A46">
        <v>45</v>
      </c>
      <c r="B46" t="s">
        <v>3</v>
      </c>
      <c r="C46" t="s">
        <v>527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1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45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Whisper LS</v>
      </c>
      <c r="W46" s="115" t="str">
        <f>IFERROR(INDEX(Расходка[Наименование расходного материала],MATCH(Расходка[[#This Row],[№]],Поиск_расходки[Индекс6],0)),"")</f>
        <v>Whisper LS</v>
      </c>
      <c r="X46" s="115" t="str">
        <f>IFERROR(INDEX(Расходка[Наименование расходного материала],MATCH(Расходка[[#This Row],[№]],Поиск_расходки[Индекс7],0)),"")</f>
        <v>Whisper LS</v>
      </c>
      <c r="Y46" s="115" t="str">
        <f>IFERROR(INDEX(Расходка[Наименование расходного материала],MATCH(Расходка[[#This Row],[№]],Поиск_расходки[Индекс8],0)),"")</f>
        <v>Whisper LS</v>
      </c>
      <c r="Z46" s="115" t="str">
        <f>IFERROR(INDEX(Расходка[Наименование расходного материала],MATCH(Расходка[[#This Row],[№]],Поиск_расходки[Индекс9],0)),"")</f>
        <v>Whisper LS</v>
      </c>
      <c r="AA46" s="115" t="str">
        <f>IFERROR(INDEX(Расходка[Наименование расходного материала],MATCH(Расходка[[#This Row],[№]],Поиск_расходки[Индекс10],0)),"")</f>
        <v>Whisper LS</v>
      </c>
      <c r="AB46" s="115" t="str">
        <f>IFERROR(INDEX(Расходка[Наименование расходного материала],MATCH(Расходка[[#This Row],[№]],Поиск_расходки[Индекс11],0)),"")</f>
        <v>Whisper LS</v>
      </c>
      <c r="AC46" s="115" t="str">
        <f>IFERROR(INDEX(Расходка[Наименование расходного материала],MATCH(Расходка[[#This Row],[№]],Поиск_расходки[Индекс12],0)),"")</f>
        <v>Whisper LS</v>
      </c>
      <c r="AD46" s="115" t="str">
        <f>IFERROR(INDEX(Расходка[Наименование расходного материала],MATCH(Расходка[[#This Row],[№]],Поиск_расходки[Индекс13],0)),"")</f>
        <v>Whisper LS</v>
      </c>
      <c r="AF46" s="4" t="s">
        <v>6</v>
      </c>
      <c r="AG46" s="4" t="s">
        <v>441</v>
      </c>
    </row>
    <row r="47" spans="1:33">
      <c r="A47">
        <v>46</v>
      </c>
      <c r="B47" t="s">
        <v>3</v>
      </c>
      <c r="C47" t="s">
        <v>363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46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Winn 200T</v>
      </c>
      <c r="W47" s="115" t="str">
        <f>IFERROR(INDEX(Расходка[Наименование расходного материала],MATCH(Расходка[[#This Row],[№]],Поиск_расходки[Индекс6],0)),"")</f>
        <v>Winn 200T</v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47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v>48</v>
      </c>
      <c r="B49" t="s">
        <v>3</v>
      </c>
      <c r="C49" t="s">
        <v>512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48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49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50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v>50</v>
      </c>
      <c r="B51" t="s">
        <v>3</v>
      </c>
      <c r="C51" t="s">
        <v>510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50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 xml:space="preserve">Balancium </v>
      </c>
      <c r="W51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v>51</v>
      </c>
      <c r="B52" t="s">
        <v>3</v>
      </c>
      <c r="C52" t="s">
        <v>521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51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Shunmei</v>
      </c>
      <c r="W52" s="115" t="str">
        <f>IFERROR(INDEX(Расходка[Наименование расходного материала],MATCH(Расходка[[#This Row],[№]],Поиск_расходки[Индекс6],0)),"")</f>
        <v>Shunmei</v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52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BMS, Integtity</v>
      </c>
      <c r="W53" s="115" t="str">
        <f>IFERROR(INDEX(Расходка[Наименование расходного материала],MATCH(Расходка[[#This Row],[№]],Поиск_расходки[Индекс6],0)),"")</f>
        <v>BMS, Integtity</v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448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53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Calipso</v>
      </c>
      <c r="W54" s="115" t="str">
        <f>IFERROR(INDEX(Расходка[Наименование расходного материала],MATCH(Расходка[[#This Row],[№]],Поиск_расходки[Индекс6],0)),"")</f>
        <v>DES, Calipso</v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449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54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NanoMed</v>
      </c>
      <c r="W55" s="115" t="str">
        <f>IFERROR(INDEX(Расходка[Наименование расходного материала],MATCH(Расходка[[#This Row],[№]],Поиск_расходки[Индекс6],0)),"")</f>
        <v>DES, NanoMed</v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450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55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6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451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56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7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452</v>
      </c>
    </row>
    <row r="58" spans="1:33">
      <c r="A58">
        <v>57</v>
      </c>
      <c r="B58" t="s">
        <v>6</v>
      </c>
      <c r="C58" s="161" t="s">
        <v>387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57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DES, Firehawk</v>
      </c>
      <c r="W58" s="115" t="str">
        <f>IFERROR(INDEX(Расходка[Наименование расходного материала],MATCH(Расходка[[#This Row],[№]],Поиск_расходки[Индекс6],0)),"")</f>
        <v>DES, Firehawk</v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453</v>
      </c>
    </row>
    <row r="59" spans="1:33">
      <c r="A59">
        <v>58</v>
      </c>
      <c r="B59" t="s">
        <v>6</v>
      </c>
      <c r="C59" t="s">
        <v>386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58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9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454</v>
      </c>
    </row>
    <row r="60" spans="1:33">
      <c r="A60">
        <v>59</v>
      </c>
      <c r="B60" t="s">
        <v>6</v>
      </c>
      <c r="C60" t="s">
        <v>519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59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DES, Калипсо</v>
      </c>
      <c r="W60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455</v>
      </c>
    </row>
    <row r="61" spans="1:33">
      <c r="A61">
        <v>60</v>
      </c>
      <c r="B61" t="s">
        <v>6</v>
      </c>
      <c r="C61" t="s">
        <v>520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1</v>
      </c>
      <c r="I61" s="116">
        <f>IF(ISNUMBER(SEARCH('Карта учёта'!$B$17,Расходка[[#This Row],[Наименование расходного материала]])),MAX($I$1:I60)+1,0)</f>
        <v>60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Meril Evermine50™</v>
      </c>
      <c r="W61" s="115" t="str">
        <f>IFERROR(INDEX(Расходка[Наименование расходного материала],MATCH(Расходка[[#This Row],[№]],Поиск_расходки[Индекс6],0)),"")</f>
        <v>Meril Evermine50™</v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416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61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62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456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62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63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457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63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64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458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64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5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459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65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460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1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66</v>
      </c>
      <c r="J67" s="197">
        <f>IF(ISNUMBER(SEARCH('Карта учёта'!$B$18,Расходка[[#This Row],[Наименование расходного материала]])),MAX($J$1:J66)+1,0)</f>
        <v>66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>Launcher 6F EBU 4.0</v>
      </c>
      <c r="W67" s="198" t="str">
        <f>IFERROR(INDEX(Расходка[Наименование расходного материала],MATCH(Расходка[[#This Row],[№]],Поиск_расходки[Индекс6],0)),"")</f>
        <v>Launcher 6F EBU 4.0</v>
      </c>
      <c r="X67" s="198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461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67</v>
      </c>
      <c r="J68" s="197">
        <f>IF(ISNUMBER(SEARCH('Карта учёта'!$B$18,Расходка[[#This Row],[Наименование расходного материала]])),MAX($J$1:J67)+1,0)</f>
        <v>67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>Launcher 6F JL 3.5</v>
      </c>
      <c r="W68" s="198" t="str">
        <f>IFERROR(INDEX(Расходка[Наименование расходного материала],MATCH(Расходка[[#This Row],[№]],Поиск_расходки[Индекс6],0)),"")</f>
        <v>Launcher 6F JL 3.5</v>
      </c>
      <c r="X68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462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68</v>
      </c>
      <c r="J69" s="197">
        <f>IF(ISNUMBER(SEARCH('Карта учёта'!$B$18,Расходка[[#This Row],[Наименование расходного материала]])),MAX($J$1:J68)+1,0)</f>
        <v>68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>Launcher 6F JL 4.0</v>
      </c>
      <c r="W69" s="198" t="str">
        <f>IFERROR(INDEX(Расходка[Наименование расходного материала],MATCH(Расходка[[#This Row],[№]],Поиск_расходки[Индекс6],0)),"")</f>
        <v>Launcher 6F JL 4.0</v>
      </c>
      <c r="X69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463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69</v>
      </c>
      <c r="J70" s="197">
        <f>IF(ISNUMBER(SEARCH('Карта учёта'!$B$18,Расходка[[#This Row],[Наименование расходного материала]])),MAX($J$1:J69)+1,0)</f>
        <v>69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>Launcher 6F JL 4.5</v>
      </c>
      <c r="W70" s="198" t="str">
        <f>IFERROR(INDEX(Расходка[Наименование расходного материала],MATCH(Расходка[[#This Row],[№]],Поиск_расходки[Индекс6],0)),"")</f>
        <v>Launcher 6F JL 4.5</v>
      </c>
      <c r="X70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464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70</v>
      </c>
      <c r="J71" s="197">
        <f>IF(ISNUMBER(SEARCH('Карта учёта'!$B$18,Расходка[[#This Row],[Наименование расходного материала]])),MAX($J$1:J70)+1,0)</f>
        <v>70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>Launcher 6F JR 3.5</v>
      </c>
      <c r="W71" s="198" t="str">
        <f>IFERROR(INDEX(Расходка[Наименование расходного материала],MATCH(Расходка[[#This Row],[№]],Поиск_расходки[Индекс6],0)),"")</f>
        <v>Launcher 6F JR 3.5</v>
      </c>
      <c r="X71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419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71</v>
      </c>
      <c r="J72" s="197">
        <f>IF(ISNUMBER(SEARCH('Карта учёта'!$B$18,Расходка[[#This Row],[Наименование расходного материала]])),MAX($J$1:J71)+1,0)</f>
        <v>71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>Launcher 6F JR 4.0</v>
      </c>
      <c r="W72" s="198" t="str">
        <f>IFERROR(INDEX(Расходка[Наименование расходного материала],MATCH(Расходка[[#This Row],[№]],Поиск_расходки[Индекс6],0)),"")</f>
        <v>Launcher 6F JR 4.0</v>
      </c>
      <c r="X72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465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72</v>
      </c>
      <c r="J73" s="197">
        <f>IF(ISNUMBER(SEARCH('Карта учёта'!$B$18,Расходка[[#This Row],[Наименование расходного материала]])),MAX($J$1:J72)+1,0)</f>
        <v>72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>Launcher 7F JL 3.5</v>
      </c>
      <c r="W73" s="198" t="str">
        <f>IFERROR(INDEX(Расходка[Наименование расходного материала],MATCH(Расходка[[#This Row],[№]],Поиск_расходки[Индекс6],0)),"")</f>
        <v>Launcher 7F JL 3.5</v>
      </c>
      <c r="X73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420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73</v>
      </c>
      <c r="J74" s="197">
        <f>IF(ISNUMBER(SEARCH('Карта учёта'!$B$18,Расходка[[#This Row],[Наименование расходного материала]])),MAX($J$1:J73)+1,0)</f>
        <v>73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>Launcher 7F JL 4.0</v>
      </c>
      <c r="W74" s="198" t="str">
        <f>IFERROR(INDEX(Расходка[Наименование расходного материала],MATCH(Расходка[[#This Row],[№]],Поиск_расходки[Индекс6],0)),"")</f>
        <v>Launcher 7F JL 4.0</v>
      </c>
      <c r="X74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466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74</v>
      </c>
      <c r="J75" s="197">
        <f>IF(ISNUMBER(SEARCH('Карта учёта'!$B$18,Расходка[[#This Row],[Наименование расходного материала]])),MAX($J$1:J74)+1,0)</f>
        <v>74</v>
      </c>
      <c r="K75" s="197">
        <f>IF(ISNUMBER(SEARCH('Карта учёта'!$B$19,Расходка[[#This Row],[Наименование расходного материала]])),MAX($K$1:K74)+1,0)</f>
        <v>74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>Angio-Seal™ VIP</v>
      </c>
      <c r="W75" s="198" t="str">
        <f>IFERROR(INDEX(Расходка[Наименование расходного материала],MATCH(Расходка[[#This Row],[№]],Поиск_расходки[Индекс6],0)),"")</f>
        <v>Angio-Seal™ VIP</v>
      </c>
      <c r="X75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467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468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469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48" sqref="C48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2024-06-28T10:55:32Z</cp:lastPrinted>
  <dcterms:created xsi:type="dcterms:W3CDTF">2015-06-05T18:19:34Z</dcterms:created>
  <dcterms:modified xsi:type="dcterms:W3CDTF">2024-06-28T10:56:59Z</dcterms:modified>
</cp:coreProperties>
</file>