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1" i="1" l="1"/>
  <c r="E72" i="1"/>
  <c r="E73" i="1"/>
  <c r="E74" i="1"/>
  <c r="E75" i="1"/>
  <c r="E76" i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R75" i="1" s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S56" i="1" s="1"/>
  <c r="H75" i="1"/>
  <c r="U43" i="1" s="1"/>
  <c r="S50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6" i="1"/>
  <c r="S13" i="1" l="1"/>
  <c r="S20" i="1"/>
  <c r="S25" i="1"/>
  <c r="S68" i="1"/>
  <c r="S45" i="1"/>
  <c r="S28" i="1"/>
  <c r="S15" i="1"/>
  <c r="S36" i="1"/>
  <c r="S21" i="1"/>
  <c r="S3" i="1"/>
  <c r="S39" i="1"/>
  <c r="S46" i="1"/>
  <c r="S75" i="1"/>
  <c r="S64" i="1"/>
  <c r="S70" i="1"/>
  <c r="U67" i="1"/>
  <c r="S30" i="1"/>
  <c r="S10" i="1"/>
  <c r="S29" i="1"/>
  <c r="S8" i="1"/>
  <c r="S31" i="1"/>
  <c r="S12" i="1"/>
  <c r="S11" i="1"/>
  <c r="S35" i="1"/>
  <c r="S4" i="1"/>
  <c r="S43" i="1"/>
  <c r="S57" i="1"/>
  <c r="S62" i="1"/>
  <c r="S49" i="1"/>
  <c r="S51" i="1"/>
  <c r="S52" i="1"/>
  <c r="S48" i="1"/>
  <c r="S44" i="1"/>
  <c r="S32" i="1"/>
  <c r="S33" i="1"/>
  <c r="S17" i="1"/>
  <c r="S18" i="1"/>
  <c r="S24" i="1"/>
  <c r="S9" i="1"/>
  <c r="S26" i="1"/>
  <c r="S16" i="1"/>
  <c r="S34" i="1"/>
  <c r="S38" i="1"/>
  <c r="S22" i="1"/>
  <c r="S7" i="1"/>
  <c r="S14" i="1"/>
  <c r="S23" i="1"/>
  <c r="S27" i="1"/>
  <c r="S19" i="1"/>
  <c r="S37" i="1"/>
  <c r="S5" i="1"/>
  <c r="S73" i="1"/>
  <c r="S59" i="1"/>
  <c r="S58" i="1"/>
  <c r="S42" i="1"/>
  <c r="S69" i="1"/>
  <c r="S40" i="1"/>
  <c r="S63" i="1"/>
  <c r="S53" i="1"/>
  <c r="S54" i="1"/>
  <c r="U71" i="1"/>
  <c r="S74" i="1"/>
  <c r="S60" i="1"/>
  <c r="S47" i="1"/>
  <c r="S41" i="1"/>
  <c r="S65" i="1"/>
  <c r="S72" i="1"/>
  <c r="S61" i="1"/>
  <c r="S71" i="1"/>
  <c r="S55" i="1"/>
  <c r="S66" i="1"/>
  <c r="U53" i="1"/>
  <c r="U50" i="1"/>
  <c r="U63" i="1"/>
  <c r="S67" i="1"/>
  <c r="U48" i="1"/>
  <c r="U49" i="1"/>
  <c r="U62" i="1"/>
  <c r="U74" i="1"/>
  <c r="U65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54" i="1" s="1"/>
  <c r="I75" i="1"/>
  <c r="V66" i="1" s="1"/>
  <c r="W42" i="1"/>
  <c r="W65" i="1"/>
  <c r="W74" i="1"/>
  <c r="W51" i="1"/>
  <c r="V71" i="1"/>
  <c r="V50" i="1"/>
  <c r="V40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W72" i="1" l="1"/>
  <c r="W73" i="1"/>
  <c r="W68" i="1"/>
  <c r="W57" i="1"/>
  <c r="V58" i="1"/>
  <c r="V68" i="1"/>
  <c r="V70" i="1"/>
  <c r="V57" i="1"/>
  <c r="V47" i="1"/>
  <c r="V49" i="1"/>
  <c r="V54" i="1"/>
  <c r="V43" i="1"/>
  <c r="V45" i="1"/>
  <c r="W75" i="1"/>
  <c r="W2" i="1"/>
  <c r="V72" i="1"/>
  <c r="V61" i="1"/>
  <c r="V44" i="1"/>
  <c r="V55" i="1"/>
  <c r="V65" i="1"/>
  <c r="V52" i="1"/>
  <c r="V59" i="1"/>
  <c r="V67" i="1"/>
  <c r="V48" i="1"/>
  <c r="V64" i="1"/>
  <c r="V51" i="1"/>
  <c r="V62" i="1"/>
  <c r="W43" i="1"/>
  <c r="W60" i="1"/>
  <c r="W63" i="1"/>
  <c r="W67" i="1"/>
  <c r="W49" i="1"/>
  <c r="W52" i="1"/>
  <c r="W66" i="1"/>
  <c r="W69" i="1"/>
  <c r="W71" i="1"/>
  <c r="V69" i="1"/>
  <c r="V74" i="1"/>
  <c r="V42" i="1"/>
  <c r="V63" i="1"/>
  <c r="V73" i="1"/>
  <c r="W59" i="1"/>
  <c r="W61" i="1"/>
  <c r="W56" i="1"/>
  <c r="W58" i="1"/>
  <c r="W44" i="1"/>
  <c r="W40" i="1"/>
  <c r="W41" i="1"/>
  <c r="W45" i="1"/>
  <c r="W70" i="1"/>
  <c r="W53" i="1"/>
  <c r="W64" i="1"/>
  <c r="W46" i="1"/>
  <c r="V46" i="1"/>
  <c r="W55" i="1"/>
  <c r="W47" i="1"/>
  <c r="W39" i="1"/>
  <c r="W62" i="1"/>
  <c r="W50" i="1"/>
  <c r="W48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G62" i="1"/>
  <c r="G63" i="1" s="1"/>
  <c r="M51" i="1"/>
  <c r="M52" i="1" s="1"/>
  <c r="M53" i="1" s="1"/>
  <c r="L50" i="1"/>
  <c r="K75" i="1" l="1"/>
  <c r="X2" i="1" s="1"/>
  <c r="X9" i="1"/>
  <c r="X4" i="1"/>
  <c r="X54" i="1"/>
  <c r="X11" i="1"/>
  <c r="X23" i="1"/>
  <c r="P39" i="1"/>
  <c r="N69" i="1"/>
  <c r="G64" i="1"/>
  <c r="M54" i="1"/>
  <c r="M55" i="1" s="1"/>
  <c r="L51" i="1"/>
  <c r="L52" i="1" s="1"/>
  <c r="L53" i="1" s="1"/>
  <c r="X72" i="1" l="1"/>
  <c r="X37" i="1"/>
  <c r="X24" i="1"/>
  <c r="X71" i="1"/>
  <c r="X6" i="1"/>
  <c r="X29" i="1"/>
  <c r="X10" i="1"/>
  <c r="X45" i="1"/>
  <c r="X44" i="1"/>
  <c r="X34" i="1"/>
  <c r="X65" i="1"/>
  <c r="X13" i="1"/>
  <c r="X48" i="1"/>
  <c r="X59" i="1"/>
  <c r="X73" i="1"/>
  <c r="X39" i="1"/>
  <c r="X33" i="1"/>
  <c r="X41" i="1"/>
  <c r="X25" i="1"/>
  <c r="X26" i="1"/>
  <c r="X50" i="1"/>
  <c r="X16" i="1"/>
  <c r="X47" i="1"/>
  <c r="X74" i="1"/>
  <c r="X38" i="1"/>
  <c r="X66" i="1"/>
  <c r="X43" i="1"/>
  <c r="X42" i="1"/>
  <c r="X56" i="1"/>
  <c r="X67" i="1"/>
  <c r="X32" i="1"/>
  <c r="X53" i="1"/>
  <c r="X18" i="1"/>
  <c r="X3" i="1"/>
  <c r="X35" i="1"/>
  <c r="X30" i="1"/>
  <c r="X75" i="1"/>
  <c r="X63" i="1"/>
  <c r="X57" i="1"/>
  <c r="X40" i="1"/>
  <c r="X27" i="1"/>
  <c r="X12" i="1"/>
  <c r="X55" i="1"/>
  <c r="X68" i="1"/>
  <c r="X21" i="1"/>
  <c r="X20" i="1"/>
  <c r="X7" i="1"/>
  <c r="X46" i="1"/>
  <c r="X51" i="1"/>
  <c r="X28" i="1"/>
  <c r="X5" i="1"/>
  <c r="X14" i="1"/>
  <c r="X8" i="1"/>
  <c r="X36" i="1"/>
  <c r="X22" i="1"/>
  <c r="X31" i="1"/>
  <c r="X58" i="1"/>
  <c r="X64" i="1"/>
  <c r="X62" i="1"/>
  <c r="X15" i="1"/>
  <c r="X17" i="1"/>
  <c r="X49" i="1"/>
  <c r="X70" i="1"/>
  <c r="X60" i="1"/>
  <c r="X52" i="1"/>
  <c r="X19" i="1"/>
  <c r="X69" i="1"/>
  <c r="X61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M68" i="1"/>
  <c r="L72" i="1" l="1"/>
  <c r="L73" i="1" s="1"/>
  <c r="M69" i="1"/>
  <c r="L74" i="1" l="1"/>
  <c r="L75" i="1" s="1"/>
  <c r="Y2" i="1"/>
  <c r="Y69" i="1"/>
  <c r="Y16" i="1"/>
  <c r="Y19" i="1"/>
  <c r="Y37" i="1"/>
  <c r="Y61" i="1"/>
  <c r="Y44" i="1"/>
  <c r="Y21" i="1"/>
  <c r="Y28" i="1"/>
  <c r="Y72" i="1"/>
  <c r="Y57" i="1"/>
  <c r="Y7" i="1"/>
  <c r="Y5" i="1"/>
  <c r="Y41" i="1"/>
  <c r="Y32" i="1"/>
  <c r="Y56" i="1"/>
  <c r="Y45" i="1"/>
  <c r="Y24" i="1"/>
  <c r="Y4" i="1"/>
  <c r="Y3" i="1"/>
  <c r="Y74" i="1"/>
  <c r="M70" i="1"/>
  <c r="Y73" i="1" l="1"/>
  <c r="Y70" i="1"/>
  <c r="Y30" i="1"/>
  <c r="Y33" i="1"/>
  <c r="Y23" i="1"/>
  <c r="Y66" i="1"/>
  <c r="Y6" i="1"/>
  <c r="Y29" i="1"/>
  <c r="Y11" i="1"/>
  <c r="Y25" i="1"/>
  <c r="Y67" i="1"/>
  <c r="Y34" i="1"/>
  <c r="Y35" i="1"/>
  <c r="Y8" i="1"/>
  <c r="Y60" i="1"/>
  <c r="Y10" i="1"/>
  <c r="Y36" i="1"/>
  <c r="Y48" i="1"/>
  <c r="Y20" i="1"/>
  <c r="Y51" i="1"/>
  <c r="Y31" i="1"/>
  <c r="Y71" i="1"/>
  <c r="Y13" i="1"/>
  <c r="Y9" i="1"/>
  <c r="Y50" i="1"/>
  <c r="Y15" i="1"/>
  <c r="Y42" i="1"/>
  <c r="Y17" i="1"/>
  <c r="Y65" i="1"/>
  <c r="Y47" i="1"/>
  <c r="Y46" i="1"/>
  <c r="Y55" i="1"/>
  <c r="Y18" i="1"/>
  <c r="Y62" i="1"/>
  <c r="Y58" i="1"/>
  <c r="Y68" i="1"/>
  <c r="Y22" i="1"/>
  <c r="Y49" i="1"/>
  <c r="Y54" i="1"/>
  <c r="Y52" i="1"/>
  <c r="Y26" i="1"/>
  <c r="Y40" i="1"/>
  <c r="Y12" i="1"/>
  <c r="Y59" i="1"/>
  <c r="Y53" i="1"/>
  <c r="Y14" i="1"/>
  <c r="Y39" i="1"/>
  <c r="Y43" i="1"/>
  <c r="Y38" i="1"/>
  <c r="Y27" i="1"/>
  <c r="Y64" i="1"/>
  <c r="Y63" i="1"/>
  <c r="Y75" i="1"/>
  <c r="M71" i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<sst xmlns="http://schemas.openxmlformats.org/spreadsheetml/2006/main" count="883" uniqueCount="536">
  <si>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</si>
  <si>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</si>
  <si>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</si>
  <si>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</si>
  <si>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</si>
  <si>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</si>
  <si>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</si>
  <si>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</si>
  <si>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</si>
  <si>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</si>
  <si>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</si>
  <si>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</si>
  <si>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</si>
  <si>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</si>
  <si>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</si>
  <si>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</si>
  <si>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</si>
  <si>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</si>
  <si>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</si>
  <si>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</si>
  <si>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</si>
  <si>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</si>
  <si>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</si>
  <si>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</si>
  <si>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</si>
  <si>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</si>
  <si>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</si>
  <si>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</si>
  <si>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</si>
  <si>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</si>
  <si>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</si>
  <si>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</si>
  <si>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</si>
  <si>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</si>
  <si>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</si>
  <si>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</si>
  <si>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</si>
  <si>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</si>
  <si>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</si>
  <si>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</si>
  <si>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</si>
  <si>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</si>
  <si>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</si>
  <si>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</si>
  <si>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</si>
  <si>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</si>
  <si>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</si>
  <si>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</si>
  <si>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</si>
  <si>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</si>
  <si>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</si>
  <si>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</si>
  <si>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</si>
  <si>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</si>
  <si>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</si>
  <si>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</si>
  <si>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</si>
  <si>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</si>
  <si>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</si>
  <si>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</si>
  <si>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</si>
  <si>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</si>
  <si>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</si>
  <si>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</si>
  <si>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</si>
  <si>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</si>
  <si>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</si>
  <si>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</si>
  <si>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</si>
  <si>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</si>
  <si>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</si>
  <si>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</si>
  <si>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</si>
  <si>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</si>
  <si>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</si>
  <si>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</si>
  <si>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</si>
  <si>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</si>
  <si>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</si>
  <si>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</si>
  <si>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</si>
  <si>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</si>
  <si>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</si>
  <si>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</si>
  <si>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</si>
  <si>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</si>
  <si>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</si>
  <si>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</si>
  <si>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</si>
  <si>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</si>
  <si>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</si>
  <si>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</si>
  <si>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</si>
  <si>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</si>
  <si>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</si>
  <si>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</si>
  <si>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</si>
  <si>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</si>
  <si>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</si>
  <si>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</si>
  <si>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</si>
  <si>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</si>
  <si>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</si>
  <si>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</si>
  <si>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</si>
  <si>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</si>
  <si>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</si>
  <si>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</si>
  <si>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</si>
  <si>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</si>
  <si>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</si>
  <si>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</si>
  <si>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</si>
  <si>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</si>
  <si>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</si>
  <si>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</si>
  <si>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</si>
  <si>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</si>
  <si>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</si>
  <si>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</si>
  <si>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</si>
  <si>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</si>
  <si>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</si>
  <si>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</si>
  <si>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</si>
  <si>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</si>
  <si>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</si>
  <si>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</si>
  <si>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</si>
  <si>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</si>
  <si>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</si>
  <si>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</si>
  <si>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</si>
  <si>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</si>
  <si>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</si>
  <si>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</si>
  <si>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</si>
  <si>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</si>
  <si>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</si>
  <si>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</si>
  <si>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</si>
  <si>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</si>
  <si>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</si>
  <si>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</si>
  <si>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</si>
  <si>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</si>
  <si>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</si>
  <si>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</si>
  <si>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</si>
  <si>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</si>
  <si>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</si>
  <si>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</si>
  <si>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</si>
  <si>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</si>
  <si>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</si>
  <si>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</si>
  <si>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</si>
  <si>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</si>
  <si>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</si>
  <si>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</si>
  <si>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</si>
  <si>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</si>
  <si>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</si>
  <si>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</si>
  <si>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</si>
  <si>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</si>
  <si>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</si>
  <si>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</si>
  <si>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</si>
  <si>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</si>
  <si>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</si>
  <si>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</si>
  <si>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</si>
  <si>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</si>
  <si>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</si>
  <si>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</si>
  <si>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</si>
  <si>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</si>
  <si>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</si>
  <si>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</si>
  <si>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</si>
  <si>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</si>
  <si>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</si>
  <si>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</si>
  <si>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</si>
  <si>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</si>
  <si>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</si>
  <si>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</si>
  <si>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</si>
  <si>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</si>
  <si>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</si>
  <si>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</si>
  <si>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</si>
  <si>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</si>
  <si>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</si>
  <si>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</si>
  <si>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</si>
  <si>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</si>
  <si>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</si>
  <si>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</si>
  <si>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</si>
  <si>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</si>
  <si>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</si>
  <si>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</si>
  <si>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</si>
  <si>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</si>
  <si>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</si>
  <si>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</si>
  <si>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</si>
  <si>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</si>
  <si>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</si>
  <si>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</si>
  <si>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</si>
  <si>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</si>
  <si>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</si>
  <si>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</si>
  <si>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</si>
  <si>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</si>
  <si>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</si>
  <si>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</si>
  <si>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</si>
  <si>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</si>
  <si>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</si>
  <si>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</si>
  <si>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</si>
  <si>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</si>
  <si>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</si>
  <si>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</si>
  <si>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</si>
  <si>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</si>
  <si>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</si>
  <si>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</si>
  <si>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</si>
  <si>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</si>
  <si>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</si>
  <si>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</si>
  <si>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</si>
  <si>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</si>
  <si>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</si>
  <si>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</si>
  <si>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</si>
  <si>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</si>
  <si>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</si>
  <si>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</si>
  <si>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</si>
  <si>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</si>
  <si>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</si>
  <si>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</si>
  <si>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</si>
  <si>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</si>
  <si>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</si>
  <si>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</si>
  <si>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</si>
  <si>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</si>
  <si>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</si>
  <si>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</si>
  <si>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</si>
  <si>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</si>
  <si>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</si>
  <si>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</si>
  <si>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</si>
  <si>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</si>
  <si>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</si>
  <si>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</si>
  <si>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</si>
  <si>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</si>
  <si>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</si>
  <si>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</si>
  <si>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</si>
  <si>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</si>
  <si>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</si>
  <si>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</si>
  <si>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</si>
  <si>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</si>
  <si>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</si>
  <si>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</si>
  <si>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</si>
  <si>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</si>
  <si>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</si>
  <si>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</si>
  <si>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</si>
  <si>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</si>
  <si>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</si>
  <si>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</si>
  <si>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</si>
  <si>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</si>
  <si>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</si>
  <si>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</si>
  <si>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</si>
  <si>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</si>
  <si>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</si>
  <si>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</si>
  <si>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</si>
  <si>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</si>
  <si>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</si>
  <si>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</si>
  <si>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</si>
  <si>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</si>
  <si>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</si>
  <si>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</si>
  <si>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</si>
  <si>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</si>
  <si>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</si>
  <si>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</si>
  <si>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</si>
  <si>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</si>
  <si>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</si>
  <si>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</si>
  <si>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</si>
  <si>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</si>
  <si>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</si>
  <si>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</si>
  <si>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</si>
  <si>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</si>
  <si>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</si>
  <si>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</si>
  <si>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</si>
  <si>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</si>
  <si>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</si>
  <si>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</si>
  <si>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</si>
  <si>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</si>
  <si>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</si>
  <si>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</si>
  <si>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</si>
  <si>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</si>
  <si>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</si>
  <si>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</si>
  <si>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</si>
  <si>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</si>
  <si>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</si>
  <si>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</si>
  <si>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</si>
  <si>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</si>
  <si>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</si>
  <si>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</si>
  <si>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</si>
  <si>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</si>
  <si>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</si>
  <si>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</si>
  <si>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</si>
  <si>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</si>
  <si>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</si>
  <si>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</si>
  <si>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</si>
  <si>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</si>
  <si>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</si>
  <si>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</si>
  <si>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</si>
  <si>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</si>
  <si>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</si>
  <si>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</si>
  <si>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</si>
  <si>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</si>
  <si>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</si>
  <si>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</si>
  <si>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</si>
  <si>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</si>
  <si>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</si>
  <si>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</si>
  <si>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</si>
  <si>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</si>
  <si>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</si>
  <si>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</si>
  <si>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</si>
  <si>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</si>
  <si>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</si>
  <si>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</si>
  <si>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</si>
  <si>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</si>
  <si>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</si>
  <si>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</si>
  <si>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</si>
  <si>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</si>
  <si>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</si>
  <si>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</si>
  <si>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</si>
  <si>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</si>
  <si>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</si>
  <si>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</si>
  <si>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</si>
  <si>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</si>
  <si>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</si>
  <si>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</si>
  <si>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</si>
  <si>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</si>
  <si>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</si>
  <si>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</si>
  <si>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</si>
  <si>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</si>
  <si>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</si>
  <si>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</si>
  <si>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</si>
  <si>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</si>
  <si>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</si>
  <si>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</si>
  <si>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</si>
  <si>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</si>
  <si>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</si>
  <si>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</si>
  <si>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</si>
  <si>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</si>
  <si>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</si>
  <si>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</si>
  <si>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</si>
  <si>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</si>
  <si>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</si>
  <si>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</si>
  <si>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</si>
  <si>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</si>
  <si>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</si>
  <si>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</si>
  <si>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</si>
  <si>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</si>
  <si>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</si>
  <si>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</si>
  <si>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</si>
  <si>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</si>
  <si>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</si>
  <si>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</si>
  <si>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</si>
  <si>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</si>
  <si>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</si>
  <si>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</si>
  <si>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</si>
  <si>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</si>
  <si>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</si>
  <si>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</si>
  <si>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</si>
  <si>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</si>
  <si>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</si>
  <si>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</si>
  <si>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</si>
  <si>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</si>
  <si>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</si>
  <si>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</si>
  <si>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</si>
  <si>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</si>
  <si>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</si>
  <si>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</si>
  <si>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</si>
  <si>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</si>
  <si>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</si>
  <si>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</si>
  <si>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</si>
  <si>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</si>
  <si>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</si>
  <si>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</si>
  <si>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</si>
  <si>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</si>
  <si>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</si>
  <si>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</si>
  <si>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</si>
  <si>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</si>
  <si>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</si>
  <si>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</si>
  <si>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</si>
  <si>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</si>
  <si>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</si>
  <si>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</si>
  <si>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</si>
  <si>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</si>
  <si>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</si>
  <si>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</si>
  <si>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</si>
  <si>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</si>
  <si>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</si>
  <si>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</si>
  <si>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</si>
  <si>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</si>
  <si>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</si>
  <si>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</si>
  <si>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</si>
  <si>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</si>
  <si>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</si>
  <si>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</si>
  <si>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</si>
  <si>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</si>
  <si>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</si>
  <si>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</si>
  <si>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</si>
  <si>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</si>
  <si>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</si>
  <si>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</si>
  <si>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</si>
  <si>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</si>
  <si>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</si>
  <si>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</si>
  <si>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</si>
  <si>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</si>
  <si>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</si>
  <si>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</si>
  <si>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</si>
  <si>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</si>
  <si>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</si>
  <si>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</si>
  <si>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</si>
  <si>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</si>
  <si>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</si>
  <si>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</si>
  <si>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</si>
  <si>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</si>
  <si>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</si>
  <si>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</si>
  <si>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</si>
  <si>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</si>
  <si>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</si>
  <si>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</si>
  <si>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</si>
  <si>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</si>
  <si>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</si>
  <si>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</si>
  <si>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</si>
  <si>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</si>
  <si>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</si>
  <si>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</si>
  <si>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</si>
  <si>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</si>
  <si>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</si>
  <si>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</si>
  <si>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</si>
  <si>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</si>
  <si>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</si>
  <si>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50 ml</t>
  </si>
  <si>
    <t>Совместно с д/кардиологом: с учетом клинических данных, ЭКГ и КАГ рекомендована экстренная реканализация ПНА</t>
  </si>
  <si>
    <r>
      <t>1) Контроль места пункции, повязка  на руке до 6 ч.</t>
    </r>
    <r>
      <rPr>
        <sz val="11"/>
        <color theme="1"/>
        <rFont val="Calibri"/>
        <family val="2"/>
        <charset val="204"/>
        <scheme val="minor"/>
      </rPr>
      <t xml:space="preserve"> </t>
    </r>
  </si>
  <si>
    <t>20 ml</t>
  </si>
  <si>
    <t>150 ml</t>
  </si>
  <si>
    <t>05:30</t>
  </si>
  <si>
    <t>Дмитриева И.Н.</t>
  </si>
  <si>
    <t>Правый</t>
  </si>
  <si>
    <t>неровности контуров дист/3</t>
  </si>
  <si>
    <t xml:space="preserve">стеноз проксимального сегмента  30%, стеноз проксимальной трети от устья ВТК 30%.  Антеградный  кровоток TIMI III. </t>
  </si>
  <si>
    <r>
      <rPr>
        <sz val="10"/>
        <color theme="1"/>
        <rFont val="Arial Narrow"/>
        <family val="2"/>
        <charset val="204"/>
      </rPr>
      <t xml:space="preserve">стеноз устья 30%, стеноз проксимального сегмента 40%, нестабиьный значимый стеноз среднего сегмента не менее 80%, стенозы дистального сегмента 40%, стенозы апикаьного сегмента 50%. Стеноз устья крупной ДВ 50%. Антеградный кровоток - TIMI III </t>
    </r>
    <r>
      <rPr>
        <b/>
        <sz val="11"/>
        <color theme="1"/>
        <rFont val="Arial Narrow"/>
        <family val="2"/>
        <charset val="204"/>
      </rPr>
      <t/>
    </r>
  </si>
  <si>
    <t xml:space="preserve">неровности контуров на протяжении всех сегментов ПКА. Антеградный  кровоток  TIMI III. </t>
  </si>
  <si>
    <t>Устье ствола ЛКА катетеризировано проводниковым катетером Launcher EBU  3.5 6Fr. Коронарный проводник whisper проведёны в дистальный сегмент ПНА.  В зону среднего сегмента с покрытием   значимого стеноза имплантирован DES Resolute Integrity 2.5 - 22 , давлением до  12 атм. На контрольных съемках стент раскрыт удовлетворительно, признаков краевых диссекций, тромбоза, экстравазации контрастного вещества не выявлено.   Ангиографический результат удовлетворительный, кровоток по ПНА TIMI III.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</si>
</sst>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sz val="10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2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1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>
      <alignment horizontal="justify" vertical="top" wrapText="1"/>
    </xf>
    <xf numFmtId="0" fontId="70" fillId="0" borderId="13" xfId="0" applyFont="1" applyBorder="1" applyAlignment="1">
      <alignment horizontal="justify" vertical="top" wrapText="1"/>
    </xf>
    <xf numFmtId="0" fontId="70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R19" sqref="R1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7" t="s">
        <v>213</v>
      </c>
      <c r="B6" s="218"/>
      <c r="C6" s="218"/>
      <c r="D6" s="218"/>
      <c r="E6" s="218"/>
      <c r="F6" s="218"/>
      <c r="G6" s="218"/>
      <c r="H6" s="219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45524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0.625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0.63472222222222219</v>
      </c>
      <c r="C10" s="55"/>
      <c r="D10" s="95" t="s">
        <v>173</v>
      </c>
      <c r="E10" s="93"/>
      <c r="F10" s="93"/>
      <c r="G10" s="24" t="s">
        <v>141</v>
      </c>
      <c r="H10" s="26"/>
    </row>
    <row r="11" spans="1:8" ht="17.25" thickTop="1" thickBot="1">
      <c r="A11" s="89" t="s">
        <v>192</v>
      </c>
      <c r="B11" s="203" t="s">
        <v>529</v>
      </c>
      <c r="C11" s="8"/>
      <c r="D11" s="95" t="s">
        <v>170</v>
      </c>
      <c r="E11" s="93"/>
      <c r="F11" s="93"/>
      <c r="G11" s="24" t="s">
        <v>252</v>
      </c>
      <c r="H11" s="26"/>
    </row>
    <row r="12" spans="1:8" ht="16.5" thickTop="1">
      <c r="A12" s="81" t="s">
        <v>8</v>
      </c>
      <c r="B12" s="82">
        <v>25506</v>
      </c>
      <c r="C12" s="12"/>
      <c r="D12" s="95" t="s">
        <v>303</v>
      </c>
      <c r="E12" s="93"/>
      <c r="F12" s="93"/>
      <c r="G12" s="24" t="s">
        <v>261</v>
      </c>
      <c r="H12" s="26" t="s">
        <v>178</v>
      </c>
    </row>
    <row r="13" spans="1:8" ht="15.75">
      <c r="A13" s="15" t="s">
        <v>10</v>
      </c>
      <c r="B13" s="30">
        <f>DATEDIF(B12,B8,"y")</f>
        <v>54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23748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399</v>
      </c>
      <c r="H15" s="169" t="s">
        <v>528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6" t="s">
        <v>401</v>
      </c>
      <c r="H16" s="164">
        <v>5360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388</v>
      </c>
      <c r="H17" s="168">
        <f>H16*0.0019</f>
        <v>10.183999999999999</v>
      </c>
    </row>
    <row r="18" spans="1:8" ht="14.45" customHeight="1">
      <c r="A18" s="57" t="s">
        <v>188</v>
      </c>
      <c r="B18" s="87" t="s">
        <v>530</v>
      </c>
      <c r="D18" s="28" t="s">
        <v>210</v>
      </c>
      <c r="E18" s="28"/>
      <c r="F18" s="28"/>
      <c r="G18" s="85" t="s">
        <v>189</v>
      </c>
      <c r="H18" s="86" t="s">
        <v>506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0" t="s">
        <v>531</v>
      </c>
      <c r="C20" s="221"/>
      <c r="D20" s="221"/>
      <c r="E20" s="221"/>
      <c r="F20" s="221"/>
      <c r="G20" s="221"/>
      <c r="H20" s="222"/>
    </row>
    <row r="21" spans="1:8">
      <c r="A21" s="58"/>
      <c r="B21" s="223"/>
      <c r="C21" s="223"/>
      <c r="D21" s="223"/>
      <c r="E21" s="223"/>
      <c r="F21" s="223"/>
      <c r="G21" s="223"/>
      <c r="H21" s="224"/>
    </row>
    <row r="22" spans="1:8" ht="15.6" customHeight="1">
      <c r="A22" s="59" t="s">
        <v>271</v>
      </c>
      <c r="B22" s="225" t="s">
        <v>533</v>
      </c>
      <c r="C22" s="225"/>
      <c r="D22" s="225"/>
      <c r="E22" s="225"/>
      <c r="F22" s="225"/>
      <c r="G22" s="225"/>
      <c r="H22" s="226"/>
    </row>
    <row r="23" spans="1:8" ht="14.45" customHeight="1">
      <c r="A23" s="38"/>
      <c r="B23" s="227"/>
      <c r="C23" s="227"/>
      <c r="D23" s="227"/>
      <c r="E23" s="227"/>
      <c r="F23" s="227"/>
      <c r="G23" s="227"/>
      <c r="H23" s="228"/>
    </row>
    <row r="24" spans="1:8" ht="14.45" customHeight="1">
      <c r="A24" s="60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38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40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59" t="s">
        <v>272</v>
      </c>
      <c r="B27" s="225" t="s">
        <v>532</v>
      </c>
      <c r="C27" s="225"/>
      <c r="D27" s="225"/>
      <c r="E27" s="225"/>
      <c r="F27" s="225"/>
      <c r="G27" s="225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25" t="s">
        <v>534</v>
      </c>
      <c r="C32" s="225"/>
      <c r="D32" s="225"/>
      <c r="E32" s="225"/>
      <c r="F32" s="225"/>
      <c r="G32" s="225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13" t="str">
        <f>IF($A$6=Вмешательства!$D$3,Вмешательства!$F$18,"")</f>
        <v/>
      </c>
      <c r="E37" s="213"/>
      <c r="F37" s="119"/>
      <c r="G37" s="119"/>
      <c r="H37" s="123"/>
    </row>
    <row r="38" spans="1:8" ht="14.45" customHeight="1">
      <c r="A38" s="38"/>
      <c r="C38" s="124"/>
      <c r="D38" s="214"/>
      <c r="E38" s="215"/>
      <c r="F38" s="215"/>
      <c r="G38" s="215"/>
      <c r="H38" s="216"/>
    </row>
    <row r="39" spans="1:8" ht="14.45" customHeight="1">
      <c r="A39" s="35"/>
      <c r="B39" s="119"/>
      <c r="C39" s="124"/>
      <c r="D39" s="215"/>
      <c r="E39" s="215"/>
      <c r="F39" s="215"/>
      <c r="G39" s="215"/>
      <c r="H39" s="216"/>
    </row>
    <row r="40" spans="1:8" ht="14.45" customHeight="1">
      <c r="A40" s="35"/>
      <c r="B40" s="119"/>
      <c r="C40" s="124"/>
      <c r="D40" s="215"/>
      <c r="E40" s="215"/>
      <c r="F40" s="215"/>
      <c r="G40" s="215"/>
      <c r="H40" s="216"/>
    </row>
    <row r="41" spans="1:8" ht="14.45" customHeight="1">
      <c r="A41" s="35"/>
      <c r="B41" s="119"/>
      <c r="C41" s="124"/>
      <c r="D41" s="215"/>
      <c r="E41" s="215"/>
      <c r="F41" s="215"/>
      <c r="G41" s="215"/>
      <c r="H41" s="216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0" t="s">
        <v>524</v>
      </c>
      <c r="E43" s="211"/>
      <c r="F43" s="211"/>
      <c r="G43" s="211"/>
      <c r="H43" s="212"/>
    </row>
    <row r="44" spans="1:8" ht="14.45" customHeight="1">
      <c r="A44" s="35"/>
      <c r="B44" s="119"/>
      <c r="C44" s="126"/>
      <c r="D44" s="211"/>
      <c r="E44" s="211"/>
      <c r="F44" s="211"/>
      <c r="G44" s="211"/>
      <c r="H44" s="212"/>
    </row>
    <row r="45" spans="1:8" ht="14.45" customHeight="1">
      <c r="A45" s="35"/>
      <c r="B45" s="119"/>
      <c r="C45" s="126"/>
      <c r="D45" s="211"/>
      <c r="E45" s="211"/>
      <c r="F45" s="211"/>
      <c r="G45" s="211"/>
      <c r="H45" s="212"/>
    </row>
    <row r="46" spans="1:8">
      <c r="A46" s="35"/>
      <c r="B46" s="119"/>
      <c r="C46" s="126"/>
      <c r="D46" s="211"/>
      <c r="E46" s="211"/>
      <c r="F46" s="211"/>
      <c r="G46" s="211"/>
      <c r="H46" s="212"/>
    </row>
    <row r="47" spans="1:8">
      <c r="A47" s="38"/>
      <c r="C47" s="126"/>
      <c r="D47" s="211"/>
      <c r="E47" s="211"/>
      <c r="F47" s="211"/>
      <c r="G47" s="211"/>
      <c r="H47" s="212"/>
    </row>
    <row r="48" spans="1:8">
      <c r="A48" s="38"/>
      <c r="C48" s="126"/>
      <c r="D48" s="211"/>
      <c r="E48" s="211"/>
      <c r="F48" s="211"/>
      <c r="G48" s="211"/>
      <c r="H48" s="212"/>
    </row>
    <row r="49" spans="1:13">
      <c r="A49" s="38"/>
      <c r="B49" s="205"/>
      <c r="C49" s="206"/>
      <c r="D49" s="211"/>
      <c r="E49" s="211"/>
      <c r="F49" s="211"/>
      <c r="G49" s="211"/>
      <c r="H49" s="212"/>
    </row>
    <row r="50" spans="1:13">
      <c r="A50" s="38"/>
      <c r="D50" s="211"/>
      <c r="E50" s="211"/>
      <c r="F50" s="211"/>
      <c r="G50" s="211"/>
      <c r="H50" s="212"/>
      <c r="M50" t="s">
        <v>211</v>
      </c>
    </row>
    <row r="51" spans="1:13">
      <c r="A51" s="62" t="s">
        <v>199</v>
      </c>
      <c r="B51" s="63" t="s">
        <v>523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0" zoomScaleNormal="100" zoomScaleSheetLayoutView="100" zoomScalePageLayoutView="90" workbookViewId="0">
      <selection activeCell="Q39" sqref="Q39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221</v>
      </c>
      <c r="D8" s="240"/>
      <c r="E8" s="240"/>
      <c r="F8" s="190">
        <v>1</v>
      </c>
      <c r="G8" s="118" t="s">
        <v>309</v>
      </c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40"/>
      <c r="D9" s="240"/>
      <c r="E9" s="240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89"/>
      <c r="C10" s="244"/>
      <c r="D10" s="244"/>
      <c r="E10" s="244"/>
      <c r="F10" s="193"/>
      <c r="G10" s="118"/>
      <c r="H10" s="39"/>
    </row>
    <row r="11" spans="1:8">
      <c r="A11" s="192"/>
      <c r="B11" s="196"/>
      <c r="C11" s="199">
        <f>SUM(F8:F10)</f>
        <v>1</v>
      </c>
      <c r="H11" s="39"/>
    </row>
    <row r="12" spans="1:8" ht="18.75">
      <c r="A12" s="75" t="s">
        <v>191</v>
      </c>
      <c r="B12" s="20">
        <f>КАГ!B8</f>
        <v>45524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0.63472222222222219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0.67361111111111116</v>
      </c>
      <c r="C14" s="12"/>
      <c r="D14" s="95" t="s">
        <v>173</v>
      </c>
      <c r="E14" s="93"/>
      <c r="F14" s="93"/>
      <c r="G14" s="80" t="str">
        <f>КАГ!G10</f>
        <v>Черткова О.Н.</v>
      </c>
      <c r="H14" s="91" t="str">
        <f>IF(ISBLANK(КАГ!H10),"",КАГ!H10)</f>
        <v/>
      </c>
    </row>
    <row r="15" spans="1:8" ht="16.5" thickBot="1">
      <c r="A15" s="163" t="s">
        <v>387</v>
      </c>
      <c r="B15" s="188">
        <f>IF(B14&lt;B13,B14+1,B14)-B13</f>
        <v>3.8888888888888973E-2</v>
      </c>
      <c r="D15" s="95" t="s">
        <v>170</v>
      </c>
      <c r="E15" s="93"/>
      <c r="F15" s="93"/>
      <c r="G15" s="80" t="str">
        <f>КАГ!G11</f>
        <v>Шевьёв В.А.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Дмитриева И.Н.</v>
      </c>
      <c r="C16" s="200">
        <f>LEN(КАГ!B11)</f>
        <v>14</v>
      </c>
      <c r="D16" s="95" t="s">
        <v>303</v>
      </c>
      <c r="E16" s="93"/>
      <c r="F16" s="93"/>
      <c r="G16" s="80" t="str">
        <f>КАГ!G12</f>
        <v>Билан Н.В.</v>
      </c>
      <c r="H16" s="91" t="str">
        <f>IF(ISBLANK(КАГ!H12),"",КАГ!H12)</f>
        <v>Галамага Н.Е.</v>
      </c>
    </row>
    <row r="17" spans="1:8" ht="16.5" thickTop="1">
      <c r="A17" s="15" t="s">
        <v>8</v>
      </c>
      <c r="B17" s="67">
        <f>КАГ!B12</f>
        <v>25506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54</v>
      </c>
      <c r="H18" s="39"/>
    </row>
    <row r="19" spans="1:8" ht="14.45" customHeight="1">
      <c r="A19" s="15" t="s">
        <v>12</v>
      </c>
      <c r="B19" s="68">
        <f>КАГ!B14</f>
        <v>23748</v>
      </c>
      <c r="C19" s="69"/>
      <c r="D19" s="69"/>
      <c r="E19" s="69"/>
      <c r="F19" s="69"/>
      <c r="G19" s="165" t="s">
        <v>399</v>
      </c>
      <c r="H19" s="180" t="str">
        <f>КАГ!H15</f>
        <v>05:30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401</v>
      </c>
      <c r="H20" s="181">
        <f>КАГ!H16</f>
        <v>5360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7" t="s">
        <v>388</v>
      </c>
      <c r="H21" s="168">
        <f>КАГ!H17</f>
        <v>10.183999999999999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/>
      </c>
      <c r="H22" s="185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391</v>
      </c>
      <c r="B23" s="172" t="s">
        <v>390</v>
      </c>
      <c r="C23" s="162"/>
      <c r="D23" s="162"/>
      <c r="E23" s="162"/>
      <c r="F23" s="162"/>
      <c r="H23" s="39"/>
    </row>
    <row r="24" spans="1:8" ht="14.45" customHeight="1">
      <c r="A24" s="183" t="s">
        <v>389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8" t="s">
        <v>535</v>
      </c>
      <c r="B25" s="249"/>
      <c r="C25" s="249"/>
      <c r="D25" s="249"/>
      <c r="E25" s="249"/>
      <c r="F25" s="249"/>
      <c r="G25" s="249"/>
      <c r="H25" s="250"/>
    </row>
    <row r="26" spans="1:8" ht="14.45" customHeight="1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>
      <c r="A38" s="177" t="s">
        <v>395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393</v>
      </c>
      <c r="B40" s="178" t="s">
        <v>526</v>
      </c>
      <c r="C40" s="120"/>
      <c r="D40" s="245" t="s">
        <v>525</v>
      </c>
      <c r="E40" s="246"/>
      <c r="F40" s="246"/>
      <c r="G40" s="246"/>
      <c r="H40" s="247"/>
    </row>
    <row r="41" spans="1:12" ht="14.45" customHeight="1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>
      <c r="A44" s="32"/>
      <c r="B44" s="28"/>
      <c r="C44" s="120"/>
      <c r="D44" s="246"/>
      <c r="E44" s="246"/>
      <c r="F44" s="246"/>
      <c r="G44" s="246"/>
      <c r="H44" s="247"/>
      <c r="L44" s="160"/>
    </row>
    <row r="45" spans="1:12" ht="14.45" customHeight="1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>
      <c r="A47" s="38"/>
      <c r="C47" s="120"/>
      <c r="D47" s="246"/>
      <c r="E47" s="246"/>
      <c r="F47" s="246"/>
      <c r="G47" s="246"/>
      <c r="H47" s="247"/>
    </row>
    <row r="48" spans="1:12" ht="14.45" customHeight="1">
      <c r="A48" s="38"/>
      <c r="C48" s="120"/>
      <c r="D48" s="246"/>
      <c r="E48" s="246"/>
      <c r="F48" s="246"/>
      <c r="G48" s="246"/>
      <c r="H48" s="247"/>
    </row>
    <row r="49" spans="1:8" ht="14.45" customHeight="1">
      <c r="A49" s="38"/>
      <c r="C49" s="120"/>
      <c r="D49" s="246"/>
      <c r="E49" s="246"/>
      <c r="F49" s="246"/>
      <c r="G49" s="246"/>
      <c r="H49" s="247"/>
    </row>
    <row r="50" spans="1:8">
      <c r="A50" s="62" t="s">
        <v>199</v>
      </c>
      <c r="B50" s="63" t="s">
        <v>527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371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C21" sqref="C21"/>
    </sheetView>
  </sheetViews>
  <sheetFormatPr defaultRowHeight="15"/>
  <cols>
    <col min="1" max="1" width="18.7109375" customWidth="1"/>
    <col min="2" max="2" width="44.570312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45524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Дмитриева И.Н.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25506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54</v>
      </c>
    </row>
    <row r="7" spans="1:4">
      <c r="A7" s="38"/>
      <c r="C7" s="101" t="s">
        <v>12</v>
      </c>
      <c r="D7" s="103">
        <f>КАГ!$B$14</f>
        <v>23748</v>
      </c>
    </row>
    <row r="8" spans="1:4">
      <c r="A8" s="194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>Код метода: 47</v>
      </c>
      <c r="C9" s="105" t="s">
        <v>106</v>
      </c>
      <c r="D9" s="103" t="str">
        <f>КАГ!$B$16</f>
        <v>ОКС БПST</v>
      </c>
    </row>
    <row r="10" spans="1:4">
      <c r="A10" s="195"/>
      <c r="B10" s="31"/>
      <c r="C10" s="150" t="s">
        <v>13</v>
      </c>
      <c r="D10" s="151">
        <f>КАГ!$B$8</f>
        <v>45524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4" t="s">
        <v>326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4" t="s">
        <v>522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4" t="s">
        <v>324</v>
      </c>
      <c r="C16" s="135" t="s">
        <v>440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54"/>
      <c r="C17" s="135"/>
      <c r="D17" s="140"/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4"/>
      <c r="C18" s="135"/>
      <c r="D18" s="140"/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4"/>
      <c r="C19" s="182"/>
      <c r="D19" s="140"/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517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E11" sqref="AE11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1</v>
      </c>
      <c r="J2" s="116">
        <f>IF(ISNUMBER(SEARCH('Карта учёта'!$B$18,Расходка[[#This Row],[Наименование расходного материала]])),MAX($J$1:J1)+1,0)</f>
        <v>1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Abbot Whisper LS</v>
      </c>
      <c r="U2" s="115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496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2</v>
      </c>
      <c r="J3" s="116">
        <f>IF(ISNUMBER(SEARCH('Карта учёта'!$B$18,Расходка[[#This Row],[Наименование расходного материала]])),MAX($J$1:J2)+1,0)</f>
        <v>2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489</v>
      </c>
      <c r="AO3" t="s">
        <v>497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3</v>
      </c>
      <c r="J4" s="116">
        <f>IF(ISNUMBER(SEARCH('Карта учёта'!$B$18,Расходка[[#This Row],[Наименование расходного материала]])),MAX($J$1:J3)+1,0)</f>
        <v>3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502</v>
      </c>
      <c r="AO4" t="s">
        <v>499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4</v>
      </c>
      <c r="J5" s="116">
        <f>IF(ISNUMBER(SEARCH('Карта учёта'!$B$18,Расходка[[#This Row],[Наименование расходного материала]])),MAX($J$1:J4)+1,0)</f>
        <v>4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498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5</v>
      </c>
      <c r="J6" s="116">
        <f>IF(ISNUMBER(SEARCH('Карта учёта'!$B$18,Расходка[[#This Row],[Наименование расходного материала]])),MAX($J$1:J5)+1,0)</f>
        <v>5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501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6</v>
      </c>
      <c r="J7" s="116">
        <f>IF(ISNUMBER(SEARCH('Карта учёта'!$B$18,Расходка[[#This Row],[Наименование расходного материала]])),MAX($J$1:J6)+1,0)</f>
        <v>6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495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7</v>
      </c>
      <c r="J8" s="116">
        <f>IF(ISNUMBER(SEARCH('Карта учёта'!$B$18,Расходка[[#This Row],[Наименование расходного материала]])),MAX($J$1:J7)+1,0)</f>
        <v>7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8</v>
      </c>
      <c r="J9" s="116">
        <f>IF(ISNUMBER(SEARCH('Карта учёта'!$B$18,Расходка[[#This Row],[Наименование расходного материала]])),MAX($J$1:J8)+1,0)</f>
        <v>8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9</v>
      </c>
      <c r="J10" s="116">
        <f>IF(ISNUMBER(SEARCH('Карта учёта'!$B$18,Расходка[[#This Row],[Наименование расходного материала]])),MAX($J$1:J9)+1,0)</f>
        <v>9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10</v>
      </c>
      <c r="J11" s="116">
        <f>IF(ISNUMBER(SEARCH('Карта учёта'!$B$18,Расходка[[#This Row],[Наименование расходного материала]])),MAX($J$1:J10)+1,0)</f>
        <v>10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515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11</v>
      </c>
      <c r="J12" s="116">
        <f>IF(ISNUMBER(SEARCH('Карта учёта'!$B$18,Расходка[[#This Row],[Наименование расходного материала]])),MAX($J$1:J11)+1,0)</f>
        <v>11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NC АКСИОМА</v>
      </c>
      <c r="W12" s="115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12</v>
      </c>
      <c r="J13" s="116">
        <f>IF(ISNUMBER(SEARCH('Карта учёта'!$B$18,Расходка[[#This Row],[Наименование расходного материала]])),MAX($J$1:J12)+1,0)</f>
        <v>12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Nitrex 260</v>
      </c>
      <c r="W13" s="115" t="str">
        <f>IFERROR(INDEX(Расходка[Наименование расходного материала],MATCH(Расходка[[#This Row],[№]],Поиск_расходки[Индекс6],0)),"")</f>
        <v>Nitrex 260</v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13</v>
      </c>
      <c r="J14" s="116">
        <f>IF(ISNUMBER(SEARCH('Карта учёта'!$B$18,Расходка[[#This Row],[Наименование расходного материала]])),MAX($J$1:J13)+1,0)</f>
        <v>13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RadiFocus</v>
      </c>
      <c r="W14" s="115" t="str">
        <f>IFERROR(INDEX(Расходка[Наименование расходного материала],MATCH(Расходка[[#This Row],[№]],Поиск_расходки[Индекс6],0)),"")</f>
        <v>RadiFocus</v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14</v>
      </c>
      <c r="J15" s="116">
        <f>IF(ISNUMBER(SEARCH('Карта учёта'!$B$18,Расходка[[#This Row],[Наименование расходного материала]])),MAX($J$1:J14)+1,0)</f>
        <v>14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BasixCOMPAK</v>
      </c>
      <c r="W15" s="115" t="str">
        <f>IFERROR(INDEX(Расходка[Наименование расходного материала],MATCH(Расходка[[#This Row],[№]],Поиск_расходки[Индекс6],0)),"")</f>
        <v>BasixCOMPAK</v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15</v>
      </c>
      <c r="J16" s="116">
        <f>IF(ISNUMBER(SEARCH('Карта учёта'!$B$18,Расходка[[#This Row],[Наименование расходного материала]])),MAX($J$1:J15)+1,0)</f>
        <v>15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BasixTOUCH</v>
      </c>
      <c r="W16" s="115" t="str">
        <f>IFERROR(INDEX(Расходка[Наименование расходного материала],MATCH(Расходка[[#This Row],[№]],Поиск_расходки[Индекс6],0)),"")</f>
        <v>BasixTOUCH</v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16</v>
      </c>
      <c r="J17" s="116">
        <f>IF(ISNUMBER(SEARCH('Карта учёта'!$B$18,Расходка[[#This Row],[Наименование расходного материала]])),MAX($J$1:J16)+1,0)</f>
        <v>16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Dolphin</v>
      </c>
      <c r="W17" s="115" t="str">
        <f>IFERROR(INDEX(Расходка[Наименование расходного материала],MATCH(Расходка[[#This Row],[№]],Поиск_расходки[Индекс6],0)),"")</f>
        <v>Dolphin</v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17</v>
      </c>
      <c r="J18" s="116">
        <f>IF(ISNUMBER(SEARCH('Карта учёта'!$B$18,Расходка[[#This Row],[Наименование расходного материала]])),MAX($J$1:J17)+1,0)</f>
        <v>17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Lepu Medical</v>
      </c>
      <c r="W18" s="115" t="str">
        <f>IFERROR(INDEX(Расходка[Наименование расходного материала],MATCH(Расходка[[#This Row],[№]],Поиск_расходки[Индекс6],0)),"")</f>
        <v>Lepu Medical</v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18</v>
      </c>
      <c r="J19" s="116">
        <f>IF(ISNUMBER(SEARCH('Карта учёта'!$B$18,Расходка[[#This Row],[Наименование расходного материала]])),MAX($J$1:J18)+1,0)</f>
        <v>18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9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v>19</v>
      </c>
      <c r="B20" t="s">
        <v>306</v>
      </c>
      <c r="C20" t="s">
        <v>505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19</v>
      </c>
      <c r="J20" s="116">
        <f>IF(ISNUMBER(SEARCH('Карта учёта'!$B$18,Расходка[[#This Row],[Наименование расходного материала]])),MAX($J$1:J19)+1,0)</f>
        <v>19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Demax</v>
      </c>
      <c r="W20" s="115" t="str">
        <f>IFERROR(INDEX(Расходка[Наименование расходного материала],MATCH(Расходка[[#This Row],[№]],Поиск_расходки[Индекс6],0)),"")</f>
        <v>Demax</v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20</v>
      </c>
      <c r="J21" s="116">
        <f>IF(ISNUMBER(SEARCH('Карта учёта'!$B$18,Расходка[[#This Row],[Наименование расходного материала]])),MAX($J$1:J20)+1,0)</f>
        <v>20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Oscor 7F</v>
      </c>
      <c r="W21" s="115" t="str">
        <f>IFERROR(INDEX(Расходка[Наименование расходного материала],MATCH(Расходка[[#This Row],[№]],Поиск_расходки[Индекс6],0)),"")</f>
        <v>Oscor 7F</v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v>21</v>
      </c>
      <c r="B22" t="s">
        <v>306</v>
      </c>
      <c r="C22" s="1" t="s">
        <v>508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21</v>
      </c>
      <c r="J22" s="116">
        <f>IF(ISNUMBER(SEARCH('Карта учёта'!$B$18,Расходка[[#This Row],[Наименование расходного материала]])),MAX($J$1:J21)+1,0)</f>
        <v>21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2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v>22</v>
      </c>
      <c r="B23" t="s">
        <v>306</v>
      </c>
      <c r="C23" s="1" t="s">
        <v>510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22</v>
      </c>
      <c r="J23" s="116">
        <f>IF(ISNUMBER(SEARCH('Карта учёта'!$B$18,Расходка[[#This Row],[Наименование расходного материала]])),MAX($J$1:J22)+1,0)</f>
        <v>22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Поток CTЗ по ТУ</v>
      </c>
      <c r="W23" s="115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23</v>
      </c>
      <c r="J24" s="116">
        <f>IF(ISNUMBER(SEARCH('Карта учёта'!$B$18,Расходка[[#This Row],[Наименование расходного материала]])),MAX($J$1:J23)+1,0)</f>
        <v>23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Индефлятор</v>
      </c>
      <c r="W24" s="115" t="str">
        <f>IFERROR(INDEX(Расходка[Наименование расходного материала],MATCH(Расходка[[#This Row],[№]],Поиск_расходки[Индекс6],0)),"")</f>
        <v>Индефлятор</v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24</v>
      </c>
      <c r="J25" s="116">
        <f>IF(ISNUMBER(SEARCH('Карта учёта'!$B$18,Расходка[[#This Row],[Наименование расходного материала]])),MAX($J$1:J24)+1,0)</f>
        <v>24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5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25</v>
      </c>
      <c r="J26" s="116">
        <f>IF(ISNUMBER(SEARCH('Карта учёта'!$B$18,Расходка[[#This Row],[Наименование расходного материала]])),MAX($J$1:J25)+1,0)</f>
        <v>25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6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26</v>
      </c>
      <c r="J27" s="116">
        <f>IF(ISNUMBER(SEARCH('Карта учёта'!$B$18,Расходка[[#This Row],[Наименование расходного материала]])),MAX($J$1:J26)+1,0)</f>
        <v>26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</v>
      </c>
      <c r="W27" s="115" t="str">
        <f>IFERROR(INDEX(Расходка[Наименование расходного материала],MATCH(Расходка[[#This Row],[№]],Поиск_расходки[Индекс6],0)),"")</f>
        <v>Fielder</v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27</v>
      </c>
      <c r="J28" s="116">
        <f>IF(ISNUMBER(SEARCH('Карта учёта'!$B$18,Расходка[[#This Row],[Наименование расходного материала]])),MAX($J$1:J27)+1,0)</f>
        <v>27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Fielder XT-A</v>
      </c>
      <c r="W28" s="115" t="str">
        <f>IFERROR(INDEX(Расходка[Наименование расходного материала],MATCH(Расходка[[#This Row],[№]],Поиск_расходки[Индекс6],0)),"")</f>
        <v>Fielder XT-A</v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28</v>
      </c>
      <c r="J29" s="116">
        <f>IF(ISNUMBER(SEARCH('Карта учёта'!$B$18,Расходка[[#This Row],[Наименование расходного материала]])),MAX($J$1:J28)+1,0)</f>
        <v>28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Fielder XT-R</v>
      </c>
      <c r="W29" s="115" t="str">
        <f>IFERROR(INDEX(Расходка[Наименование расходного материала],MATCH(Расходка[[#This Row],[№]],Поиск_расходки[Индекс6],0)),"")</f>
        <v>Fielder XT-R</v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v>29</v>
      </c>
      <c r="B30" t="s">
        <v>3</v>
      </c>
      <c r="C30" t="s">
        <v>512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29</v>
      </c>
      <c r="J30" s="116">
        <f>IF(ISNUMBER(SEARCH('Карта учёта'!$B$18,Расходка[[#This Row],[Наименование расходного материала]])),MAX($J$1:J29)+1,0)</f>
        <v>29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Asahi Gaia First</v>
      </c>
      <c r="W30" s="115" t="str">
        <f>IFERROR(INDEX(Расходка[Наименование расходного материала],MATCH(Расходка[[#This Row],[№]],Поиск_расходки[Индекс6],0)),"")</f>
        <v>Asahi Gaia First</v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v>30</v>
      </c>
      <c r="B31" t="s">
        <v>3</v>
      </c>
      <c r="C31" s="1" t="s">
        <v>513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30</v>
      </c>
      <c r="J31" s="116">
        <f>IF(ISNUMBER(SEARCH('Карта учёта'!$B$18,Расходка[[#This Row],[Наименование расходного материала]])),MAX($J$1:J30)+1,0)</f>
        <v>30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Asahi Gaia Second</v>
      </c>
      <c r="W31" s="115" t="str">
        <f>IFERROR(INDEX(Расходка[Наименование расходного материала],MATCH(Расходка[[#This Row],[№]],Поиск_расходки[Индекс6],0)),"")</f>
        <v>Asahi Gaia Second</v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v>31</v>
      </c>
      <c r="B32" t="s">
        <v>3</v>
      </c>
      <c r="C32" s="1" t="s">
        <v>514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31</v>
      </c>
      <c r="J32" s="116">
        <f>IF(ISNUMBER(SEARCH('Карта учёта'!$B$18,Расходка[[#This Row],[Наименование расходного материала]])),MAX($J$1:J31)+1,0)</f>
        <v>31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Asahi Gaia Third</v>
      </c>
      <c r="W32" s="115" t="str">
        <f>IFERROR(INDEX(Расходка[Наименование расходного материала],MATCH(Расходка[[#This Row],[№]],Поиск_расходки[Индекс6],0)),"")</f>
        <v>Asahi Gaia Third</v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32</v>
      </c>
      <c r="J33" s="116">
        <f>IF(ISNUMBER(SEARCH('Карта учёта'!$B$18,Расходка[[#This Row],[Наименование расходного материала]])),MAX($J$1:J32)+1,0)</f>
        <v>32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Intuition</v>
      </c>
      <c r="W33" s="115" t="str">
        <f>IFERROR(INDEX(Расходка[Наименование расходного материала],MATCH(Расходка[[#This Row],[№]],Поиск_расходки[Индекс6],0)),"")</f>
        <v>Intuition</v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33</v>
      </c>
      <c r="J34" s="116">
        <f>IF(ISNUMBER(SEARCH('Карта учёта'!$B$18,Расходка[[#This Row],[Наименование расходного материала]])),MAX($J$1:J33)+1,0)</f>
        <v>33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4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34</v>
      </c>
      <c r="J35" s="116">
        <f>IF(ISNUMBER(SEARCH('Карта учёта'!$B$18,Расходка[[#This Row],[Наименование расходного материала]])),MAX($J$1:J34)+1,0)</f>
        <v>34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5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35</v>
      </c>
      <c r="J36" s="116">
        <f>IF(ISNUMBER(SEARCH('Карта учёта'!$B$18,Расходка[[#This Row],[Наименование расходного материала]])),MAX($J$1:J35)+1,0)</f>
        <v>35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6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36</v>
      </c>
      <c r="J37" s="116">
        <f>IF(ISNUMBER(SEARCH('Карта учёта'!$B$18,Расходка[[#This Row],[Наименование расходного материала]])),MAX($J$1:J36)+1,0)</f>
        <v>36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Rinato</v>
      </c>
      <c r="W37" s="115" t="str">
        <f>IFERROR(INDEX(Расходка[Наименование расходного материала],MATCH(Расходка[[#This Row],[№]],Поиск_расходки[Индекс6],0)),"")</f>
        <v>Rinato</v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37</v>
      </c>
      <c r="J38" s="116">
        <f>IF(ISNUMBER(SEARCH('Карта учёта'!$B$18,Расходка[[#This Row],[Наименование расходного материала]])),MAX($J$1:J37)+1,0)</f>
        <v>37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8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38</v>
      </c>
      <c r="J39" s="116">
        <f>IF(ISNUMBER(SEARCH('Карта учёта'!$B$18,Расходка[[#This Row],[Наименование расходного материала]])),MAX($J$1:J38)+1,0)</f>
        <v>38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9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39</v>
      </c>
      <c r="J40" s="116">
        <f>IF(ISNUMBER(SEARCH('Карта учёта'!$B$18,Расходка[[#This Row],[Наименование расходного материала]])),MAX($J$1:J39)+1,0)</f>
        <v>39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40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40</v>
      </c>
      <c r="J41" s="116">
        <f>IF(ISNUMBER(SEARCH('Карта учёта'!$B$18,Расходка[[#This Row],[Наименование расходного материала]])),MAX($J$1:J40)+1,0)</f>
        <v>40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Sion</v>
      </c>
      <c r="W41" s="115" t="str">
        <f>IFERROR(INDEX(Расходка[Наименование расходного материала],MATCH(Расходка[[#This Row],[№]],Поиск_расходки[Индекс6],0)),"")</f>
        <v>Sion</v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41</v>
      </c>
      <c r="J42" s="116">
        <f>IF(ISNUMBER(SEARCH('Карта учёта'!$B$18,Расходка[[#This Row],[Наименование расходного материала]])),MAX($J$1:J41)+1,0)</f>
        <v>41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Sion Black</v>
      </c>
      <c r="W42" s="115" t="str">
        <f>IFERROR(INDEX(Расходка[Наименование расходного материала],MATCH(Расходка[[#This Row],[№]],Поиск_расходки[Индекс6],0)),"")</f>
        <v>Sion Black</v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42</v>
      </c>
      <c r="J43" s="116">
        <f>IF(ISNUMBER(SEARCH('Карта учёта'!$B$18,Расходка[[#This Row],[Наименование расходного материала]])),MAX($J$1:J42)+1,0)</f>
        <v>42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Sion Blue</v>
      </c>
      <c r="W43" s="115" t="str">
        <f>IFERROR(INDEX(Расходка[Наименование расходного материала],MATCH(Расходка[[#This Row],[№]],Поиск_расходки[Индекс6],0)),"")</f>
        <v>Sion Blue</v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43</v>
      </c>
      <c r="J44" s="116">
        <f>IF(ISNUMBER(SEARCH('Карта учёта'!$B$18,Расходка[[#This Row],[Наименование расходного материала]])),MAX($J$1:J43)+1,0)</f>
        <v>43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Thunder</v>
      </c>
      <c r="W44" s="115" t="str">
        <f>IFERROR(INDEX(Расходка[Наименование расходного материала],MATCH(Расходка[[#This Row],[№]],Поиск_расходки[Индекс6],0)),"")</f>
        <v>Thunder</v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v>44</v>
      </c>
      <c r="B45" t="s">
        <v>3</v>
      </c>
      <c r="C45" t="s">
        <v>521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44</v>
      </c>
      <c r="J45" s="116">
        <f>IF(ISNUMBER(SEARCH('Карта учёта'!$B$18,Расходка[[#This Row],[Наименование расходного материала]])),MAX($J$1:J44)+1,0)</f>
        <v>44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Abbot Whisper MS</v>
      </c>
      <c r="W45" s="115" t="str">
        <f>IFERROR(INDEX(Расходка[Наименование расходного материала],MATCH(Расходка[[#This Row],[№]],Поиск_расходки[Индекс6],0)),"")</f>
        <v>Abbot Whisper MS</v>
      </c>
      <c r="X45" s="115" t="str">
        <f>IFERROR(INDEX(Расходка[Наименование расходного материала],MATCH(Расходка[[#This Row],[№]],Поиск_расходки[Индекс7],0)),"")</f>
        <v>Abbot Whisper MS</v>
      </c>
      <c r="Y45" s="115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v>45</v>
      </c>
      <c r="B46" t="s">
        <v>3</v>
      </c>
      <c r="C46" t="s">
        <v>522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1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45</v>
      </c>
      <c r="J46" s="116">
        <f>IF(ISNUMBER(SEARCH('Карта учёта'!$B$18,Расходка[[#This Row],[Наименование расходного материала]])),MAX($J$1:J45)+1,0)</f>
        <v>45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Abbot Whisper LS</v>
      </c>
      <c r="W46" s="115" t="str">
        <f>IFERROR(INDEX(Расходка[Наименование расходного материала],MATCH(Расходка[[#This Row],[№]],Поиск_расходки[Индекс6],0)),"")</f>
        <v>Abbot Whisper LS</v>
      </c>
      <c r="X46" s="115" t="str">
        <f>IFERROR(INDEX(Расходка[Наименование расходного материала],MATCH(Расходка[[#This Row],[№]],Поиск_расходки[Индекс7],0)),"")</f>
        <v>Abbot Whisper LS</v>
      </c>
      <c r="Y46" s="115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46</v>
      </c>
      <c r="J47" s="116">
        <f>IF(ISNUMBER(SEARCH('Карта учёта'!$B$18,Расходка[[#This Row],[Наименование расходного материала]])),MAX($J$1:J46)+1,0)</f>
        <v>46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Winn 200T</v>
      </c>
      <c r="W47" s="115" t="str">
        <f>IFERROR(INDEX(Расходка[Наименование расходного материала],MATCH(Расходка[[#This Row],[№]],Поиск_расходки[Индекс6],0)),"")</f>
        <v>Winn 200T</v>
      </c>
      <c r="X47" s="115" t="str">
        <f>IFERROR(INDEX(Расходка[Наименование расходного материала],MATCH(Расходка[[#This Row],[№]],Поиск_расходки[Индекс7],0)),"")</f>
        <v>Winn 200T</v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47</v>
      </c>
      <c r="J48" s="116">
        <f>IF(ISNUMBER(SEARCH('Карта учёта'!$B$18,Расходка[[#This Row],[Наименование расходного материала]])),MAX($J$1:J47)+1,0)</f>
        <v>47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8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v>48</v>
      </c>
      <c r="B49" t="s">
        <v>3</v>
      </c>
      <c r="C49" t="s">
        <v>511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48</v>
      </c>
      <c r="J49" s="116">
        <f>IF(ISNUMBER(SEARCH('Карта учёта'!$B$18,Расходка[[#This Row],[Наименование расходного материала]])),MAX($J$1:J48)+1,0)</f>
        <v>48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9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49</v>
      </c>
      <c r="J50" s="116">
        <f>IF(ISNUMBER(SEARCH('Карта учёта'!$B$18,Расходка[[#This Row],[Наименование расходного материала]])),MAX($J$1:J49)+1,0)</f>
        <v>49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50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50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v>50</v>
      </c>
      <c r="B51" t="s">
        <v>3</v>
      </c>
      <c r="C51" t="s">
        <v>509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50</v>
      </c>
      <c r="J51" s="116">
        <f>IF(ISNUMBER(SEARCH('Карта учёта'!$B$18,Расходка[[#This Row],[Наименование расходного материала]])),MAX($J$1:J50)+1,0)</f>
        <v>50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 xml:space="preserve">Balancium </v>
      </c>
      <c r="W51" s="115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1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v>51</v>
      </c>
      <c r="B52" t="s">
        <v>3</v>
      </c>
      <c r="C52" t="s">
        <v>520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51</v>
      </c>
      <c r="J52" s="116">
        <f>IF(ISNUMBER(SEARCH('Карта учёта'!$B$18,Расходка[[#This Row],[Наименование расходного материала]])),MAX($J$1:J51)+1,0)</f>
        <v>51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Shunmei</v>
      </c>
      <c r="W52" s="115" t="str">
        <f>IFERROR(INDEX(Расходка[Наименование расходного материала],MATCH(Расходка[[#This Row],[№]],Поиск_расходки[Индекс6],0)),"")</f>
        <v>Shunmei</v>
      </c>
      <c r="X52" s="115" t="str">
        <f>IFERROR(INDEX(Расходка[Наименование расходного материала],MATCH(Расходка[[#This Row],[№]],Поиск_расходки[Индекс7],0)),"")</f>
        <v>Shunmei</v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52</v>
      </c>
      <c r="J53" s="116">
        <f>IF(ISNUMBER(SEARCH('Карта учёта'!$B$18,Расходка[[#This Row],[Наименование расходного материала]])),MAX($J$1:J52)+1,0)</f>
        <v>52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BMS, Integtity</v>
      </c>
      <c r="W53" s="115" t="str">
        <f>IFERROR(INDEX(Расходка[Наименование расходного материала],MATCH(Расходка[[#This Row],[№]],Поиск_расходки[Индекс6],0)),"")</f>
        <v>BMS, Integtity</v>
      </c>
      <c r="X53" s="115" t="str">
        <f>IFERROR(INDEX(Расходка[Наименование расходного материала],MATCH(Расходка[[#This Row],[№]],Поиск_расходки[Индекс7],0)),"")</f>
        <v>BMS, Integtity</v>
      </c>
      <c r="Y53" s="115" t="str">
        <f>IFERROR(INDEX(Расходка[Наименование расходного материала],MATCH(Расходка[[#This Row],[№]],Поиск_расходки[Индекс8],0)),"")</f>
        <v>BMS, Integtity</v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447</v>
      </c>
    </row>
    <row r="54" spans="1:33">
      <c r="A54">
        <v>53</v>
      </c>
      <c r="B54" t="s">
        <v>6</v>
      </c>
      <c r="C54" s="157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53</v>
      </c>
      <c r="J54" s="116">
        <f>IF(ISNUMBER(SEARCH('Карта учёта'!$B$18,Расходка[[#This Row],[Наименование расходного материала]])),MAX($J$1:J53)+1,0)</f>
        <v>53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Calipso</v>
      </c>
      <c r="W54" s="115" t="str">
        <f>IFERROR(INDEX(Расходка[Наименование расходного материала],MATCH(Расходка[[#This Row],[№]],Поиск_расходки[Индекс6],0)),"")</f>
        <v>DES, Calipso</v>
      </c>
      <c r="X54" s="115" t="str">
        <f>IFERROR(INDEX(Расходка[Наименование расходного материала],MATCH(Расходка[[#This Row],[№]],Поиск_расходки[Индекс7],0)),"")</f>
        <v>DES, Calipso</v>
      </c>
      <c r="Y54" s="115" t="str">
        <f>IFERROR(INDEX(Расходка[Наименование расходного материала],MATCH(Расходка[[#This Row],[№]],Поиск_расходки[Индекс8],0)),"")</f>
        <v>DES, Calipso</v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448</v>
      </c>
    </row>
    <row r="55" spans="1:33">
      <c r="A55">
        <v>54</v>
      </c>
      <c r="B55" t="s">
        <v>6</v>
      </c>
      <c r="C55" s="157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54</v>
      </c>
      <c r="J55" s="116">
        <f>IF(ISNUMBER(SEARCH('Карта учёта'!$B$18,Расходка[[#This Row],[Наименование расходного материала]])),MAX($J$1:J54)+1,0)</f>
        <v>54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NanoMed</v>
      </c>
      <c r="W55" s="115" t="str">
        <f>IFERROR(INDEX(Расходка[Наименование расходного материала],MATCH(Расходка[[#This Row],[№]],Поиск_расходки[Индекс6],0)),"")</f>
        <v>DES, NanoMed</v>
      </c>
      <c r="X55" s="115" t="str">
        <f>IFERROR(INDEX(Расходка[Наименование расходного материала],MATCH(Расходка[[#This Row],[№]],Поиск_расходки[Индекс7],0)),"")</f>
        <v>DES, NanoMed</v>
      </c>
      <c r="Y55" s="115" t="str">
        <f>IFERROR(INDEX(Расходка[Наименование расходного материала],MATCH(Расходка[[#This Row],[№]],Поиск_расходки[Индекс8],0)),"")</f>
        <v>DES, NanoMed</v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449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1</v>
      </c>
      <c r="I56" s="116">
        <f>IF(ISNUMBER(SEARCH('Карта учёта'!$B$17,Расходка[[#This Row],[Наименование расходного материала]])),MAX($I$1:I55)+1,0)</f>
        <v>55</v>
      </c>
      <c r="J56" s="116">
        <f>IF(ISNUMBER(SEARCH('Карта учёта'!$B$18,Расходка[[#This Row],[Наименование расходного материала]])),MAX($J$1:J55)+1,0)</f>
        <v>55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6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6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6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450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56</v>
      </c>
      <c r="J57" s="116">
        <f>IF(ISNUMBER(SEARCH('Карта учёта'!$B$18,Расходка[[#This Row],[Наименование расходного материала]])),MAX($J$1:J56)+1,0)</f>
        <v>56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7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7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7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451</v>
      </c>
    </row>
    <row r="58" spans="1:33">
      <c r="A58">
        <v>57</v>
      </c>
      <c r="B58" t="s">
        <v>6</v>
      </c>
      <c r="C58" s="161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57</v>
      </c>
      <c r="J58" s="116">
        <f>IF(ISNUMBER(SEARCH('Карта учёта'!$B$18,Расходка[[#This Row],[Наименование расходного материала]])),MAX($J$1:J57)+1,0)</f>
        <v>57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DES, Firehawk</v>
      </c>
      <c r="W58" s="115" t="str">
        <f>IFERROR(INDEX(Расходка[Наименование расходного материала],MATCH(Расходка[[#This Row],[№]],Поиск_расходки[Индекс6],0)),"")</f>
        <v>DES, Firehawk</v>
      </c>
      <c r="X58" s="115" t="str">
        <f>IFERROR(INDEX(Расходка[Наименование расходного материала],MATCH(Расходка[[#This Row],[№]],Поиск_расходки[Индекс7],0)),"")</f>
        <v>DES, Firehawk</v>
      </c>
      <c r="Y58" s="115" t="str">
        <f>IFERROR(INDEX(Расходка[Наименование расходного материала],MATCH(Расходка[[#This Row],[№]],Поиск_расходки[Индекс8],0)),"")</f>
        <v>DES, Firehawk</v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452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58</v>
      </c>
      <c r="J59" s="116">
        <f>IF(ISNUMBER(SEARCH('Карта учёта'!$B$18,Расходка[[#This Row],[Наименование расходного материала]])),MAX($J$1:J58)+1,0)</f>
        <v>58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9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9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9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453</v>
      </c>
    </row>
    <row r="60" spans="1:33">
      <c r="A60">
        <v>59</v>
      </c>
      <c r="B60" t="s">
        <v>6</v>
      </c>
      <c r="C60" t="s">
        <v>518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59</v>
      </c>
      <c r="J60" s="116">
        <f>IF(ISNUMBER(SEARCH('Карта учёта'!$B$18,Расходка[[#This Row],[Наименование расходного материала]])),MAX($J$1:J59)+1,0)</f>
        <v>59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DES, Калипсо</v>
      </c>
      <c r="W60" s="115" t="str">
        <f>IFERROR(INDEX(Расходка[Наименование расходного материала],MATCH(Расходка[[#This Row],[№]],Поиск_расходки[Индекс6],0)),"")</f>
        <v>DES, Калипсо</v>
      </c>
      <c r="X60" s="115" t="str">
        <f>IFERROR(INDEX(Расходка[Наименование расходного материала],MATCH(Расходка[[#This Row],[№]],Поиск_расходки[Индекс7],0)),"")</f>
        <v>DES, Калипсо</v>
      </c>
      <c r="Y60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454</v>
      </c>
    </row>
    <row r="61" spans="1:33">
      <c r="A61">
        <v>60</v>
      </c>
      <c r="B61" t="s">
        <v>6</v>
      </c>
      <c r="C61" t="s">
        <v>519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60</v>
      </c>
      <c r="J61" s="116">
        <f>IF(ISNUMBER(SEARCH('Карта учёта'!$B$18,Расходка[[#This Row],[Наименование расходного материала]])),MAX($J$1:J60)+1,0)</f>
        <v>60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Meril Evermine50™</v>
      </c>
      <c r="W61" s="115" t="str">
        <f>IFERROR(INDEX(Расходка[Наименование расходного материала],MATCH(Расходка[[#This Row],[№]],Поиск_расходки[Индекс6],0)),"")</f>
        <v>Meril Evermine50™</v>
      </c>
      <c r="X61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61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415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61</v>
      </c>
      <c r="J62" s="116">
        <f>IF(ISNUMBER(SEARCH('Карта учёта'!$B$18,Расходка[[#This Row],[Наименование расходного материала]])),MAX($J$1:J61)+1,0)</f>
        <v>61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62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62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62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455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62</v>
      </c>
      <c r="J63" s="116">
        <f>IF(ISNUMBER(SEARCH('Карта учёта'!$B$18,Расходка[[#This Row],[Наименование расходного материала]])),MAX($J$1:J62)+1,0)</f>
        <v>62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63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63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63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456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63</v>
      </c>
      <c r="J64" s="116">
        <f>IF(ISNUMBER(SEARCH('Карта учёта'!$B$18,Расходка[[#This Row],[Наименование расходного материала]])),MAX($J$1:J63)+1,0)</f>
        <v>63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64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64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4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457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64</v>
      </c>
      <c r="J65" s="116">
        <f>IF(ISNUMBER(SEARCH('Карта учёта'!$B$18,Расходка[[#This Row],[Наименование расходного материала]])),MAX($J$1:J64)+1,0)</f>
        <v>64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65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65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5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458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1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65</v>
      </c>
      <c r="J66" s="116">
        <f>IF(ISNUMBER(SEARCH('Карта учёта'!$B$18,Расходка[[#This Row],[Наименование расходного материала]])),MAX($J$1:J65)+1,0)</f>
        <v>65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6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459</v>
      </c>
    </row>
    <row r="67" spans="1:33">
      <c r="A67">
        <v>66</v>
      </c>
      <c r="B67" t="s">
        <v>4</v>
      </c>
      <c r="C67" t="s">
        <v>327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66</v>
      </c>
      <c r="J67" s="197">
        <f>IF(ISNUMBER(SEARCH('Карта учёта'!$B$18,Расходка[[#This Row],[Наименование расходного материала]])),MAX($J$1:J66)+1,0)</f>
        <v>66</v>
      </c>
      <c r="K67" s="197">
        <f>IF(ISNUMBER(SEARCH('Карта учёта'!$B$19,Расходка[[#This Row],[Наименование расходного материала]])),MAX($K$1:K66)+1,0)</f>
        <v>66</v>
      </c>
      <c r="L67" s="197">
        <f>IF(ISNUMBER(SEARCH('Карта учёта'!$B$20,Расходка[[#This Row],[Наименование расходного материала]])),MAX($L$1:L66)+1,0)</f>
        <v>66</v>
      </c>
      <c r="M67" s="197">
        <f>IF(ISNUMBER(SEARCH('Карта учёта'!$B$21,Расходка[[#This Row],[Наименование расходного материала]])),MAX($M$1:M66)+1,0)</f>
        <v>66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>Launcher 6F EBU 4.0</v>
      </c>
      <c r="W67" s="198" t="str">
        <f>IFERROR(INDEX(Расходка[Наименование расходного материала],MATCH(Расходка[[#This Row],[№]],Поиск_расходки[Индекс6],0)),"")</f>
        <v>Launcher 6F EBU 4.0</v>
      </c>
      <c r="X67" s="198" t="str">
        <f>IFERROR(INDEX(Расходка[Наименование расходного материала],MATCH(Расходка[[#This Row],[№]],Поиск_расходки[Индекс7],0)),"")</f>
        <v>Launcher 6F EBU 4.0</v>
      </c>
      <c r="Y67" s="198" t="str">
        <f>IFERROR(INDEX(Расходка[Наименование расходного материала],MATCH(Расходка[[#This Row],[№]],Поиск_расходки[Индекс8],0)),"")</f>
        <v>Launcher 6F EBU 4.0</v>
      </c>
      <c r="Z67" s="198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8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460</v>
      </c>
    </row>
    <row r="68" spans="1:33">
      <c r="A68">
        <v>67</v>
      </c>
      <c r="B68" t="s">
        <v>4</v>
      </c>
      <c r="C68" t="s">
        <v>328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67</v>
      </c>
      <c r="J68" s="197">
        <f>IF(ISNUMBER(SEARCH('Карта учёта'!$B$18,Расходка[[#This Row],[Наименование расходного материала]])),MAX($J$1:J67)+1,0)</f>
        <v>67</v>
      </c>
      <c r="K68" s="197">
        <f>IF(ISNUMBER(SEARCH('Карта учёта'!$B$19,Расходка[[#This Row],[Наименование расходного материала]])),MAX($K$1:K67)+1,0)</f>
        <v>67</v>
      </c>
      <c r="L68" s="197">
        <f>IF(ISNUMBER(SEARCH('Карта учёта'!$B$20,Расходка[[#This Row],[Наименование расходного материала]])),MAX($L$1:L67)+1,0)</f>
        <v>67</v>
      </c>
      <c r="M68" s="197">
        <f>IF(ISNUMBER(SEARCH('Карта учёта'!$B$21,Расходка[[#This Row],[Наименование расходного материала]])),MAX($M$1:M67)+1,0)</f>
        <v>67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>Launcher 6F JL 3.5</v>
      </c>
      <c r="W68" s="198" t="str">
        <f>IFERROR(INDEX(Расходка[Наименование расходного материала],MATCH(Расходка[[#This Row],[№]],Поиск_расходки[Индекс6],0)),"")</f>
        <v>Launcher 6F JL 3.5</v>
      </c>
      <c r="X68" s="198" t="str">
        <f>IFERROR(INDEX(Расходка[Наименование расходного материала],MATCH(Расходка[[#This Row],[№]],Поиск_расходки[Индекс7],0)),"")</f>
        <v>Launcher 6F JL 3.5</v>
      </c>
      <c r="Y68" s="198" t="str">
        <f>IFERROR(INDEX(Расходка[Наименование расходного материала],MATCH(Расходка[[#This Row],[№]],Поиск_расходки[Индекс8],0)),"")</f>
        <v>Launcher 6F JL 3.5</v>
      </c>
      <c r="Z68" s="198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461</v>
      </c>
    </row>
    <row r="69" spans="1:33">
      <c r="A69">
        <v>68</v>
      </c>
      <c r="B69" t="s">
        <v>4</v>
      </c>
      <c r="C69" t="s">
        <v>329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68</v>
      </c>
      <c r="J69" s="197">
        <f>IF(ISNUMBER(SEARCH('Карта учёта'!$B$18,Расходка[[#This Row],[Наименование расходного материала]])),MAX($J$1:J68)+1,0)</f>
        <v>68</v>
      </c>
      <c r="K69" s="197">
        <f>IF(ISNUMBER(SEARCH('Карта учёта'!$B$19,Расходка[[#This Row],[Наименование расходного материала]])),MAX($K$1:K68)+1,0)</f>
        <v>68</v>
      </c>
      <c r="L69" s="197">
        <f>IF(ISNUMBER(SEARCH('Карта учёта'!$B$20,Расходка[[#This Row],[Наименование расходного материала]])),MAX($L$1:L68)+1,0)</f>
        <v>68</v>
      </c>
      <c r="M69" s="197">
        <f>IF(ISNUMBER(SEARCH('Карта учёта'!$B$21,Расходка[[#This Row],[Наименование расходного материала]])),MAX($M$1:M68)+1,0)</f>
        <v>68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>Launcher 6F JL 4.0</v>
      </c>
      <c r="W69" s="198" t="str">
        <f>IFERROR(INDEX(Расходка[Наименование расходного материала],MATCH(Расходка[[#This Row],[№]],Поиск_расходки[Индекс6],0)),"")</f>
        <v>Launcher 6F JL 4.0</v>
      </c>
      <c r="X69" s="198" t="str">
        <f>IFERROR(INDEX(Расходка[Наименование расходного материала],MATCH(Расходка[[#This Row],[№]],Поиск_расходки[Индекс7],0)),"")</f>
        <v>Launcher 6F JL 4.0</v>
      </c>
      <c r="Y69" s="198" t="str">
        <f>IFERROR(INDEX(Расходка[Наименование расходного материала],MATCH(Расходка[[#This Row],[№]],Поиск_расходки[Индекс8],0)),"")</f>
        <v>Launcher 6F JL 4.0</v>
      </c>
      <c r="Z69" s="198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462</v>
      </c>
    </row>
    <row r="70" spans="1:33">
      <c r="A70">
        <v>69</v>
      </c>
      <c r="B70" t="s">
        <v>4</v>
      </c>
      <c r="C70" t="s">
        <v>335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69</v>
      </c>
      <c r="J70" s="197">
        <f>IF(ISNUMBER(SEARCH('Карта учёта'!$B$18,Расходка[[#This Row],[Наименование расходного материала]])),MAX($J$1:J69)+1,0)</f>
        <v>69</v>
      </c>
      <c r="K70" s="197">
        <f>IF(ISNUMBER(SEARCH('Карта учёта'!$B$19,Расходка[[#This Row],[Наименование расходного материала]])),MAX($K$1:K69)+1,0)</f>
        <v>69</v>
      </c>
      <c r="L70" s="197">
        <f>IF(ISNUMBER(SEARCH('Карта учёта'!$B$20,Расходка[[#This Row],[Наименование расходного материала]])),MAX($L$1:L69)+1,0)</f>
        <v>69</v>
      </c>
      <c r="M70" s="197">
        <f>IF(ISNUMBER(SEARCH('Карта учёта'!$B$21,Расходка[[#This Row],[Наименование расходного материала]])),MAX($M$1:M69)+1,0)</f>
        <v>69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>Launcher 6F JL 4.5</v>
      </c>
      <c r="W70" s="198" t="str">
        <f>IFERROR(INDEX(Расходка[Наименование расходного материала],MATCH(Расходка[[#This Row],[№]],Поиск_расходки[Индекс6],0)),"")</f>
        <v>Launcher 6F JL 4.5</v>
      </c>
      <c r="X70" s="198" t="str">
        <f>IFERROR(INDEX(Расходка[Наименование расходного материала],MATCH(Расходка[[#This Row],[№]],Поиск_расходки[Индекс7],0)),"")</f>
        <v>Launcher 6F JL 4.5</v>
      </c>
      <c r="Y70" s="198" t="str">
        <f>IFERROR(INDEX(Расходка[Наименование расходного материала],MATCH(Расходка[[#This Row],[№]],Поиск_расходки[Индекс8],0)),"")</f>
        <v>Launcher 6F JL 4.5</v>
      </c>
      <c r="Z70" s="198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463</v>
      </c>
    </row>
    <row r="71" spans="1:33">
      <c r="A71">
        <v>70</v>
      </c>
      <c r="B71" t="s">
        <v>4</v>
      </c>
      <c r="C71" t="s">
        <v>330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70</v>
      </c>
      <c r="J71" s="197">
        <f>IF(ISNUMBER(SEARCH('Карта учёта'!$B$18,Расходка[[#This Row],[Наименование расходного материала]])),MAX($J$1:J70)+1,0)</f>
        <v>70</v>
      </c>
      <c r="K71" s="197">
        <f>IF(ISNUMBER(SEARCH('Карта учёта'!$B$19,Расходка[[#This Row],[Наименование расходного материала]])),MAX($K$1:K70)+1,0)</f>
        <v>70</v>
      </c>
      <c r="L71" s="197">
        <f>IF(ISNUMBER(SEARCH('Карта учёта'!$B$20,Расходка[[#This Row],[Наименование расходного материала]])),MAX($L$1:L70)+1,0)</f>
        <v>70</v>
      </c>
      <c r="M71" s="197">
        <f>IF(ISNUMBER(SEARCH('Карта учёта'!$B$21,Расходка[[#This Row],[Наименование расходного материала]])),MAX($M$1:M70)+1,0)</f>
        <v>70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>Launcher 6F JR 3.5</v>
      </c>
      <c r="W71" s="198" t="str">
        <f>IFERROR(INDEX(Расходка[Наименование расходного материала],MATCH(Расходка[[#This Row],[№]],Поиск_расходки[Индекс6],0)),"")</f>
        <v>Launcher 6F JR 3.5</v>
      </c>
      <c r="X71" s="198" t="str">
        <f>IFERROR(INDEX(Расходка[Наименование расходного материала],MATCH(Расходка[[#This Row],[№]],Поиск_расходки[Индекс7],0)),"")</f>
        <v>Launcher 6F JR 3.5</v>
      </c>
      <c r="Y71" s="198" t="str">
        <f>IFERROR(INDEX(Расходка[Наименование расходного материала],MATCH(Расходка[[#This Row],[№]],Поиск_расходки[Индекс8],0)),"")</f>
        <v>Launcher 6F JR 3.5</v>
      </c>
      <c r="Z71" s="198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418</v>
      </c>
    </row>
    <row r="72" spans="1:33">
      <c r="A72">
        <v>71</v>
      </c>
      <c r="B72" t="s">
        <v>4</v>
      </c>
      <c r="C72" t="s">
        <v>331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0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71</v>
      </c>
      <c r="J72" s="197">
        <f>IF(ISNUMBER(SEARCH('Карта учёта'!$B$18,Расходка[[#This Row],[Наименование расходного материала]])),MAX($J$1:J71)+1,0)</f>
        <v>71</v>
      </c>
      <c r="K72" s="197">
        <f>IF(ISNUMBER(SEARCH('Карта учёта'!$B$19,Расходка[[#This Row],[Наименование расходного материала]])),MAX($K$1:K71)+1,0)</f>
        <v>71</v>
      </c>
      <c r="L72" s="197">
        <f>IF(ISNUMBER(SEARCH('Карта учёта'!$B$20,Расходка[[#This Row],[Наименование расходного материала]])),MAX($L$1:L71)+1,0)</f>
        <v>71</v>
      </c>
      <c r="M72" s="197">
        <f>IF(ISNUMBER(SEARCH('Карта учёта'!$B$21,Расходка[[#This Row],[Наименование расходного материала]])),MAX($M$1:M71)+1,0)</f>
        <v>71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>Launcher 6F JR 4.0</v>
      </c>
      <c r="W72" s="198" t="str">
        <f>IFERROR(INDEX(Расходка[Наименование расходного материала],MATCH(Расходка[[#This Row],[№]],Поиск_расходки[Индекс6],0)),"")</f>
        <v>Launcher 6F JR 4.0</v>
      </c>
      <c r="X72" s="198" t="str">
        <f>IFERROR(INDEX(Расходка[Наименование расходного материала],MATCH(Расходка[[#This Row],[№]],Поиск_расходки[Индекс7],0)),"")</f>
        <v>Launcher 6F JR 4.0</v>
      </c>
      <c r="Y72" s="198" t="str">
        <f>IFERROR(INDEX(Расходка[Наименование расходного материала],MATCH(Расходка[[#This Row],[№]],Поиск_расходки[Индекс8],0)),"")</f>
        <v>Launcher 6F JR 4.0</v>
      </c>
      <c r="Z72" s="198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464</v>
      </c>
    </row>
    <row r="73" spans="1:33">
      <c r="A73">
        <v>72</v>
      </c>
      <c r="B73" t="s">
        <v>4</v>
      </c>
      <c r="C73" t="s">
        <v>341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72</v>
      </c>
      <c r="J73" s="197">
        <f>IF(ISNUMBER(SEARCH('Карта учёта'!$B$18,Расходка[[#This Row],[Наименование расходного материала]])),MAX($J$1:J72)+1,0)</f>
        <v>72</v>
      </c>
      <c r="K73" s="197">
        <f>IF(ISNUMBER(SEARCH('Карта учёта'!$B$19,Расходка[[#This Row],[Наименование расходного материала]])),MAX($K$1:K72)+1,0)</f>
        <v>72</v>
      </c>
      <c r="L73" s="197">
        <f>IF(ISNUMBER(SEARCH('Карта учёта'!$B$20,Расходка[[#This Row],[Наименование расходного материала]])),MAX($L$1:L72)+1,0)</f>
        <v>72</v>
      </c>
      <c r="M73" s="197">
        <f>IF(ISNUMBER(SEARCH('Карта учёта'!$B$21,Расходка[[#This Row],[Наименование расходного материала]])),MAX($M$1:M72)+1,0)</f>
        <v>72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>Launcher 7F JL 3.5</v>
      </c>
      <c r="W73" s="198" t="str">
        <f>IFERROR(INDEX(Расходка[Наименование расходного материала],MATCH(Расходка[[#This Row],[№]],Поиск_расходки[Индекс6],0)),"")</f>
        <v>Launcher 7F JL 3.5</v>
      </c>
      <c r="X73" s="198" t="str">
        <f>IFERROR(INDEX(Расходка[Наименование расходного материала],MATCH(Расходка[[#This Row],[№]],Поиск_расходки[Индекс7],0)),"")</f>
        <v>Launcher 7F JL 3.5</v>
      </c>
      <c r="Y73" s="198" t="str">
        <f>IFERROR(INDEX(Расходка[Наименование расходного материала],MATCH(Расходка[[#This Row],[№]],Поиск_расходки[Индекс8],0)),"")</f>
        <v>Launcher 7F JL 3.5</v>
      </c>
      <c r="Z73" s="198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419</v>
      </c>
    </row>
    <row r="74" spans="1:33">
      <c r="A74">
        <v>73</v>
      </c>
      <c r="B74" t="s">
        <v>4</v>
      </c>
      <c r="C74" t="s">
        <v>340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73</v>
      </c>
      <c r="J74" s="197">
        <f>IF(ISNUMBER(SEARCH('Карта учёта'!$B$18,Расходка[[#This Row],[Наименование расходного материала]])),MAX($J$1:J73)+1,0)</f>
        <v>73</v>
      </c>
      <c r="K74" s="197">
        <f>IF(ISNUMBER(SEARCH('Карта учёта'!$B$19,Расходка[[#This Row],[Наименование расходного материала]])),MAX($K$1:K73)+1,0)</f>
        <v>73</v>
      </c>
      <c r="L74" s="197">
        <f>IF(ISNUMBER(SEARCH('Карта учёта'!$B$20,Расходка[[#This Row],[Наименование расходного материала]])),MAX($L$1:L73)+1,0)</f>
        <v>73</v>
      </c>
      <c r="M74" s="197">
        <f>IF(ISNUMBER(SEARCH('Карта учёта'!$B$21,Расходка[[#This Row],[Наименование расходного материала]])),MAX($M$1:M73)+1,0)</f>
        <v>73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>Launcher 7F JL 4.0</v>
      </c>
      <c r="W74" s="198" t="str">
        <f>IFERROR(INDEX(Расходка[Наименование расходного материала],MATCH(Расходка[[#This Row],[№]],Поиск_расходки[Индекс6],0)),"")</f>
        <v>Launcher 7F JL 4.0</v>
      </c>
      <c r="X74" s="198" t="str">
        <f>IFERROR(INDEX(Расходка[Наименование расходного материала],MATCH(Расходка[[#This Row],[№]],Поиск_расходки[Индекс7],0)),"")</f>
        <v>Launcher 7F JL 4.0</v>
      </c>
      <c r="Y74" s="198" t="str">
        <f>IFERROR(INDEX(Расходка[Наименование расходного материала],MATCH(Расходка[[#This Row],[№]],Поиск_расходки[Индекс8],0)),"")</f>
        <v>Launcher 7F JL 4.0</v>
      </c>
      <c r="Z74" s="198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465</v>
      </c>
    </row>
    <row r="75" spans="1:33">
      <c r="A75">
        <v>74</v>
      </c>
      <c r="B75" t="s">
        <v>301</v>
      </c>
      <c r="C75" s="1" t="s">
        <v>332</v>
      </c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74</v>
      </c>
      <c r="J75" s="197">
        <f>IF(ISNUMBER(SEARCH('Карта учёта'!$B$18,Расходка[[#This Row],[Наименование расходного материала]])),MAX($J$1:J74)+1,0)</f>
        <v>74</v>
      </c>
      <c r="K75" s="197">
        <f>IF(ISNUMBER(SEARCH('Карта учёта'!$B$19,Расходка[[#This Row],[Наименование расходного материала]])),MAX($K$1:K74)+1,0)</f>
        <v>74</v>
      </c>
      <c r="L75" s="197">
        <f>IF(ISNUMBER(SEARCH('Карта учёта'!$B$20,Расходка[[#This Row],[Наименование расходного материала]])),MAX($L$1:L74)+1,0)</f>
        <v>74</v>
      </c>
      <c r="M75" s="197">
        <f>IF(ISNUMBER(SEARCH('Карта учёта'!$B$21,Расходка[[#This Row],[Наименование расходного материала]])),MAX($M$1:M74)+1,0)</f>
        <v>74</v>
      </c>
      <c r="N75" s="197">
        <f>IF(ISNUMBER(SEARCH('Карта учёта'!$B$22,Расходка[[#This Row],[Наименование расходного материала]])),MAX($N$1:N74)+1,0)</f>
        <v>74</v>
      </c>
      <c r="O75" s="197">
        <f>IF(ISNUMBER(SEARCH('Карта учёта'!$B$23,Расходка[[#This Row],[Наименование расходного материала]])),MAX($O$1:O74)+1,0)</f>
        <v>74</v>
      </c>
      <c r="P75" s="197">
        <f>IF(ISNUMBER(SEARCH('Карта учёта'!$B$24,Расходка[[#This Row],[Наименование расходного материала]])),MAX($P$1:P74)+1,0)</f>
        <v>74</v>
      </c>
      <c r="Q75" s="197">
        <f>IF(ISNUMBER(SEARCH('Карта учёта'!$B$25,Расходка[[#This Row],[Наименование расходного материала]])),MAX($Q$1:Q74)+1,0)</f>
        <v>74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>Angio-Seal™ VIP</v>
      </c>
      <c r="W75" s="198" t="str">
        <f>IFERROR(INDEX(Расходка[Наименование расходного материала],MATCH(Расходка[[#This Row],[№]],Поиск_расходки[Индекс6],0)),"")</f>
        <v>Angio-Seal™ VIP</v>
      </c>
      <c r="X75" s="198" t="str">
        <f>IFERROR(INDEX(Расходка[Наименование расходного материала],MATCH(Расходка[[#This Row],[№]],Поиск_расходки[Индекс7],0)),"")</f>
        <v>Angio-Seal™ VIP</v>
      </c>
      <c r="Y75" s="198" t="str">
        <f>IFERROR(INDEX(Расходка[Наименование расходного материала],MATCH(Расходка[[#This Row],[№]],Поиск_расходки[Индекс8],0)),"")</f>
        <v>Angio-Seal™ VIP</v>
      </c>
      <c r="Z75" s="198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466</v>
      </c>
    </row>
    <row r="76" spans="1:33"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467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468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516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507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2024-08-20T13:18:31Z</cp:lastPrinted>
  <dcterms:created xsi:type="dcterms:W3CDTF">2015-06-05T18:19:34Z</dcterms:created>
  <dcterms:modified xsi:type="dcterms:W3CDTF">2024-08-20T13:18:40Z</dcterms:modified>
</cp:coreProperties>
</file>